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C:\Users\denny\Downloads\"/>
    </mc:Choice>
  </mc:AlternateContent>
  <xr:revisionPtr revIDLastSave="0" documentId="8_{EB9963B7-2338-4C2A-AB26-0D79A9E2F790}" xr6:coauthVersionLast="47" xr6:coauthVersionMax="47" xr10:uidLastSave="{00000000-0000-0000-0000-000000000000}"/>
  <workbookProtection workbookAlgorithmName="SHA-512" workbookHashValue="ecsVMYdm8qV5rN1GbykNvXcjtPPh1nWNeR+UEnbZTdUkV7Lo09fWtWHFdYM/YC/FRi3V1qgiMpJ01grWRtux7g==" workbookSaltValue="qM2vDIINA5RqckmIWGlLjw==" workbookSpinCount="100000" lockStructure="1"/>
  <bookViews>
    <workbookView xWindow="-108" yWindow="-108" windowWidth="23256" windowHeight="12576" tabRatio="730" xr2:uid="{00000000-000D-0000-FFFF-FFFF00000000}"/>
  </bookViews>
  <sheets>
    <sheet name="Design Converter" sheetId="1" r:id="rId1"/>
    <sheet name="Licenses" sheetId="12" r:id="rId2"/>
    <sheet name="Variable_Management" sheetId="2" state="hidden" r:id="rId3"/>
    <sheet name="CCM_Loop_Modeling_Isolated" sheetId="10" state="hidden" r:id="rId4"/>
    <sheet name="CCM_Loop_Modeling_non_isolated" sheetId="5" state="hidden" r:id="rId5"/>
    <sheet name="Eff_vs_IOUT" sheetId="4" state="hidden" r:id="rId6"/>
    <sheet name="Constants" sheetId="3" state="hidden" r:id="rId7"/>
    <sheet name="Plot_Management_Eff" sheetId="6" state="hidden" r:id="rId8"/>
    <sheet name="Lists" sheetId="8" state="hidden" r:id="rId9"/>
    <sheet name="Plot Management_Loop" sheetId="9" state="hidden" r:id="rId10"/>
    <sheet name="Plot Management_Sch" sheetId="11" state="hidden" r:id="rId11"/>
  </sheets>
  <definedNames>
    <definedName name="Acs">Constants!$B$32</definedName>
    <definedName name="Adc" localSheetId="3">CCM_Loop_Modeling_Isolated!$B$41</definedName>
    <definedName name="Adc">CCM_Loop_Modeling_non_isolated!$B$41</definedName>
    <definedName name="Adc_ea">CCM_Loop_Modeling_non_isolated!$B$69</definedName>
    <definedName name="Adc_ea_iso" localSheetId="3">CCM_Loop_Modeling_Isolated!$B$69</definedName>
    <definedName name="ADC_VINmin">Variable_Management!$B$178</definedName>
    <definedName name="CCOMP">Variable_Management!$B$270</definedName>
    <definedName name="CComp_calc">Variable_Management!$B$269</definedName>
    <definedName name="Ccomp_iso">Variable_Management!$B$231</definedName>
    <definedName name="Ccomp_iso_calc">Variable_Management!$B$230</definedName>
    <definedName name="CD3_">Variable_Management!$B$37</definedName>
    <definedName name="CHF">Variable_Management!$B$272</definedName>
    <definedName name="Comp_calc">Variable_Management!$B$269</definedName>
    <definedName name="Copto">Variable_Management!$B$213</definedName>
    <definedName name="Cout_total">Variable_Management!$B$150</definedName>
    <definedName name="Cout1">Variable_Management!$B$130</definedName>
    <definedName name="Cout1_min">Variable_Management!$B$128</definedName>
    <definedName name="Cout2">Variable_Management!$B$138</definedName>
    <definedName name="Cout2_min">Variable_Management!$B$136</definedName>
    <definedName name="Cout3">Variable_Management!$B$146</definedName>
    <definedName name="Cout3_min">Variable_Management!$B$144</definedName>
    <definedName name="D_limit_max">Constants!$B$20</definedName>
    <definedName name="D_limit_min">Constants!$B$18</definedName>
    <definedName name="D_limit_nom">Constants!$B$19</definedName>
    <definedName name="Dc_max_IC" localSheetId="3">Variable_Management!#REF!</definedName>
    <definedName name="Dc_max_IC">Variable_Management!#REF!</definedName>
    <definedName name="Dc_max_ideal" localSheetId="3">Variable_Management!#REF!</definedName>
    <definedName name="Dc_max_ideal">Variable_Management!#REF!</definedName>
    <definedName name="Dc_rip_max" localSheetId="3">Variable_Management!#REF!</definedName>
    <definedName name="Dc_rip_max">Variable_Management!#REF!</definedName>
    <definedName name="Dc_var_ccm" localSheetId="3">CCM_Loop_Modeling_Isolated!$B$40</definedName>
    <definedName name="Dc_var_ccm">CCM_Loop_Modeling_non_isolated!$B$40</definedName>
    <definedName name="Dc_VIN_max">Variable_Management!$B$59</definedName>
    <definedName name="Dc_VIN_min">Variable_Management!$B$57</definedName>
    <definedName name="Dc_VIN_nom">Variable_Management!$B$58</definedName>
    <definedName name="disp_test">INDIRECT(#REF!)</definedName>
    <definedName name="display_eff">INDIRECT(Plot_Management_Eff!$B$2)</definedName>
    <definedName name="display_LOOP">INDIRECT('Plot Management_Loop'!$A$2)</definedName>
    <definedName name="display_Sch">INDIRECT('Plot Management_Sch'!$A$1)</definedName>
    <definedName name="Dmax_limit">Variable_Management!$B$52</definedName>
    <definedName name="EFF_est">Variable_Management!$B$41</definedName>
    <definedName name="Eff_OUT_1">Plot_Management_Eff!$C$3</definedName>
    <definedName name="Eff_OUT_2">Plot_Management_Eff!$C$6</definedName>
    <definedName name="Eff_OUT_3">Plot_Management_Eff!$C$9</definedName>
    <definedName name="Eff_vs_IOUT">Plot_Management_Eff!$C$3</definedName>
    <definedName name="EN_OUT_2">Variable_Management!$B$23</definedName>
    <definedName name="EN_OUT_3">Variable_Management!$B$32</definedName>
    <definedName name="FB_type">Variable_Management!$B$175</definedName>
    <definedName name="fcross">Variable_Management!$B$253</definedName>
    <definedName name="fcross_est">Variable_Management!$B$252</definedName>
    <definedName name="fcross_iso">Variable_Management!$B$226</definedName>
    <definedName name="fcross_iso_est">Variable_Management!$B$225</definedName>
    <definedName name="fopto">Variable_Management!$B$218</definedName>
    <definedName name="fp_ea_est">Variable_Management!$B$263</definedName>
    <definedName name="Fsw">Variable_Management!$B$10</definedName>
    <definedName name="fz_ea_est">Variable_Management!$B$261</definedName>
    <definedName name="fz_rhp">Variable_Management!$B$187</definedName>
    <definedName name="Gcomp">Constants!$B$31</definedName>
    <definedName name="Gea_mid_calc">Variable_Management!$B$257</definedName>
    <definedName name="gfs">Variable_Management!$B$284</definedName>
    <definedName name="gm_ea">Constants!$B$36</definedName>
    <definedName name="Gplant_fc_dB" localSheetId="3">CCM_Loop_Modeling_Isolated!$AD$7</definedName>
    <definedName name="Gplant_fc_dB">CCM_Loop_Modeling_non_isolated!$AD$7</definedName>
    <definedName name="Icomp_sink_max">Constants!$B$38</definedName>
    <definedName name="IIN_33" localSheetId="3">Variable_Management!#REF!</definedName>
    <definedName name="IIN_33">Variable_Management!#REF!</definedName>
    <definedName name="IL_avg_VIN_max">Variable_Management!$B$88</definedName>
    <definedName name="IL_avg_VIN_min">Variable_Management!$B$80</definedName>
    <definedName name="IL_avg_VIN_nom">Variable_Management!$B$84</definedName>
    <definedName name="IL_pk">Variable_Management!$B$113</definedName>
    <definedName name="IL_pk_max">Variable_Management!$B$114</definedName>
    <definedName name="ILp_VINmax">Variable_Management!$B$90</definedName>
    <definedName name="ILp_VINmin">Variable_Management!$B$82</definedName>
    <definedName name="ILp_VINnom">Variable_Management!$B$86</definedName>
    <definedName name="ILrip">Variable_Management!$B$74</definedName>
    <definedName name="ILrip_VINmax">Variable_Management!$B$89</definedName>
    <definedName name="ILrip_VINmin">Variable_Management!$B$81</definedName>
    <definedName name="ILrip_VINnom">Variable_Management!$B$85</definedName>
    <definedName name="IOUT1">Variable_Management!$B$16</definedName>
    <definedName name="IOUT2">Variable_Management!$B$25</definedName>
    <definedName name="IOUT3">Variable_Management!$B$34</definedName>
    <definedName name="Ipk_margin">Variable_Management!$B$93</definedName>
    <definedName name="Ipk_selected">Variable_Management!$B$94</definedName>
    <definedName name="IQ">Constants!$B$56</definedName>
    <definedName name="IRMS_COUT">Variable_Management!$B$129</definedName>
    <definedName name="Isl">Constants!$B$27</definedName>
    <definedName name="Iss">Constants!$B$45</definedName>
    <definedName name="kopto_max">Variable_Management!$B$211</definedName>
    <definedName name="kopto_min">Variable_Management!$B$210</definedName>
    <definedName name="Kslope">Variable_Management!$B$101</definedName>
    <definedName name="Lm">Variable_Management!$B$76</definedName>
    <definedName name="LOOP_ISO">'Plot Management_Loop'!$B$5</definedName>
    <definedName name="LOOP_ISO_1">#REF!</definedName>
    <definedName name="Loop_look_2">#REF!</definedName>
    <definedName name="LOOP_nISO">'Plot Management_Loop'!$B$3</definedName>
    <definedName name="LOOP_nISO_1">#REF!</definedName>
    <definedName name="Loop_Pictures">INDEX(#REF!,MATCH(#REF!,#REF!,0))</definedName>
    <definedName name="LoopLookup">INDEX('Plot Management_Loop'!$B$3:$B$4,MATCH('Plot Management_Loop'!$A$2,'Plot Management_Loop'!$D$3:$D$4,0))</definedName>
    <definedName name="Lopt" localSheetId="3">Variable_Management!#REF!</definedName>
    <definedName name="Lopt">Variable_Management!#REF!</definedName>
    <definedName name="Lopt_2" localSheetId="3">Variable_Management!#REF!</definedName>
    <definedName name="Lopt_2">Variable_Management!#REF!</definedName>
    <definedName name="mc" localSheetId="3">CCM_Loop_Modeling_Isolated!$B$53</definedName>
    <definedName name="mc">CCM_Loop_Modeling_non_isolated!$B$53</definedName>
    <definedName name="Np">Variable_Management!$B$51</definedName>
    <definedName name="NS1_">Variable_Management!$B$54</definedName>
    <definedName name="NS2_">Variable_Management!$B$64</definedName>
    <definedName name="NS3_">Variable_Management!$B$69</definedName>
    <definedName name="POUT_Total">Variable_Management!$B$40</definedName>
    <definedName name="Pout_var" localSheetId="3">CCM_Loop_Modeling_Isolated!$B$17</definedName>
    <definedName name="Pout_var">CCM_Loop_Modeling_non_isolated!$B$17</definedName>
    <definedName name="POUT1">Variable_Management!$B$18</definedName>
    <definedName name="POUT2">Variable_Management!$B$27</definedName>
    <definedName name="POUT3">Variable_Management!$B$36</definedName>
    <definedName name="_xlnm.Print_Area" localSheetId="0">'Design Converter'!$A$1:$AE$123</definedName>
    <definedName name="Q" localSheetId="3">CCM_Loop_Modeling_Isolated!$B$55</definedName>
    <definedName name="Q">CCM_Loop_Modeling_non_isolated!$B$55</definedName>
    <definedName name="Q_VINmin">Variable_Management!$B$195</definedName>
    <definedName name="Qg_tot">Variable_Management!$B$279</definedName>
    <definedName name="Qgd">Variable_Management!$B$280</definedName>
    <definedName name="Qgs">Variable_Management!$B$281</definedName>
    <definedName name="Qrr">Variable_Management!#REF!</definedName>
    <definedName name="QRR1_">Variable_Management!$B$20</definedName>
    <definedName name="QRR2_">Variable_Management!$B$29</definedName>
    <definedName name="QRR3_">Variable_Management!$B$38</definedName>
    <definedName name="R_cs">Variable_Management!$B$109</definedName>
    <definedName name="R_sl">Variable_Management!$B$110</definedName>
    <definedName name="RCOMP">Variable_Management!$B$268</definedName>
    <definedName name="Rcomp_calc">Variable_Management!$B$267</definedName>
    <definedName name="Rcomp_iso">Variable_Management!$B$229</definedName>
    <definedName name="Rcs_max">Variable_Management!$B$98</definedName>
    <definedName name="Rcs_w_sl">Variable_Management!$B$102</definedName>
    <definedName name="Rcs_wo_sl">Variable_Management!$B$99</definedName>
    <definedName name="Rdcr">Variable_Management!$B$77</definedName>
    <definedName name="Rdcr1">Variable_Management!$B$55</definedName>
    <definedName name="Rdcr2">Variable_Management!$B$66</definedName>
    <definedName name="Rdcr3">Variable_Management!$B$71</definedName>
    <definedName name="RDS_on">Variable_Management!$B$278</definedName>
    <definedName name="Resr_total">Variable_Management!$B$151</definedName>
    <definedName name="Resr1">Variable_Management!$B$131</definedName>
    <definedName name="Resr2">Variable_Management!$B$139</definedName>
    <definedName name="Resr2_Trans">Variable_Management!$B$140</definedName>
    <definedName name="Resr3">Variable_Management!$B$147</definedName>
    <definedName name="Resr3_Trans">Variable_Management!$B$148</definedName>
    <definedName name="RFBB">Variable_Management!$B$240</definedName>
    <definedName name="RFBB_calc">Variable_Management!$B$239</definedName>
    <definedName name="RFBB_iso">Variable_Management!$B$207</definedName>
    <definedName name="RFBB_iso_calc">Variable_Management!$B$206</definedName>
    <definedName name="RFBT">Variable_Management!$B$238</definedName>
    <definedName name="RFBT_iso">Variable_Management!$B$205</definedName>
    <definedName name="Rgate">Variable_Management!$B$282</definedName>
    <definedName name="RLED">Variable_Management!$B$220</definedName>
    <definedName name="ROUT1">Variable_Management!$B$17</definedName>
    <definedName name="ROUT2">Variable_Management!$B$26</definedName>
    <definedName name="ROUT3">Variable_Management!$B$35</definedName>
    <definedName name="Rpullup">Variable_Management!$B$217</definedName>
    <definedName name="Rpullup_min">Variable_Management!$B$216</definedName>
    <definedName name="Rsl_int">Constants!$B$28</definedName>
    <definedName name="RT">Variable_Management!$B$11</definedName>
    <definedName name="Ruvlo_bottom_calc">Variable_Management!$B$168</definedName>
    <definedName name="Ruvlo_top">Variable_Management!$B$167</definedName>
    <definedName name="Ruvlo_top_calc">Variable_Management!$B$166</definedName>
    <definedName name="SCH_1">#REF!</definedName>
    <definedName name="sch_ISO_1">'Plot Management_Sch'!$F$6</definedName>
    <definedName name="sch_ISO_2">'Plot Management_Sch'!$D$6</definedName>
    <definedName name="sch_ISO_3">'Plot Management_Sch'!$B$6</definedName>
    <definedName name="sch_nISO_1">'Plot Management_Sch'!$F$4</definedName>
    <definedName name="sch_nISO_2">'Plot Management_Sch'!$D$4</definedName>
    <definedName name="sch_nISO_3">'Plot Management_Sch'!$B$4</definedName>
    <definedName name="Se_VINmin">Variable_Management!$B$191</definedName>
    <definedName name="Sn_VINmin">Variable_Management!$B$192</definedName>
    <definedName name="tf_sw">Variable_Management!$B$291</definedName>
    <definedName name="tr_sw">Variable_Management!$B$290</definedName>
    <definedName name="tss">Variable_Management!$B$157</definedName>
    <definedName name="UV_fall">Constants!$B$49</definedName>
    <definedName name="UV_I_hyst">Constants!$B$50</definedName>
    <definedName name="UV_rise">Constants!$B$48</definedName>
    <definedName name="Vcc">Constants!$B$53</definedName>
    <definedName name="VCE_sat">Variable_Management!$B$214</definedName>
    <definedName name="Vcl">Constants!$B$29</definedName>
    <definedName name="Vcomp_max">Constants!$B$37</definedName>
    <definedName name="VD">Constants!$B$8</definedName>
    <definedName name="Vd_opto">Variable_Management!$B$212</definedName>
    <definedName name="Vd_rect">Variable_Management!#REF!</definedName>
    <definedName name="VD1_">Variable_Management!$B$19</definedName>
    <definedName name="VD2_">Variable_Management!$B$28</definedName>
    <definedName name="VD3_">Variable_Management!$B$37</definedName>
    <definedName name="VIN_33" localSheetId="3">Variable_Management!#REF!</definedName>
    <definedName name="VIN_33">Variable_Management!#REF!</definedName>
    <definedName name="VIN_max">Variable_Management!$B$9</definedName>
    <definedName name="VIN_min">Variable_Management!$B$7</definedName>
    <definedName name="VIN_nom">Variable_Management!$B$8</definedName>
    <definedName name="VIN_op_max">Constants!$B$60</definedName>
    <definedName name="VIN_op_max_56">Constants!$B$61</definedName>
    <definedName name="VIN_op_min">Constants!$B$59</definedName>
    <definedName name="VIN_var">Variable_Management!$B$8</definedName>
    <definedName name="VOUT1">Variable_Management!$B$15</definedName>
    <definedName name="Vout1_rip_sel">Variable_Management!$B$126</definedName>
    <definedName name="VOUT2">Variable_Management!$B$24</definedName>
    <definedName name="Vout2_rip_sel">Variable_Management!$B$134</definedName>
    <definedName name="VOUT3">Variable_Management!$B$33</definedName>
    <definedName name="Vout3_rip_sel">Variable_Management!$B$142</definedName>
    <definedName name="Vpullup">Variable_Management!$B$215</definedName>
    <definedName name="Vref">Constants!$B$35</definedName>
    <definedName name="Vref_iso">Variable_Management!$B$204</definedName>
    <definedName name="Vth">Variable_Management!$B$285</definedName>
    <definedName name="Vuvlo_off">Variable_Management!$B$162</definedName>
    <definedName name="Vuvlo_on">Variable_Management!$B$161</definedName>
    <definedName name="wp_lf" localSheetId="3">CCM_Loop_Modeling_Isolated!$B$42</definedName>
    <definedName name="wp_lf">CCM_Loop_Modeling_non_isolated!$B$42</definedName>
    <definedName name="wp_lf_VINmin">Variable_Management!$B$180</definedName>
    <definedName name="wp0_ea">CCM_Loop_Modeling_non_isolated!$B$71</definedName>
    <definedName name="wp1_ea">CCM_Loop_Modeling_non_isolated!$B$72</definedName>
    <definedName name="wpA_ea_iso" localSheetId="3">CCM_Loop_Modeling_Isolated!$B$72</definedName>
    <definedName name="wpB_ea_iso" localSheetId="3">CCM_Loop_Modeling_Isolated!$B$73</definedName>
    <definedName name="wpC_ea_iso">CCM_Loop_Modeling_Isolated!$B$74</definedName>
    <definedName name="wsl" localSheetId="3">CCM_Loop_Modeling_Isolated!$B$54</definedName>
    <definedName name="wsl">CCM_Loop_Modeling_non_isolated!$B$54</definedName>
    <definedName name="wsl_VINmin">Variable_Management!$B$194</definedName>
    <definedName name="wz_ea">CCM_Loop_Modeling_non_isolated!$B$70</definedName>
    <definedName name="wz_esr" localSheetId="3">CCM_Loop_Modeling_Isolated!$B$48</definedName>
    <definedName name="wz_esr">CCM_Loop_Modeling_non_isolated!$B$48</definedName>
    <definedName name="wz_esr_VINmin">Variable_Management!$B$183</definedName>
    <definedName name="wz_rhp" localSheetId="3">CCM_Loop_Modeling_Isolated!$B$45</definedName>
    <definedName name="wz_rhp">CCM_Loop_Modeling_non_isolated!$B$45</definedName>
    <definedName name="wz_RHP_VINmin">Variable_Management!$B$186</definedName>
    <definedName name="wz1_ea_iso">CCM_Loop_Modeling_Isolated!$B$70</definedName>
    <definedName name="wz2_ea_iso" localSheetId="3">CCM_Loop_Modeling_Isolated!$B$71</definedName>
  </definedNames>
  <calcPr calcId="181029"/>
</workbook>
</file>

<file path=xl/calcChain.xml><?xml version="1.0" encoding="utf-8"?>
<calcChain xmlns="http://schemas.openxmlformats.org/spreadsheetml/2006/main">
  <c r="K229" i="2" l="1"/>
  <c r="H230" i="2"/>
  <c r="B134" i="2" l="1"/>
  <c r="A1" i="11" l="1"/>
  <c r="A2" i="9"/>
  <c r="I5" i="9" s="1"/>
  <c r="B2" i="6" l="1"/>
  <c r="B32" i="2" l="1"/>
  <c r="B23" i="2"/>
  <c r="B28" i="2" l="1"/>
  <c r="B20" i="2"/>
  <c r="B19" i="2"/>
  <c r="B55" i="2" l="1"/>
  <c r="B231" i="2" l="1"/>
  <c r="O560" i="10"/>
  <c r="O559" i="10"/>
  <c r="O558" i="10"/>
  <c r="O557" i="10"/>
  <c r="O556" i="10"/>
  <c r="O555" i="10"/>
  <c r="O554" i="10"/>
  <c r="O553" i="10"/>
  <c r="O552" i="10"/>
  <c r="O551" i="10"/>
  <c r="O550" i="10"/>
  <c r="O549" i="10"/>
  <c r="O548" i="10"/>
  <c r="O547" i="10"/>
  <c r="O546" i="10"/>
  <c r="O545" i="10"/>
  <c r="O544" i="10"/>
  <c r="O543" i="10"/>
  <c r="O542" i="10"/>
  <c r="O541" i="10"/>
  <c r="O540" i="10"/>
  <c r="O539" i="10"/>
  <c r="O538" i="10"/>
  <c r="O537" i="10"/>
  <c r="O536" i="10"/>
  <c r="O535" i="10"/>
  <c r="O534" i="10"/>
  <c r="O533" i="10"/>
  <c r="O532" i="10"/>
  <c r="O531" i="10"/>
  <c r="O530" i="10"/>
  <c r="O529" i="10"/>
  <c r="O528" i="10"/>
  <c r="O527" i="10"/>
  <c r="O526" i="10"/>
  <c r="O525" i="10"/>
  <c r="O524" i="10"/>
  <c r="O523" i="10"/>
  <c r="O522" i="10"/>
  <c r="O521" i="10"/>
  <c r="O520" i="10"/>
  <c r="O519" i="10"/>
  <c r="O518" i="10"/>
  <c r="O517" i="10"/>
  <c r="O516" i="10"/>
  <c r="O515" i="10"/>
  <c r="O514" i="10"/>
  <c r="O513" i="10"/>
  <c r="O512" i="10"/>
  <c r="O511" i="10"/>
  <c r="O510" i="10"/>
  <c r="O509" i="10"/>
  <c r="O508" i="10"/>
  <c r="O507" i="10"/>
  <c r="O506" i="10"/>
  <c r="O505" i="10"/>
  <c r="O504" i="10"/>
  <c r="O503" i="10"/>
  <c r="O502" i="10"/>
  <c r="O501" i="10"/>
  <c r="O500" i="10"/>
  <c r="O499" i="10"/>
  <c r="O498" i="10"/>
  <c r="O497" i="10"/>
  <c r="O496" i="10"/>
  <c r="O495" i="10"/>
  <c r="O494" i="10"/>
  <c r="O493" i="10"/>
  <c r="O492" i="10"/>
  <c r="O491" i="10"/>
  <c r="O490" i="10"/>
  <c r="O489" i="10"/>
  <c r="O488" i="10"/>
  <c r="O487" i="10"/>
  <c r="O486" i="10"/>
  <c r="O485" i="10"/>
  <c r="O484" i="10"/>
  <c r="O483" i="10"/>
  <c r="O482" i="10"/>
  <c r="O481" i="10"/>
  <c r="O480" i="10"/>
  <c r="O479" i="10"/>
  <c r="O478" i="10"/>
  <c r="O477" i="10"/>
  <c r="O476" i="10"/>
  <c r="O475" i="10"/>
  <c r="O474" i="10"/>
  <c r="O473" i="10"/>
  <c r="O472" i="10"/>
  <c r="O471" i="10"/>
  <c r="O470" i="10"/>
  <c r="O469" i="10"/>
  <c r="O468" i="10"/>
  <c r="O467" i="10"/>
  <c r="O466" i="10"/>
  <c r="O465" i="10"/>
  <c r="O464" i="10"/>
  <c r="O463"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6" i="10"/>
  <c r="O405" i="10"/>
  <c r="O404" i="10"/>
  <c r="O403" i="10"/>
  <c r="O402" i="10"/>
  <c r="O401" i="10"/>
  <c r="O400" i="10"/>
  <c r="O399" i="10"/>
  <c r="O398" i="10"/>
  <c r="O397" i="10"/>
  <c r="O396" i="10"/>
  <c r="O395" i="10"/>
  <c r="O394" i="10"/>
  <c r="O393" i="10"/>
  <c r="O392" i="10"/>
  <c r="O391" i="10"/>
  <c r="O390" i="10"/>
  <c r="O389" i="10"/>
  <c r="O388" i="10"/>
  <c r="O387" i="10"/>
  <c r="O386" i="10"/>
  <c r="O385" i="10"/>
  <c r="O384" i="10"/>
  <c r="O383" i="10"/>
  <c r="O382" i="10"/>
  <c r="O381" i="10"/>
  <c r="O380" i="10"/>
  <c r="O379" i="10"/>
  <c r="O378" i="10"/>
  <c r="O377" i="10"/>
  <c r="O376" i="10"/>
  <c r="O375" i="10"/>
  <c r="O374" i="10"/>
  <c r="O373" i="10"/>
  <c r="O372" i="10"/>
  <c r="O371" i="10"/>
  <c r="O370" i="10"/>
  <c r="O369" i="10"/>
  <c r="O368" i="10"/>
  <c r="O367" i="10"/>
  <c r="O366" i="10"/>
  <c r="O365" i="10"/>
  <c r="O364" i="10"/>
  <c r="O363" i="10"/>
  <c r="O362" i="10"/>
  <c r="O361" i="10"/>
  <c r="O360" i="10"/>
  <c r="O359" i="10"/>
  <c r="O358" i="10"/>
  <c r="O357" i="10"/>
  <c r="O356" i="10"/>
  <c r="O355" i="10"/>
  <c r="O354" i="10"/>
  <c r="O353" i="10"/>
  <c r="O352" i="10"/>
  <c r="O351" i="10"/>
  <c r="O350" i="10"/>
  <c r="O349" i="10"/>
  <c r="O348" i="10"/>
  <c r="O347" i="10"/>
  <c r="O346" i="10"/>
  <c r="O345" i="10"/>
  <c r="O344" i="10"/>
  <c r="O343" i="10"/>
  <c r="O342" i="10"/>
  <c r="O341" i="10"/>
  <c r="O340" i="10"/>
  <c r="O339" i="10"/>
  <c r="O338" i="10"/>
  <c r="O337" i="10"/>
  <c r="O336" i="10"/>
  <c r="O335" i="10"/>
  <c r="O334" i="10"/>
  <c r="O333" i="10"/>
  <c r="O332" i="10"/>
  <c r="O331" i="10"/>
  <c r="O330" i="10"/>
  <c r="O329" i="10"/>
  <c r="O328" i="10"/>
  <c r="O327" i="10"/>
  <c r="O326" i="10"/>
  <c r="O325" i="10"/>
  <c r="O324" i="10"/>
  <c r="O323" i="10"/>
  <c r="O322" i="10"/>
  <c r="O321" i="10"/>
  <c r="O320" i="10"/>
  <c r="O319" i="10"/>
  <c r="O318" i="10"/>
  <c r="O317" i="10"/>
  <c r="O316" i="10"/>
  <c r="O315" i="10"/>
  <c r="O314" i="10"/>
  <c r="O313" i="10"/>
  <c r="O312" i="10"/>
  <c r="O311" i="10"/>
  <c r="O310" i="10"/>
  <c r="O309" i="10"/>
  <c r="O308" i="10"/>
  <c r="O307" i="10"/>
  <c r="O306" i="10"/>
  <c r="O305" i="10"/>
  <c r="O304" i="10"/>
  <c r="O303" i="10"/>
  <c r="O302" i="10"/>
  <c r="O301" i="10"/>
  <c r="O300" i="10"/>
  <c r="O299" i="10"/>
  <c r="O298" i="10"/>
  <c r="O297" i="10"/>
  <c r="O296" i="10"/>
  <c r="O295" i="10"/>
  <c r="O294" i="10"/>
  <c r="O293" i="10"/>
  <c r="O292" i="10"/>
  <c r="O291" i="10"/>
  <c r="O290" i="10"/>
  <c r="O289" i="10"/>
  <c r="O288" i="10"/>
  <c r="O287" i="10"/>
  <c r="O286" i="10"/>
  <c r="O285" i="10"/>
  <c r="O284" i="10"/>
  <c r="O283" i="10"/>
  <c r="O282" i="10"/>
  <c r="O281" i="10"/>
  <c r="O280" i="10"/>
  <c r="O279" i="10"/>
  <c r="O278" i="10"/>
  <c r="O277" i="10"/>
  <c r="O276" i="10"/>
  <c r="O275" i="10"/>
  <c r="O274" i="10"/>
  <c r="O273" i="10"/>
  <c r="O272" i="10"/>
  <c r="O271" i="10"/>
  <c r="O270" i="10"/>
  <c r="O269" i="10"/>
  <c r="O268" i="10"/>
  <c r="O267" i="10"/>
  <c r="O266" i="10"/>
  <c r="O265" i="10"/>
  <c r="O264" i="10"/>
  <c r="O263" i="10"/>
  <c r="O262" i="10"/>
  <c r="O261" i="10"/>
  <c r="O260" i="10"/>
  <c r="O259" i="10"/>
  <c r="O258" i="10"/>
  <c r="O257" i="10"/>
  <c r="O256" i="10"/>
  <c r="O255" i="10"/>
  <c r="O254" i="10"/>
  <c r="O253" i="10"/>
  <c r="O252" i="10"/>
  <c r="O251" i="10"/>
  <c r="O250" i="10"/>
  <c r="O249" i="10"/>
  <c r="O248" i="10"/>
  <c r="O247"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O196" i="10"/>
  <c r="O195" i="10"/>
  <c r="O194" i="10"/>
  <c r="O193" i="10"/>
  <c r="O192" i="10"/>
  <c r="O191" i="10"/>
  <c r="O190" i="10"/>
  <c r="O189" i="10"/>
  <c r="O188" i="10"/>
  <c r="O187" i="10"/>
  <c r="O186" i="10"/>
  <c r="O185" i="10"/>
  <c r="O184"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O103" i="10"/>
  <c r="O102" i="10"/>
  <c r="O101" i="10"/>
  <c r="O100" i="10"/>
  <c r="O99" i="10"/>
  <c r="O98" i="10"/>
  <c r="O97" i="10"/>
  <c r="O96" i="10"/>
  <c r="O95" i="10"/>
  <c r="O94" i="10"/>
  <c r="O93" i="10"/>
  <c r="O92" i="10"/>
  <c r="O91" i="10"/>
  <c r="O90" i="10"/>
  <c r="O89" i="10"/>
  <c r="O88" i="10"/>
  <c r="O87" i="10"/>
  <c r="O86" i="10"/>
  <c r="O85" i="10"/>
  <c r="O84" i="10"/>
  <c r="O83" i="10"/>
  <c r="O82" i="10"/>
  <c r="O81" i="10"/>
  <c r="O80" i="10"/>
  <c r="O79" i="10"/>
  <c r="O78" i="10"/>
  <c r="O77" i="10"/>
  <c r="O76" i="10"/>
  <c r="O75" i="10"/>
  <c r="O74" i="10"/>
  <c r="O73" i="10"/>
  <c r="O72" i="10"/>
  <c r="O71" i="10"/>
  <c r="O70" i="10"/>
  <c r="O69" i="10"/>
  <c r="O68" i="10"/>
  <c r="O67" i="10"/>
  <c r="O66" i="10"/>
  <c r="O65" i="10"/>
  <c r="O64"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B36" i="10"/>
  <c r="O35" i="10"/>
  <c r="O34" i="10"/>
  <c r="O33" i="10"/>
  <c r="B33" i="10"/>
  <c r="O32" i="10"/>
  <c r="O31" i="10"/>
  <c r="O30" i="10"/>
  <c r="O29" i="10"/>
  <c r="O28" i="10"/>
  <c r="O27" i="10"/>
  <c r="O26" i="10"/>
  <c r="O25" i="10"/>
  <c r="O24" i="10"/>
  <c r="O23" i="10"/>
  <c r="O22" i="10"/>
  <c r="O21" i="10"/>
  <c r="O20" i="10"/>
  <c r="O19" i="10"/>
  <c r="AG19" i="10" s="1"/>
  <c r="B229" i="2"/>
  <c r="G222" i="2"/>
  <c r="F222" i="2"/>
  <c r="B220" i="2"/>
  <c r="B214" i="2"/>
  <c r="B226" i="2"/>
  <c r="B217" i="2"/>
  <c r="B215" i="2"/>
  <c r="B216" i="2" s="1"/>
  <c r="H76" i="1" s="1"/>
  <c r="B213" i="2"/>
  <c r="I72" i="10" s="1"/>
  <c r="B38" i="3"/>
  <c r="B212" i="2"/>
  <c r="B211" i="2"/>
  <c r="B210" i="2"/>
  <c r="B207" i="2"/>
  <c r="B64" i="10" s="1"/>
  <c r="B205" i="2"/>
  <c r="B63" i="10" s="1"/>
  <c r="B204" i="2"/>
  <c r="E232" i="2" l="1"/>
  <c r="K222" i="2"/>
  <c r="B69" i="10"/>
  <c r="AF8" i="10" s="1"/>
  <c r="B65" i="10"/>
  <c r="B71" i="10"/>
  <c r="AP19" i="10" s="1"/>
  <c r="B66" i="10"/>
  <c r="B73" i="10"/>
  <c r="B70" i="10"/>
  <c r="AM19" i="10" s="1"/>
  <c r="B72" i="10"/>
  <c r="AG31" i="10"/>
  <c r="AG33" i="10"/>
  <c r="AG39" i="10"/>
  <c r="AG47" i="10"/>
  <c r="AG57" i="10"/>
  <c r="AG69" i="10"/>
  <c r="AG81" i="10"/>
  <c r="AG89" i="10"/>
  <c r="AG97" i="10"/>
  <c r="AG105" i="10"/>
  <c r="AG113" i="10"/>
  <c r="AG121" i="10"/>
  <c r="AG129" i="10"/>
  <c r="AG137" i="10"/>
  <c r="AG145" i="10"/>
  <c r="AG153" i="10"/>
  <c r="AG161" i="10"/>
  <c r="AG165" i="10"/>
  <c r="AG173" i="10"/>
  <c r="AG181" i="10"/>
  <c r="AG189" i="10"/>
  <c r="AG197" i="10"/>
  <c r="AG205" i="10"/>
  <c r="AG213" i="10"/>
  <c r="AG221" i="10"/>
  <c r="AG229" i="10"/>
  <c r="AG237" i="10"/>
  <c r="AG245" i="10"/>
  <c r="AG253" i="10"/>
  <c r="AG261" i="10"/>
  <c r="AG269" i="10"/>
  <c r="AG277" i="10"/>
  <c r="AG285" i="10"/>
  <c r="AG289" i="10"/>
  <c r="AG297" i="10"/>
  <c r="AG305" i="10"/>
  <c r="AG313" i="10"/>
  <c r="AG321" i="10"/>
  <c r="AG329" i="10"/>
  <c r="AG337" i="10"/>
  <c r="AG349" i="10"/>
  <c r="AG353" i="10"/>
  <c r="AG361" i="10"/>
  <c r="AG369" i="10"/>
  <c r="AG377" i="10"/>
  <c r="AG385" i="10"/>
  <c r="AG397" i="10"/>
  <c r="AG405" i="10"/>
  <c r="AG413" i="10"/>
  <c r="AG421" i="10"/>
  <c r="AG429" i="10"/>
  <c r="AG437" i="10"/>
  <c r="AG445" i="10"/>
  <c r="AG453" i="10"/>
  <c r="AG461" i="10"/>
  <c r="AG469" i="10"/>
  <c r="AG477" i="10"/>
  <c r="AG485" i="10"/>
  <c r="AG493" i="10"/>
  <c r="AG497" i="10"/>
  <c r="AG505" i="10"/>
  <c r="AG517" i="10"/>
  <c r="AG525" i="10"/>
  <c r="AG533" i="10"/>
  <c r="AG537" i="10"/>
  <c r="AG545" i="10"/>
  <c r="AG553" i="10"/>
  <c r="AG20" i="10"/>
  <c r="AG26" i="10"/>
  <c r="AG36" i="10"/>
  <c r="AG48" i="10"/>
  <c r="AG58" i="10"/>
  <c r="AG66" i="10"/>
  <c r="AG78" i="10"/>
  <c r="AG86" i="10"/>
  <c r="AG94" i="10"/>
  <c r="AG102" i="10"/>
  <c r="AG110" i="10"/>
  <c r="AG118" i="10"/>
  <c r="AG126" i="10"/>
  <c r="AG138" i="10"/>
  <c r="AG146" i="10"/>
  <c r="AG154" i="10"/>
  <c r="AG162" i="10"/>
  <c r="AG170" i="10"/>
  <c r="AG178" i="10"/>
  <c r="AG186" i="10"/>
  <c r="AG194" i="10"/>
  <c r="AG202" i="10"/>
  <c r="AG206" i="10"/>
  <c r="AG214" i="10"/>
  <c r="AG222" i="10"/>
  <c r="AG230" i="10"/>
  <c r="AG238" i="10"/>
  <c r="AG246" i="10"/>
  <c r="AG254" i="10"/>
  <c r="AG262" i="10"/>
  <c r="AG270" i="10"/>
  <c r="AG282" i="10"/>
  <c r="AG290" i="10"/>
  <c r="AG298" i="10"/>
  <c r="AG306" i="10"/>
  <c r="AG314" i="10"/>
  <c r="AG322" i="10"/>
  <c r="AG330" i="10"/>
  <c r="AG338" i="10"/>
  <c r="AG346" i="10"/>
  <c r="AG354" i="10"/>
  <c r="AG362" i="10"/>
  <c r="AG370" i="10"/>
  <c r="AG378" i="10"/>
  <c r="AG386" i="10"/>
  <c r="AG394" i="10"/>
  <c r="AG402" i="10"/>
  <c r="AG410" i="10"/>
  <c r="AG414" i="10"/>
  <c r="AG422" i="10"/>
  <c r="AG434" i="10"/>
  <c r="AG442" i="10"/>
  <c r="AG450" i="10"/>
  <c r="AG454" i="10"/>
  <c r="AG458" i="10"/>
  <c r="AG466" i="10"/>
  <c r="AG470" i="10"/>
  <c r="AG474" i="10"/>
  <c r="AG478" i="10"/>
  <c r="AG482" i="10"/>
  <c r="AG486" i="10"/>
  <c r="AG490" i="10"/>
  <c r="AG494" i="10"/>
  <c r="AG498" i="10"/>
  <c r="AG502" i="10"/>
  <c r="AG506" i="10"/>
  <c r="AG510" i="10"/>
  <c r="AG514" i="10"/>
  <c r="AG518" i="10"/>
  <c r="AG522" i="10"/>
  <c r="AG526" i="10"/>
  <c r="AG530" i="10"/>
  <c r="AG538" i="10"/>
  <c r="AG542" i="10"/>
  <c r="AG546" i="10"/>
  <c r="AG550" i="10"/>
  <c r="AG554" i="10"/>
  <c r="AG558" i="10"/>
  <c r="AG21" i="10"/>
  <c r="AG27" i="10"/>
  <c r="AG30" i="10"/>
  <c r="AG32" i="10"/>
  <c r="AG34" i="10"/>
  <c r="AG37" i="10"/>
  <c r="AG41" i="10"/>
  <c r="AG45" i="10"/>
  <c r="AG49" i="10"/>
  <c r="AG52" i="10"/>
  <c r="AG55" i="10"/>
  <c r="AG59" i="10"/>
  <c r="AG63" i="10"/>
  <c r="AG67" i="10"/>
  <c r="AG71" i="10"/>
  <c r="AG75" i="10"/>
  <c r="AG79" i="10"/>
  <c r="AG83" i="10"/>
  <c r="AG87" i="10"/>
  <c r="AG91" i="10"/>
  <c r="AG95" i="10"/>
  <c r="AG99" i="10"/>
  <c r="AG103" i="10"/>
  <c r="AG107" i="10"/>
  <c r="AG111" i="10"/>
  <c r="AG115" i="10"/>
  <c r="AG119" i="10"/>
  <c r="AG123" i="10"/>
  <c r="AG127" i="10"/>
  <c r="AG131" i="10"/>
  <c r="AG135" i="10"/>
  <c r="AG139" i="10"/>
  <c r="AG143" i="10"/>
  <c r="AG147" i="10"/>
  <c r="AG151" i="10"/>
  <c r="AG155" i="10"/>
  <c r="AG159" i="10"/>
  <c r="AG163" i="10"/>
  <c r="AG167" i="10"/>
  <c r="AG171" i="10"/>
  <c r="AG175" i="10"/>
  <c r="AG179" i="10"/>
  <c r="AG183" i="10"/>
  <c r="AG187" i="10"/>
  <c r="AG191" i="10"/>
  <c r="AG195" i="10"/>
  <c r="AG199" i="10"/>
  <c r="AG203" i="10"/>
  <c r="AG207" i="10"/>
  <c r="AG211" i="10"/>
  <c r="AG215" i="10"/>
  <c r="AG219" i="10"/>
  <c r="AG223" i="10"/>
  <c r="AG227" i="10"/>
  <c r="AG231" i="10"/>
  <c r="AG235" i="10"/>
  <c r="AG239" i="10"/>
  <c r="AG243" i="10"/>
  <c r="AG247" i="10"/>
  <c r="AG251" i="10"/>
  <c r="AG255" i="10"/>
  <c r="AG259" i="10"/>
  <c r="AG263" i="10"/>
  <c r="AG267" i="10"/>
  <c r="AG271" i="10"/>
  <c r="AG275" i="10"/>
  <c r="AG279" i="10"/>
  <c r="AG283" i="10"/>
  <c r="AG287" i="10"/>
  <c r="AG291" i="10"/>
  <c r="AG295" i="10"/>
  <c r="AG299" i="10"/>
  <c r="AG303" i="10"/>
  <c r="AG307" i="10"/>
  <c r="AG311" i="10"/>
  <c r="AG315" i="10"/>
  <c r="AG319" i="10"/>
  <c r="AG323" i="10"/>
  <c r="AG327" i="10"/>
  <c r="AG331" i="10"/>
  <c r="AG335" i="10"/>
  <c r="AG339" i="10"/>
  <c r="AG343" i="10"/>
  <c r="AG347" i="10"/>
  <c r="AG351" i="10"/>
  <c r="AG355" i="10"/>
  <c r="AG359" i="10"/>
  <c r="AG363" i="10"/>
  <c r="AG367" i="10"/>
  <c r="AG371" i="10"/>
  <c r="AG375" i="10"/>
  <c r="AG379" i="10"/>
  <c r="AG383" i="10"/>
  <c r="AG387" i="10"/>
  <c r="AG391" i="10"/>
  <c r="AG395" i="10"/>
  <c r="AG399" i="10"/>
  <c r="AG403" i="10"/>
  <c r="AG407" i="10"/>
  <c r="AG411" i="10"/>
  <c r="AG415" i="10"/>
  <c r="AG419" i="10"/>
  <c r="AG423" i="10"/>
  <c r="AG427" i="10"/>
  <c r="AG431" i="10"/>
  <c r="AG435" i="10"/>
  <c r="AG439" i="10"/>
  <c r="AG443" i="10"/>
  <c r="AG447" i="10"/>
  <c r="AG451" i="10"/>
  <c r="AG455" i="10"/>
  <c r="AG459" i="10"/>
  <c r="AG463" i="10"/>
  <c r="AG467" i="10"/>
  <c r="AG471" i="10"/>
  <c r="AG475" i="10"/>
  <c r="AG479" i="10"/>
  <c r="AG483" i="10"/>
  <c r="AG487" i="10"/>
  <c r="AG491" i="10"/>
  <c r="AG495" i="10"/>
  <c r="AG499" i="10"/>
  <c r="AG503" i="10"/>
  <c r="AG507" i="10"/>
  <c r="AG511" i="10"/>
  <c r="AG515" i="10"/>
  <c r="AG519" i="10"/>
  <c r="AG523" i="10"/>
  <c r="AG527" i="10"/>
  <c r="AG531" i="10"/>
  <c r="AG535" i="10"/>
  <c r="AG539" i="10"/>
  <c r="AG543" i="10"/>
  <c r="AG547" i="10"/>
  <c r="AG551" i="10"/>
  <c r="AG555" i="10"/>
  <c r="AG559" i="10"/>
  <c r="AG23" i="10"/>
  <c r="AG43" i="10"/>
  <c r="AG61" i="10"/>
  <c r="AG65" i="10"/>
  <c r="AG73" i="10"/>
  <c r="AG77" i="10"/>
  <c r="AG85" i="10"/>
  <c r="AG93" i="10"/>
  <c r="AG101" i="10"/>
  <c r="AG109" i="10"/>
  <c r="AG117" i="10"/>
  <c r="AG125" i="10"/>
  <c r="AG133" i="10"/>
  <c r="AG141" i="10"/>
  <c r="AG149" i="10"/>
  <c r="AG157" i="10"/>
  <c r="AG169" i="10"/>
  <c r="AG177" i="10"/>
  <c r="AG185" i="10"/>
  <c r="AG193" i="10"/>
  <c r="AG201" i="10"/>
  <c r="AG209" i="10"/>
  <c r="AG217" i="10"/>
  <c r="AG225" i="10"/>
  <c r="AG233" i="10"/>
  <c r="AG241" i="10"/>
  <c r="AG249" i="10"/>
  <c r="AG257" i="10"/>
  <c r="AG265" i="10"/>
  <c r="AG273" i="10"/>
  <c r="AG281" i="10"/>
  <c r="AG293" i="10"/>
  <c r="AG301" i="10"/>
  <c r="AG309" i="10"/>
  <c r="AG317" i="10"/>
  <c r="AG325" i="10"/>
  <c r="AG333" i="10"/>
  <c r="AG341" i="10"/>
  <c r="AG345" i="10"/>
  <c r="AG357" i="10"/>
  <c r="AG365" i="10"/>
  <c r="AG373" i="10"/>
  <c r="AG381" i="10"/>
  <c r="AG389" i="10"/>
  <c r="AG393" i="10"/>
  <c r="AG401" i="10"/>
  <c r="AG409" i="10"/>
  <c r="AG417" i="10"/>
  <c r="AG425" i="10"/>
  <c r="AG433" i="10"/>
  <c r="AG441" i="10"/>
  <c r="AG449" i="10"/>
  <c r="AG457" i="10"/>
  <c r="AG465" i="10"/>
  <c r="AG473" i="10"/>
  <c r="AG481" i="10"/>
  <c r="AG489" i="10"/>
  <c r="AG501" i="10"/>
  <c r="AG509" i="10"/>
  <c r="AG513" i="10"/>
  <c r="AG521" i="10"/>
  <c r="AG529" i="10"/>
  <c r="AG541" i="10"/>
  <c r="AG549" i="10"/>
  <c r="AG557" i="10"/>
  <c r="AG24" i="10"/>
  <c r="AG29" i="10"/>
  <c r="AG40" i="10"/>
  <c r="AG44" i="10"/>
  <c r="AG51" i="10"/>
  <c r="AG54" i="10"/>
  <c r="AG62" i="10"/>
  <c r="AG70" i="10"/>
  <c r="AG74" i="10"/>
  <c r="AG82" i="10"/>
  <c r="AG90" i="10"/>
  <c r="AG98" i="10"/>
  <c r="AG106" i="10"/>
  <c r="AG114" i="10"/>
  <c r="AG122" i="10"/>
  <c r="AG130" i="10"/>
  <c r="AG134" i="10"/>
  <c r="AG142" i="10"/>
  <c r="AG150" i="10"/>
  <c r="AG158" i="10"/>
  <c r="AG166" i="10"/>
  <c r="AG174" i="10"/>
  <c r="AG182" i="10"/>
  <c r="AG190" i="10"/>
  <c r="AG198" i="10"/>
  <c r="AG210" i="10"/>
  <c r="AG218" i="10"/>
  <c r="AG226" i="10"/>
  <c r="AG234" i="10"/>
  <c r="AG242" i="10"/>
  <c r="AG250" i="10"/>
  <c r="AG258" i="10"/>
  <c r="AG266" i="10"/>
  <c r="AG274" i="10"/>
  <c r="AG278" i="10"/>
  <c r="AG286" i="10"/>
  <c r="AG294" i="10"/>
  <c r="AG302" i="10"/>
  <c r="AG310" i="10"/>
  <c r="AG318" i="10"/>
  <c r="AG326" i="10"/>
  <c r="AG334" i="10"/>
  <c r="AG342" i="10"/>
  <c r="AG350" i="10"/>
  <c r="AG358" i="10"/>
  <c r="AG366" i="10"/>
  <c r="AG374" i="10"/>
  <c r="AG382" i="10"/>
  <c r="AG390" i="10"/>
  <c r="AG398" i="10"/>
  <c r="AG406" i="10"/>
  <c r="AG418" i="10"/>
  <c r="AG426" i="10"/>
  <c r="AG430" i="10"/>
  <c r="AG438" i="10"/>
  <c r="AG446" i="10"/>
  <c r="AG462" i="10"/>
  <c r="AG534" i="10"/>
  <c r="AG22" i="10"/>
  <c r="AG25" i="10"/>
  <c r="AG28" i="10"/>
  <c r="AG35" i="10"/>
  <c r="AG38" i="10"/>
  <c r="AG42" i="10"/>
  <c r="AG46" i="10"/>
  <c r="AG50" i="10"/>
  <c r="AG53" i="10"/>
  <c r="AG56" i="10"/>
  <c r="AG60" i="10"/>
  <c r="AG64" i="10"/>
  <c r="AG68" i="10"/>
  <c r="AG72" i="10"/>
  <c r="AG76" i="10"/>
  <c r="AG80" i="10"/>
  <c r="AG84" i="10"/>
  <c r="AG88" i="10"/>
  <c r="AG92" i="10"/>
  <c r="AG96" i="10"/>
  <c r="AG100" i="10"/>
  <c r="AG104" i="10"/>
  <c r="AG108" i="10"/>
  <c r="AG112" i="10"/>
  <c r="AG116" i="10"/>
  <c r="AG120" i="10"/>
  <c r="AG124" i="10"/>
  <c r="AG128" i="10"/>
  <c r="AG132" i="10"/>
  <c r="AG136" i="10"/>
  <c r="AG140" i="10"/>
  <c r="AG144" i="10"/>
  <c r="AG148" i="10"/>
  <c r="AG152" i="10"/>
  <c r="AG156" i="10"/>
  <c r="AG160" i="10"/>
  <c r="AG164" i="10"/>
  <c r="AG168" i="10"/>
  <c r="AG172" i="10"/>
  <c r="AG176" i="10"/>
  <c r="AG180" i="10"/>
  <c r="AG184" i="10"/>
  <c r="AG188" i="10"/>
  <c r="AG192" i="10"/>
  <c r="AG196" i="10"/>
  <c r="AG200" i="10"/>
  <c r="AG204" i="10"/>
  <c r="AG208" i="10"/>
  <c r="AG212" i="10"/>
  <c r="AG216" i="10"/>
  <c r="AG220" i="10"/>
  <c r="AG224" i="10"/>
  <c r="AG228" i="10"/>
  <c r="AG232" i="10"/>
  <c r="AG236" i="10"/>
  <c r="AG240" i="10"/>
  <c r="AG244" i="10"/>
  <c r="AG248" i="10"/>
  <c r="AG252" i="10"/>
  <c r="AG256" i="10"/>
  <c r="AG260" i="10"/>
  <c r="AG264" i="10"/>
  <c r="AG268" i="10"/>
  <c r="AG272" i="10"/>
  <c r="AG276" i="10"/>
  <c r="AG280" i="10"/>
  <c r="AG284" i="10"/>
  <c r="AG288" i="10"/>
  <c r="AG292" i="10"/>
  <c r="AG296" i="10"/>
  <c r="AG300" i="10"/>
  <c r="AG304" i="10"/>
  <c r="AG308" i="10"/>
  <c r="AG312" i="10"/>
  <c r="AG316" i="10"/>
  <c r="AG320" i="10"/>
  <c r="AG324" i="10"/>
  <c r="AG328" i="10"/>
  <c r="AG332" i="10"/>
  <c r="AG336" i="10"/>
  <c r="AG340" i="10"/>
  <c r="AG344" i="10"/>
  <c r="AG348" i="10"/>
  <c r="AG352" i="10"/>
  <c r="AG356" i="10"/>
  <c r="AG360" i="10"/>
  <c r="AG364" i="10"/>
  <c r="AG368" i="10"/>
  <c r="AG372" i="10"/>
  <c r="AG376" i="10"/>
  <c r="AG380" i="10"/>
  <c r="AG384" i="10"/>
  <c r="AG388" i="10"/>
  <c r="AG392" i="10"/>
  <c r="AG396" i="10"/>
  <c r="AG400" i="10"/>
  <c r="AG404" i="10"/>
  <c r="AG408" i="10"/>
  <c r="AG412" i="10"/>
  <c r="AG416" i="10"/>
  <c r="AG420" i="10"/>
  <c r="AG424" i="10"/>
  <c r="AG428" i="10"/>
  <c r="AG432" i="10"/>
  <c r="AG436" i="10"/>
  <c r="AG440" i="10"/>
  <c r="AG444" i="10"/>
  <c r="AG448" i="10"/>
  <c r="AG452" i="10"/>
  <c r="AG456" i="10"/>
  <c r="AG460" i="10"/>
  <c r="AG464" i="10"/>
  <c r="AG468" i="10"/>
  <c r="AG472" i="10"/>
  <c r="AG476" i="10"/>
  <c r="AG480" i="10"/>
  <c r="AG484" i="10"/>
  <c r="AG488" i="10"/>
  <c r="AG492" i="10"/>
  <c r="AG496" i="10"/>
  <c r="AG500" i="10"/>
  <c r="AG504" i="10"/>
  <c r="AG508" i="10"/>
  <c r="AG512" i="10"/>
  <c r="AG516" i="10"/>
  <c r="AG520" i="10"/>
  <c r="AG524" i="10"/>
  <c r="AG528" i="10"/>
  <c r="AG532" i="10"/>
  <c r="AG536" i="10"/>
  <c r="AG540" i="10"/>
  <c r="AG544" i="10"/>
  <c r="AG548" i="10"/>
  <c r="AG552" i="10"/>
  <c r="AG556" i="10"/>
  <c r="AG560" i="10"/>
  <c r="B218" i="2"/>
  <c r="B224" i="2" s="1"/>
  <c r="B77" i="2"/>
  <c r="B142" i="2"/>
  <c r="AF19" i="10" l="1"/>
  <c r="AF13" i="10"/>
  <c r="AF7" i="10"/>
  <c r="AF11" i="10"/>
  <c r="AF12" i="10"/>
  <c r="AF10" i="10"/>
  <c r="AF9" i="10"/>
  <c r="AJ21" i="10"/>
  <c r="AL21" i="10" s="1"/>
  <c r="AJ25" i="10"/>
  <c r="AK25" i="10" s="1"/>
  <c r="AJ29" i="10"/>
  <c r="AL29" i="10" s="1"/>
  <c r="AJ33" i="10"/>
  <c r="AJ37" i="10"/>
  <c r="AJ41" i="10"/>
  <c r="AL41" i="10" s="1"/>
  <c r="AJ45" i="10"/>
  <c r="AL45" i="10" s="1"/>
  <c r="AJ49" i="10"/>
  <c r="AK49" i="10" s="1"/>
  <c r="AJ53" i="10"/>
  <c r="AL53" i="10" s="1"/>
  <c r="AJ57" i="10"/>
  <c r="AJ61" i="10"/>
  <c r="AL61" i="10" s="1"/>
  <c r="AJ65" i="10"/>
  <c r="AL65" i="10" s="1"/>
  <c r="AJ69" i="10"/>
  <c r="AK69" i="10" s="1"/>
  <c r="AJ73" i="10"/>
  <c r="AK73" i="10" s="1"/>
  <c r="AJ77" i="10"/>
  <c r="AK77" i="10" s="1"/>
  <c r="AJ81" i="10"/>
  <c r="AK81" i="10" s="1"/>
  <c r="AJ85" i="10"/>
  <c r="AK85" i="10" s="1"/>
  <c r="AJ89" i="10"/>
  <c r="AK89" i="10" s="1"/>
  <c r="AJ93" i="10"/>
  <c r="AK93" i="10" s="1"/>
  <c r="AJ97" i="10"/>
  <c r="AJ101" i="10"/>
  <c r="AL101" i="10" s="1"/>
  <c r="AJ105" i="10"/>
  <c r="AL105" i="10" s="1"/>
  <c r="AJ109" i="10"/>
  <c r="AK109" i="10" s="1"/>
  <c r="AJ113" i="10"/>
  <c r="AK113" i="10" s="1"/>
  <c r="AJ117" i="10"/>
  <c r="AK117" i="10" s="1"/>
  <c r="AJ121" i="10"/>
  <c r="AL121" i="10" s="1"/>
  <c r="AJ125" i="10"/>
  <c r="AL125" i="10" s="1"/>
  <c r="AJ129" i="10"/>
  <c r="AK129" i="10" s="1"/>
  <c r="AJ133" i="10"/>
  <c r="AL133" i="10" s="1"/>
  <c r="AJ137" i="10"/>
  <c r="AL137" i="10" s="1"/>
  <c r="AJ141" i="10"/>
  <c r="AL141" i="10" s="1"/>
  <c r="AJ145" i="10"/>
  <c r="AJ149" i="10"/>
  <c r="AL149" i="10" s="1"/>
  <c r="AJ153" i="10"/>
  <c r="AL153" i="10" s="1"/>
  <c r="AJ157" i="10"/>
  <c r="AK157" i="10" s="1"/>
  <c r="AJ161" i="10"/>
  <c r="AK161" i="10" s="1"/>
  <c r="AJ165" i="10"/>
  <c r="AJ169" i="10"/>
  <c r="AK169" i="10" s="1"/>
  <c r="AJ173" i="10"/>
  <c r="AK173" i="10" s="1"/>
  <c r="AJ177" i="10"/>
  <c r="AK177" i="10" s="1"/>
  <c r="AJ181" i="10"/>
  <c r="AJ185" i="10"/>
  <c r="AK185" i="10" s="1"/>
  <c r="AJ189" i="10"/>
  <c r="AK189" i="10" s="1"/>
  <c r="AJ193" i="10"/>
  <c r="AJ197" i="10"/>
  <c r="AK197" i="10" s="1"/>
  <c r="AJ201" i="10"/>
  <c r="AL201" i="10" s="1"/>
  <c r="AJ205" i="10"/>
  <c r="AK205" i="10" s="1"/>
  <c r="AJ209" i="10"/>
  <c r="AK209" i="10" s="1"/>
  <c r="AJ213" i="10"/>
  <c r="AL213" i="10" s="1"/>
  <c r="AJ217" i="10"/>
  <c r="AJ221" i="10"/>
  <c r="AK221" i="10" s="1"/>
  <c r="AJ225" i="10"/>
  <c r="AL225" i="10" s="1"/>
  <c r="AJ229" i="10"/>
  <c r="AJ233" i="10"/>
  <c r="AL233" i="10" s="1"/>
  <c r="AJ237" i="10"/>
  <c r="AL237" i="10" s="1"/>
  <c r="AJ241" i="10"/>
  <c r="AL241" i="10" s="1"/>
  <c r="AJ245" i="10"/>
  <c r="AK245" i="10" s="1"/>
  <c r="AJ249" i="10"/>
  <c r="AL249" i="10" s="1"/>
  <c r="AJ253" i="10"/>
  <c r="AL253" i="10" s="1"/>
  <c r="AJ257" i="10"/>
  <c r="AL257" i="10" s="1"/>
  <c r="AJ261" i="10"/>
  <c r="AL261" i="10" s="1"/>
  <c r="AJ265" i="10"/>
  <c r="AK265" i="10" s="1"/>
  <c r="AJ269" i="10"/>
  <c r="AL269" i="10" s="1"/>
  <c r="AJ273" i="10"/>
  <c r="AL273" i="10" s="1"/>
  <c r="AJ277" i="10"/>
  <c r="AJ281" i="10"/>
  <c r="AL281" i="10" s="1"/>
  <c r="AJ285" i="10"/>
  <c r="AL285" i="10" s="1"/>
  <c r="AJ289" i="10"/>
  <c r="AJ293" i="10"/>
  <c r="AK293" i="10" s="1"/>
  <c r="AJ297" i="10"/>
  <c r="AJ301" i="10"/>
  <c r="AK301" i="10" s="1"/>
  <c r="AJ305" i="10"/>
  <c r="AJ309" i="10"/>
  <c r="AK309" i="10" s="1"/>
  <c r="AJ313" i="10"/>
  <c r="AL313" i="10" s="1"/>
  <c r="AJ20" i="10"/>
  <c r="AL20" i="10" s="1"/>
  <c r="AJ24" i="10"/>
  <c r="AL24" i="10" s="1"/>
  <c r="AJ28" i="10"/>
  <c r="AK28" i="10" s="1"/>
  <c r="AJ32" i="10"/>
  <c r="AK32" i="10" s="1"/>
  <c r="AJ36" i="10"/>
  <c r="AK36" i="10" s="1"/>
  <c r="AJ40" i="10"/>
  <c r="AL40" i="10" s="1"/>
  <c r="AJ44" i="10"/>
  <c r="AK44" i="10" s="1"/>
  <c r="AJ48" i="10"/>
  <c r="AL48" i="10" s="1"/>
  <c r="AJ52" i="10"/>
  <c r="AJ56" i="10"/>
  <c r="AJ60" i="10"/>
  <c r="AK60" i="10" s="1"/>
  <c r="AJ64" i="10"/>
  <c r="AL64" i="10" s="1"/>
  <c r="AJ68" i="10"/>
  <c r="AK68" i="10" s="1"/>
  <c r="AJ72" i="10"/>
  <c r="AJ76" i="10"/>
  <c r="AJ80" i="10"/>
  <c r="AK80" i="10" s="1"/>
  <c r="AJ84" i="10"/>
  <c r="AL84" i="10" s="1"/>
  <c r="AJ88" i="10"/>
  <c r="AK88" i="10" s="1"/>
  <c r="AJ92" i="10"/>
  <c r="AL92" i="10" s="1"/>
  <c r="AJ96" i="10"/>
  <c r="AL96" i="10" s="1"/>
  <c r="AJ100" i="10"/>
  <c r="AK100" i="10" s="1"/>
  <c r="AJ104" i="10"/>
  <c r="AJ108" i="10"/>
  <c r="AK108" i="10" s="1"/>
  <c r="AJ112" i="10"/>
  <c r="AK112" i="10" s="1"/>
  <c r="AJ116" i="10"/>
  <c r="AK116" i="10" s="1"/>
  <c r="AJ120" i="10"/>
  <c r="AJ124" i="10"/>
  <c r="AK124" i="10" s="1"/>
  <c r="AJ128" i="10"/>
  <c r="AJ132" i="10"/>
  <c r="AL132" i="10" s="1"/>
  <c r="AJ136" i="10"/>
  <c r="AJ140" i="10"/>
  <c r="AL140" i="10" s="1"/>
  <c r="AJ144" i="10"/>
  <c r="AK144" i="10" s="1"/>
  <c r="AJ148" i="10"/>
  <c r="AK148" i="10" s="1"/>
  <c r="AJ152" i="10"/>
  <c r="AK152" i="10" s="1"/>
  <c r="AJ156" i="10"/>
  <c r="AL156" i="10" s="1"/>
  <c r="AJ160" i="10"/>
  <c r="AL160" i="10" s="1"/>
  <c r="AJ164" i="10"/>
  <c r="AK164" i="10" s="1"/>
  <c r="AJ168" i="10"/>
  <c r="AJ172" i="10"/>
  <c r="AK172" i="10" s="1"/>
  <c r="AJ176" i="10"/>
  <c r="AJ180" i="10"/>
  <c r="AL180" i="10" s="1"/>
  <c r="AJ184" i="10"/>
  <c r="AJ188" i="10"/>
  <c r="AL188" i="10" s="1"/>
  <c r="AJ192" i="10"/>
  <c r="AK192" i="10" s="1"/>
  <c r="AJ196" i="10"/>
  <c r="AK196" i="10" s="1"/>
  <c r="AJ200" i="10"/>
  <c r="AJ204" i="10"/>
  <c r="AK204" i="10" s="1"/>
  <c r="AJ208" i="10"/>
  <c r="AJ212" i="10"/>
  <c r="AL212" i="10" s="1"/>
  <c r="AJ216" i="10"/>
  <c r="AL216" i="10" s="1"/>
  <c r="AJ220" i="10"/>
  <c r="AJ224" i="10"/>
  <c r="AK224" i="10" s="1"/>
  <c r="AJ228" i="10"/>
  <c r="AL228" i="10" s="1"/>
  <c r="AJ232" i="10"/>
  <c r="AJ236" i="10"/>
  <c r="AK236" i="10" s="1"/>
  <c r="AJ240" i="10"/>
  <c r="AJ244" i="10"/>
  <c r="AL244" i="10" s="1"/>
  <c r="AJ248" i="10"/>
  <c r="AJ252" i="10"/>
  <c r="AL252" i="10" s="1"/>
  <c r="AJ256" i="10"/>
  <c r="AL256" i="10" s="1"/>
  <c r="AJ260" i="10"/>
  <c r="AL260" i="10" s="1"/>
  <c r="AJ264" i="10"/>
  <c r="AJ268" i="10"/>
  <c r="AL268" i="10" s="1"/>
  <c r="AJ272" i="10"/>
  <c r="AJ276" i="10"/>
  <c r="AL276" i="10" s="1"/>
  <c r="AJ280" i="10"/>
  <c r="AL280" i="10" s="1"/>
  <c r="AJ284" i="10"/>
  <c r="AK284" i="10" s="1"/>
  <c r="AJ288" i="10"/>
  <c r="AK288" i="10" s="1"/>
  <c r="AJ292" i="10"/>
  <c r="AK292" i="10" s="1"/>
  <c r="AJ296" i="10"/>
  <c r="AJ23" i="10"/>
  <c r="AL23" i="10" s="1"/>
  <c r="AJ31" i="10"/>
  <c r="AK31" i="10" s="1"/>
  <c r="AJ39" i="10"/>
  <c r="AK39" i="10" s="1"/>
  <c r="AJ47" i="10"/>
  <c r="AL47" i="10" s="1"/>
  <c r="AJ55" i="10"/>
  <c r="AK55" i="10" s="1"/>
  <c r="AJ63" i="10"/>
  <c r="AJ71" i="10"/>
  <c r="AK71" i="10" s="1"/>
  <c r="AJ79" i="10"/>
  <c r="AK79" i="10" s="1"/>
  <c r="AJ87" i="10"/>
  <c r="AJ95" i="10"/>
  <c r="AK95" i="10" s="1"/>
  <c r="AJ103" i="10"/>
  <c r="AK103" i="10" s="1"/>
  <c r="AJ111" i="10"/>
  <c r="AK111" i="10" s="1"/>
  <c r="AJ119" i="10"/>
  <c r="AK119" i="10" s="1"/>
  <c r="AJ127" i="10"/>
  <c r="AK127" i="10" s="1"/>
  <c r="AJ135" i="10"/>
  <c r="AL135" i="10" s="1"/>
  <c r="AJ143" i="10"/>
  <c r="AK143" i="10" s="1"/>
  <c r="AJ151" i="10"/>
  <c r="AJ159" i="10"/>
  <c r="AK159" i="10" s="1"/>
  <c r="AJ167" i="10"/>
  <c r="AJ175" i="10"/>
  <c r="AL175" i="10" s="1"/>
  <c r="AJ183" i="10"/>
  <c r="AK183" i="10" s="1"/>
  <c r="AJ191" i="10"/>
  <c r="AJ199" i="10"/>
  <c r="AK199" i="10" s="1"/>
  <c r="AJ207" i="10"/>
  <c r="AL207" i="10" s="1"/>
  <c r="AJ215" i="10"/>
  <c r="AL215" i="10" s="1"/>
  <c r="AJ223" i="10"/>
  <c r="AL223" i="10" s="1"/>
  <c r="AJ231" i="10"/>
  <c r="AK231" i="10" s="1"/>
  <c r="AJ239" i="10"/>
  <c r="AJ247" i="10"/>
  <c r="AK247" i="10" s="1"/>
  <c r="AJ255" i="10"/>
  <c r="AL255" i="10" s="1"/>
  <c r="AJ263" i="10"/>
  <c r="AK263" i="10" s="1"/>
  <c r="AJ271" i="10"/>
  <c r="AL271" i="10" s="1"/>
  <c r="AJ279" i="10"/>
  <c r="AL279" i="10" s="1"/>
  <c r="AJ287" i="10"/>
  <c r="AL287" i="10" s="1"/>
  <c r="AJ295" i="10"/>
  <c r="AJ302" i="10"/>
  <c r="AJ307" i="10"/>
  <c r="AK307" i="10" s="1"/>
  <c r="AJ312" i="10"/>
  <c r="AJ317" i="10"/>
  <c r="AL317" i="10" s="1"/>
  <c r="AJ321" i="10"/>
  <c r="AJ325" i="10"/>
  <c r="AJ329" i="10"/>
  <c r="AL329" i="10" s="1"/>
  <c r="AJ333" i="10"/>
  <c r="AL333" i="10" s="1"/>
  <c r="AJ337" i="10"/>
  <c r="AJ341" i="10"/>
  <c r="AK341" i="10" s="1"/>
  <c r="AJ345" i="10"/>
  <c r="AK345" i="10" s="1"/>
  <c r="AJ349" i="10"/>
  <c r="AL349" i="10" s="1"/>
  <c r="AJ353" i="10"/>
  <c r="AK353" i="10" s="1"/>
  <c r="AJ357" i="10"/>
  <c r="AL357" i="10" s="1"/>
  <c r="AJ361" i="10"/>
  <c r="AK361" i="10" s="1"/>
  <c r="AJ365" i="10"/>
  <c r="AK365" i="10" s="1"/>
  <c r="AJ369" i="10"/>
  <c r="AJ373" i="10"/>
  <c r="AL373" i="10" s="1"/>
  <c r="AJ377" i="10"/>
  <c r="AL377" i="10" s="1"/>
  <c r="AJ381" i="10"/>
  <c r="AK381" i="10" s="1"/>
  <c r="AJ385" i="10"/>
  <c r="AJ389" i="10"/>
  <c r="AL389" i="10" s="1"/>
  <c r="AJ393" i="10"/>
  <c r="AL393" i="10" s="1"/>
  <c r="AJ397" i="10"/>
  <c r="AL397" i="10" s="1"/>
  <c r="AJ401" i="10"/>
  <c r="AJ405" i="10"/>
  <c r="AL405" i="10" s="1"/>
  <c r="AJ409" i="10"/>
  <c r="AK409" i="10" s="1"/>
  <c r="AJ413" i="10"/>
  <c r="AK413" i="10" s="1"/>
  <c r="AJ417" i="10"/>
  <c r="AK417" i="10" s="1"/>
  <c r="AJ421" i="10"/>
  <c r="AL421" i="10" s="1"/>
  <c r="AJ425" i="10"/>
  <c r="AL425" i="10" s="1"/>
  <c r="AJ429" i="10"/>
  <c r="AL429" i="10" s="1"/>
  <c r="AJ433" i="10"/>
  <c r="AK433" i="10" s="1"/>
  <c r="AJ437" i="10"/>
  <c r="AJ441" i="10"/>
  <c r="AK441" i="10" s="1"/>
  <c r="AJ445" i="10"/>
  <c r="AK445" i="10" s="1"/>
  <c r="AJ449" i="10"/>
  <c r="AJ453" i="10"/>
  <c r="AL453" i="10" s="1"/>
  <c r="AJ457" i="10"/>
  <c r="AL457" i="10" s="1"/>
  <c r="AJ461" i="10"/>
  <c r="AL461" i="10" s="1"/>
  <c r="AJ465" i="10"/>
  <c r="AK465" i="10" s="1"/>
  <c r="AJ469" i="10"/>
  <c r="AJ473" i="10"/>
  <c r="AK473" i="10" s="1"/>
  <c r="AJ477" i="10"/>
  <c r="AL477" i="10" s="1"/>
  <c r="AJ481" i="10"/>
  <c r="AL481" i="10" s="1"/>
  <c r="AJ30" i="10"/>
  <c r="AK30" i="10" s="1"/>
  <c r="AJ42" i="10"/>
  <c r="AK42" i="10" s="1"/>
  <c r="AJ51" i="10"/>
  <c r="AK51" i="10" s="1"/>
  <c r="AJ62" i="10"/>
  <c r="AJ74" i="10"/>
  <c r="AL74" i="10" s="1"/>
  <c r="AJ83" i="10"/>
  <c r="AL83" i="10" s="1"/>
  <c r="AJ94" i="10"/>
  <c r="AL94" i="10" s="1"/>
  <c r="AJ106" i="10"/>
  <c r="AJ115" i="10"/>
  <c r="AJ126" i="10"/>
  <c r="AJ138" i="10"/>
  <c r="AK138" i="10" s="1"/>
  <c r="AJ147" i="10"/>
  <c r="AL147" i="10" s="1"/>
  <c r="AJ158" i="10"/>
  <c r="AK158" i="10" s="1"/>
  <c r="AJ170" i="10"/>
  <c r="AJ179" i="10"/>
  <c r="AL179" i="10" s="1"/>
  <c r="AJ190" i="10"/>
  <c r="AL190" i="10" s="1"/>
  <c r="AJ202" i="10"/>
  <c r="AL202" i="10" s="1"/>
  <c r="AJ211" i="10"/>
  <c r="AK211" i="10" s="1"/>
  <c r="AJ222" i="10"/>
  <c r="AK222" i="10" s="1"/>
  <c r="AJ234" i="10"/>
  <c r="AK234" i="10" s="1"/>
  <c r="AJ243" i="10"/>
  <c r="AK243" i="10" s="1"/>
  <c r="AJ254" i="10"/>
  <c r="AJ266" i="10"/>
  <c r="AK266" i="10" s="1"/>
  <c r="AJ275" i="10"/>
  <c r="AL275" i="10" s="1"/>
  <c r="AJ286" i="10"/>
  <c r="AK286" i="10" s="1"/>
  <c r="AJ298" i="10"/>
  <c r="AL298" i="10" s="1"/>
  <c r="AJ304" i="10"/>
  <c r="AL304" i="10" s="1"/>
  <c r="AJ311" i="10"/>
  <c r="AK311" i="10" s="1"/>
  <c r="AJ318" i="10"/>
  <c r="AK318" i="10" s="1"/>
  <c r="AJ323" i="10"/>
  <c r="AK323" i="10" s="1"/>
  <c r="AJ328" i="10"/>
  <c r="AL328" i="10" s="1"/>
  <c r="AJ334" i="10"/>
  <c r="AL334" i="10" s="1"/>
  <c r="AJ339" i="10"/>
  <c r="AL339" i="10" s="1"/>
  <c r="AJ344" i="10"/>
  <c r="AL344" i="10" s="1"/>
  <c r="AJ350" i="10"/>
  <c r="AK350" i="10" s="1"/>
  <c r="AJ355" i="10"/>
  <c r="AK355" i="10" s="1"/>
  <c r="AJ360" i="10"/>
  <c r="AL360" i="10" s="1"/>
  <c r="AJ366" i="10"/>
  <c r="AL366" i="10" s="1"/>
  <c r="AJ371" i="10"/>
  <c r="AK371" i="10" s="1"/>
  <c r="AJ376" i="10"/>
  <c r="AK376" i="10" s="1"/>
  <c r="AJ382" i="10"/>
  <c r="AL382" i="10" s="1"/>
  <c r="AJ387" i="10"/>
  <c r="AJ392" i="10"/>
  <c r="AL392" i="10" s="1"/>
  <c r="AJ398" i="10"/>
  <c r="AL398" i="10" s="1"/>
  <c r="AJ403" i="10"/>
  <c r="AJ408" i="10"/>
  <c r="AJ414" i="10"/>
  <c r="AK414" i="10" s="1"/>
  <c r="AJ419" i="10"/>
  <c r="AJ424" i="10"/>
  <c r="AK424" i="10" s="1"/>
  <c r="AJ430" i="10"/>
  <c r="AL430" i="10" s="1"/>
  <c r="AJ435" i="10"/>
  <c r="AK435" i="10" s="1"/>
  <c r="AJ440" i="10"/>
  <c r="AL440" i="10" s="1"/>
  <c r="AJ446" i="10"/>
  <c r="AK446" i="10" s="1"/>
  <c r="AJ451" i="10"/>
  <c r="AL451" i="10" s="1"/>
  <c r="AJ456" i="10"/>
  <c r="AL456" i="10" s="1"/>
  <c r="AJ462" i="10"/>
  <c r="AL462" i="10" s="1"/>
  <c r="AJ467" i="10"/>
  <c r="AK467" i="10" s="1"/>
  <c r="AJ472" i="10"/>
  <c r="AK472" i="10" s="1"/>
  <c r="AJ478" i="10"/>
  <c r="AJ483" i="10"/>
  <c r="AJ487" i="10"/>
  <c r="AL487" i="10" s="1"/>
  <c r="AJ491" i="10"/>
  <c r="AL491" i="10" s="1"/>
  <c r="AJ495" i="10"/>
  <c r="AK495" i="10" s="1"/>
  <c r="AJ499" i="10"/>
  <c r="AJ503" i="10"/>
  <c r="AK503" i="10" s="1"/>
  <c r="AJ507" i="10"/>
  <c r="AL507" i="10" s="1"/>
  <c r="AJ511" i="10"/>
  <c r="AK511" i="10" s="1"/>
  <c r="AJ515" i="10"/>
  <c r="AJ519" i="10"/>
  <c r="AK519" i="10" s="1"/>
  <c r="AJ523" i="10"/>
  <c r="AL523" i="10" s="1"/>
  <c r="AJ527" i="10"/>
  <c r="AL527" i="10" s="1"/>
  <c r="AJ531" i="10"/>
  <c r="AJ535" i="10"/>
  <c r="AK535" i="10" s="1"/>
  <c r="AJ539" i="10"/>
  <c r="AL539" i="10" s="1"/>
  <c r="AJ543" i="10"/>
  <c r="AK543" i="10" s="1"/>
  <c r="AJ547" i="10"/>
  <c r="AJ551" i="10"/>
  <c r="AL551" i="10" s="1"/>
  <c r="AJ555" i="10"/>
  <c r="AJ559" i="10"/>
  <c r="AL559" i="10" s="1"/>
  <c r="AJ27" i="10"/>
  <c r="AK27" i="10" s="1"/>
  <c r="AJ38" i="10"/>
  <c r="AK38" i="10" s="1"/>
  <c r="AJ50" i="10"/>
  <c r="AL50" i="10" s="1"/>
  <c r="AJ59" i="10"/>
  <c r="AL59" i="10" s="1"/>
  <c r="AJ70" i="10"/>
  <c r="AL70" i="10" s="1"/>
  <c r="AJ82" i="10"/>
  <c r="AK82" i="10" s="1"/>
  <c r="AJ91" i="10"/>
  <c r="AL91" i="10" s="1"/>
  <c r="AJ102" i="10"/>
  <c r="AK102" i="10" s="1"/>
  <c r="AJ114" i="10"/>
  <c r="AL114" i="10" s="1"/>
  <c r="AJ123" i="10"/>
  <c r="AK123" i="10" s="1"/>
  <c r="AJ134" i="10"/>
  <c r="AJ146" i="10"/>
  <c r="AJ155" i="10"/>
  <c r="AJ166" i="10"/>
  <c r="AL166" i="10" s="1"/>
  <c r="AJ178" i="10"/>
  <c r="AK178" i="10" s="1"/>
  <c r="AJ187" i="10"/>
  <c r="AJ198" i="10"/>
  <c r="AL198" i="10" s="1"/>
  <c r="AJ210" i="10"/>
  <c r="AL210" i="10" s="1"/>
  <c r="AJ219" i="10"/>
  <c r="AJ230" i="10"/>
  <c r="AK230" i="10" s="1"/>
  <c r="AJ242" i="10"/>
  <c r="AJ251" i="10"/>
  <c r="AL251" i="10" s="1"/>
  <c r="AJ262" i="10"/>
  <c r="AL262" i="10" s="1"/>
  <c r="AJ274" i="10"/>
  <c r="AJ283" i="10"/>
  <c r="AK283" i="10" s="1"/>
  <c r="AJ294" i="10"/>
  <c r="AL294" i="10" s="1"/>
  <c r="AJ303" i="10"/>
  <c r="AK303" i="10" s="1"/>
  <c r="AJ310" i="10"/>
  <c r="AK310" i="10" s="1"/>
  <c r="AJ316" i="10"/>
  <c r="AL316" i="10" s="1"/>
  <c r="AJ322" i="10"/>
  <c r="AL322" i="10" s="1"/>
  <c r="AJ327" i="10"/>
  <c r="AL327" i="10" s="1"/>
  <c r="AJ332" i="10"/>
  <c r="AJ338" i="10"/>
  <c r="AK338" i="10" s="1"/>
  <c r="AJ343" i="10"/>
  <c r="AK343" i="10" s="1"/>
  <c r="AJ348" i="10"/>
  <c r="AK348" i="10" s="1"/>
  <c r="AJ354" i="10"/>
  <c r="AK354" i="10" s="1"/>
  <c r="AJ359" i="10"/>
  <c r="AK359" i="10" s="1"/>
  <c r="AJ364" i="10"/>
  <c r="AL364" i="10" s="1"/>
  <c r="AJ370" i="10"/>
  <c r="AK370" i="10" s="1"/>
  <c r="AJ375" i="10"/>
  <c r="AK375" i="10" s="1"/>
  <c r="AJ380" i="10"/>
  <c r="AL380" i="10" s="1"/>
  <c r="AJ386" i="10"/>
  <c r="AJ391" i="10"/>
  <c r="AJ396" i="10"/>
  <c r="AL396" i="10" s="1"/>
  <c r="AJ402" i="10"/>
  <c r="AK402" i="10" s="1"/>
  <c r="AJ407" i="10"/>
  <c r="AK407" i="10" s="1"/>
  <c r="AJ412" i="10"/>
  <c r="AL412" i="10" s="1"/>
  <c r="AJ418" i="10"/>
  <c r="AK418" i="10" s="1"/>
  <c r="AJ423" i="10"/>
  <c r="AK423" i="10" s="1"/>
  <c r="AJ428" i="10"/>
  <c r="AJ434" i="10"/>
  <c r="AJ439" i="10"/>
  <c r="AK439" i="10" s="1"/>
  <c r="AJ444" i="10"/>
  <c r="AJ450" i="10"/>
  <c r="AJ455" i="10"/>
  <c r="AK455" i="10" s="1"/>
  <c r="AJ460" i="10"/>
  <c r="AL460" i="10" s="1"/>
  <c r="AJ466" i="10"/>
  <c r="AJ471" i="10"/>
  <c r="AK471" i="10" s="1"/>
  <c r="AJ476" i="10"/>
  <c r="AJ482" i="10"/>
  <c r="AK482" i="10" s="1"/>
  <c r="AJ486" i="10"/>
  <c r="AL486" i="10" s="1"/>
  <c r="AJ490" i="10"/>
  <c r="AL490" i="10" s="1"/>
  <c r="AJ494" i="10"/>
  <c r="AL494" i="10" s="1"/>
  <c r="AJ498" i="10"/>
  <c r="AJ502" i="10"/>
  <c r="AL502" i="10" s="1"/>
  <c r="AJ506" i="10"/>
  <c r="AL506" i="10" s="1"/>
  <c r="AJ510" i="10"/>
  <c r="AJ514" i="10"/>
  <c r="AL514" i="10" s="1"/>
  <c r="AJ518" i="10"/>
  <c r="AL518" i="10" s="1"/>
  <c r="AJ522" i="10"/>
  <c r="AK522" i="10" s="1"/>
  <c r="AJ526" i="10"/>
  <c r="AJ530" i="10"/>
  <c r="AK530" i="10" s="1"/>
  <c r="AJ534" i="10"/>
  <c r="AL534" i="10" s="1"/>
  <c r="AJ538" i="10"/>
  <c r="AL538" i="10" s="1"/>
  <c r="AJ542" i="10"/>
  <c r="AJ546" i="10"/>
  <c r="AK546" i="10" s="1"/>
  <c r="AJ550" i="10"/>
  <c r="AK550" i="10" s="1"/>
  <c r="AJ554" i="10"/>
  <c r="AK554" i="10" s="1"/>
  <c r="AJ558" i="10"/>
  <c r="AL558" i="10" s="1"/>
  <c r="AJ22" i="10"/>
  <c r="AL22" i="10" s="1"/>
  <c r="AJ43" i="10"/>
  <c r="AK43" i="10" s="1"/>
  <c r="AJ66" i="10"/>
  <c r="AK66" i="10" s="1"/>
  <c r="AJ86" i="10"/>
  <c r="AL86" i="10" s="1"/>
  <c r="AJ107" i="10"/>
  <c r="AJ130" i="10"/>
  <c r="AL130" i="10" s="1"/>
  <c r="AJ150" i="10"/>
  <c r="AL150" i="10" s="1"/>
  <c r="AJ171" i="10"/>
  <c r="AK171" i="10" s="1"/>
  <c r="AJ194" i="10"/>
  <c r="AL194" i="10" s="1"/>
  <c r="AJ214" i="10"/>
  <c r="AK214" i="10" s="1"/>
  <c r="AJ235" i="10"/>
  <c r="AL235" i="10" s="1"/>
  <c r="AJ258" i="10"/>
  <c r="AK258" i="10" s="1"/>
  <c r="AJ278" i="10"/>
  <c r="AK278" i="10" s="1"/>
  <c r="AJ299" i="10"/>
  <c r="AK299" i="10" s="1"/>
  <c r="AJ314" i="10"/>
  <c r="AJ324" i="10"/>
  <c r="AK324" i="10" s="1"/>
  <c r="AJ335" i="10"/>
  <c r="AK335" i="10" s="1"/>
  <c r="AJ346" i="10"/>
  <c r="AK346" i="10" s="1"/>
  <c r="AJ356" i="10"/>
  <c r="AK356" i="10" s="1"/>
  <c r="AJ367" i="10"/>
  <c r="AL367" i="10" s="1"/>
  <c r="AJ378" i="10"/>
  <c r="AL378" i="10" s="1"/>
  <c r="AJ388" i="10"/>
  <c r="AJ399" i="10"/>
  <c r="AL399" i="10" s="1"/>
  <c r="AJ410" i="10"/>
  <c r="AK410" i="10" s="1"/>
  <c r="AJ420" i="10"/>
  <c r="AL420" i="10" s="1"/>
  <c r="AJ431" i="10"/>
  <c r="AJ442" i="10"/>
  <c r="AK442" i="10" s="1"/>
  <c r="AJ452" i="10"/>
  <c r="AJ463" i="10"/>
  <c r="AK463" i="10" s="1"/>
  <c r="AJ474" i="10"/>
  <c r="AK474" i="10" s="1"/>
  <c r="AJ484" i="10"/>
  <c r="AK484" i="10" s="1"/>
  <c r="AJ492" i="10"/>
  <c r="AJ500" i="10"/>
  <c r="AK500" i="10" s="1"/>
  <c r="AJ508" i="10"/>
  <c r="AJ516" i="10"/>
  <c r="AK516" i="10" s="1"/>
  <c r="AJ524" i="10"/>
  <c r="AL524" i="10" s="1"/>
  <c r="AJ532" i="10"/>
  <c r="AL532" i="10" s="1"/>
  <c r="AJ540" i="10"/>
  <c r="AJ548" i="10"/>
  <c r="AJ556" i="10"/>
  <c r="AK556" i="10" s="1"/>
  <c r="AJ35" i="10"/>
  <c r="AL35" i="10" s="1"/>
  <c r="AJ58" i="10"/>
  <c r="AK58" i="10" s="1"/>
  <c r="AJ78" i="10"/>
  <c r="AL78" i="10" s="1"/>
  <c r="AJ99" i="10"/>
  <c r="AK99" i="10" s="1"/>
  <c r="AJ122" i="10"/>
  <c r="AK122" i="10" s="1"/>
  <c r="AJ142" i="10"/>
  <c r="AL142" i="10" s="1"/>
  <c r="AJ163" i="10"/>
  <c r="AL163" i="10" s="1"/>
  <c r="AJ186" i="10"/>
  <c r="AK186" i="10" s="1"/>
  <c r="AJ206" i="10"/>
  <c r="AK206" i="10" s="1"/>
  <c r="AJ227" i="10"/>
  <c r="AL227" i="10" s="1"/>
  <c r="AJ250" i="10"/>
  <c r="AK250" i="10" s="1"/>
  <c r="AJ270" i="10"/>
  <c r="AK270" i="10" s="1"/>
  <c r="AJ291" i="10"/>
  <c r="AK291" i="10" s="1"/>
  <c r="AJ308" i="10"/>
  <c r="AL308" i="10" s="1"/>
  <c r="AJ320" i="10"/>
  <c r="AK320" i="10" s="1"/>
  <c r="AJ331" i="10"/>
  <c r="AL331" i="10" s="1"/>
  <c r="AJ342" i="10"/>
  <c r="AL342" i="10" s="1"/>
  <c r="AJ352" i="10"/>
  <c r="AJ363" i="10"/>
  <c r="AK363" i="10" s="1"/>
  <c r="AJ374" i="10"/>
  <c r="AL374" i="10" s="1"/>
  <c r="AJ384" i="10"/>
  <c r="AK384" i="10" s="1"/>
  <c r="AJ395" i="10"/>
  <c r="AJ406" i="10"/>
  <c r="AK406" i="10" s="1"/>
  <c r="AJ416" i="10"/>
  <c r="AL416" i="10" s="1"/>
  <c r="AJ427" i="10"/>
  <c r="AK427" i="10" s="1"/>
  <c r="AJ438" i="10"/>
  <c r="AL438" i="10" s="1"/>
  <c r="AJ448" i="10"/>
  <c r="AL448" i="10" s="1"/>
  <c r="AJ459" i="10"/>
  <c r="AK459" i="10" s="1"/>
  <c r="AJ470" i="10"/>
  <c r="AK470" i="10" s="1"/>
  <c r="AJ480" i="10"/>
  <c r="AJ489" i="10"/>
  <c r="AL489" i="10" s="1"/>
  <c r="AJ497" i="10"/>
  <c r="AK497" i="10" s="1"/>
  <c r="AJ505" i="10"/>
  <c r="AL505" i="10" s="1"/>
  <c r="AJ513" i="10"/>
  <c r="AJ521" i="10"/>
  <c r="AL521" i="10" s="1"/>
  <c r="AJ529" i="10"/>
  <c r="AL529" i="10" s="1"/>
  <c r="AJ537" i="10"/>
  <c r="AL537" i="10" s="1"/>
  <c r="AJ545" i="10"/>
  <c r="AJ553" i="10"/>
  <c r="AJ19" i="10"/>
  <c r="AS19" i="10" s="1"/>
  <c r="AJ26" i="10"/>
  <c r="AL26" i="10" s="1"/>
  <c r="AJ67" i="10"/>
  <c r="AJ110" i="10"/>
  <c r="AL110" i="10" s="1"/>
  <c r="AJ154" i="10"/>
  <c r="AL154" i="10" s="1"/>
  <c r="AJ195" i="10"/>
  <c r="AL195" i="10" s="1"/>
  <c r="AJ238" i="10"/>
  <c r="AK238" i="10" s="1"/>
  <c r="AJ282" i="10"/>
  <c r="AK282" i="10" s="1"/>
  <c r="AJ315" i="10"/>
  <c r="AL315" i="10" s="1"/>
  <c r="AJ336" i="10"/>
  <c r="AK336" i="10" s="1"/>
  <c r="AJ358" i="10"/>
  <c r="AJ379" i="10"/>
  <c r="AK379" i="10" s="1"/>
  <c r="AJ400" i="10"/>
  <c r="AL400" i="10" s="1"/>
  <c r="AJ422" i="10"/>
  <c r="AL422" i="10" s="1"/>
  <c r="AJ443" i="10"/>
  <c r="AJ464" i="10"/>
  <c r="AL464" i="10" s="1"/>
  <c r="AJ485" i="10"/>
  <c r="AL485" i="10" s="1"/>
  <c r="AJ501" i="10"/>
  <c r="AK501" i="10" s="1"/>
  <c r="AJ517" i="10"/>
  <c r="AL517" i="10" s="1"/>
  <c r="AJ533" i="10"/>
  <c r="AJ549" i="10"/>
  <c r="AL549" i="10" s="1"/>
  <c r="AJ34" i="10"/>
  <c r="AK34" i="10" s="1"/>
  <c r="AJ75" i="10"/>
  <c r="AJ118" i="10"/>
  <c r="AL118" i="10" s="1"/>
  <c r="AJ162" i="10"/>
  <c r="AK162" i="10" s="1"/>
  <c r="AJ203" i="10"/>
  <c r="AL203" i="10" s="1"/>
  <c r="AJ246" i="10"/>
  <c r="AJ290" i="10"/>
  <c r="AK290" i="10" s="1"/>
  <c r="AJ319" i="10"/>
  <c r="AK319" i="10" s="1"/>
  <c r="AJ340" i="10"/>
  <c r="AL340" i="10" s="1"/>
  <c r="AJ362" i="10"/>
  <c r="AL362" i="10" s="1"/>
  <c r="AJ383" i="10"/>
  <c r="AL383" i="10" s="1"/>
  <c r="AJ404" i="10"/>
  <c r="AL404" i="10" s="1"/>
  <c r="AJ426" i="10"/>
  <c r="AK426" i="10" s="1"/>
  <c r="AJ447" i="10"/>
  <c r="AK447" i="10" s="1"/>
  <c r="AJ468" i="10"/>
  <c r="AL468" i="10" s="1"/>
  <c r="AJ488" i="10"/>
  <c r="AK488" i="10" s="1"/>
  <c r="AJ504" i="10"/>
  <c r="AL504" i="10" s="1"/>
  <c r="AJ520" i="10"/>
  <c r="AJ536" i="10"/>
  <c r="AK536" i="10" s="1"/>
  <c r="AJ552" i="10"/>
  <c r="AJ54" i="10"/>
  <c r="AK54" i="10" s="1"/>
  <c r="AJ98" i="10"/>
  <c r="AL98" i="10" s="1"/>
  <c r="AJ139" i="10"/>
  <c r="AJ182" i="10"/>
  <c r="AL182" i="10" s="1"/>
  <c r="AJ226" i="10"/>
  <c r="AL226" i="10" s="1"/>
  <c r="AJ267" i="10"/>
  <c r="AJ306" i="10"/>
  <c r="AK306" i="10" s="1"/>
  <c r="AJ330" i="10"/>
  <c r="AL330" i="10" s="1"/>
  <c r="AJ351" i="10"/>
  <c r="AK351" i="10" s="1"/>
  <c r="AJ372" i="10"/>
  <c r="AK372" i="10" s="1"/>
  <c r="AJ394" i="10"/>
  <c r="AL394" i="10" s="1"/>
  <c r="AJ415" i="10"/>
  <c r="AK415" i="10" s="1"/>
  <c r="AJ436" i="10"/>
  <c r="AK436" i="10" s="1"/>
  <c r="AJ458" i="10"/>
  <c r="AK458" i="10" s="1"/>
  <c r="AJ479" i="10"/>
  <c r="AL479" i="10" s="1"/>
  <c r="AJ496" i="10"/>
  <c r="AK496" i="10" s="1"/>
  <c r="AJ512" i="10"/>
  <c r="AK512" i="10" s="1"/>
  <c r="AJ528" i="10"/>
  <c r="AL528" i="10" s="1"/>
  <c r="AJ544" i="10"/>
  <c r="AK544" i="10" s="1"/>
  <c r="AJ560" i="10"/>
  <c r="AL560" i="10" s="1"/>
  <c r="AJ174" i="10"/>
  <c r="AL174" i="10" s="1"/>
  <c r="AJ326" i="10"/>
  <c r="AJ411" i="10"/>
  <c r="AK411" i="10" s="1"/>
  <c r="AJ493" i="10"/>
  <c r="AL493" i="10" s="1"/>
  <c r="AJ557" i="10"/>
  <c r="AL557" i="10" s="1"/>
  <c r="AJ46" i="10"/>
  <c r="AK46" i="10" s="1"/>
  <c r="AJ218" i="10"/>
  <c r="AK218" i="10" s="1"/>
  <c r="AJ347" i="10"/>
  <c r="AL347" i="10" s="1"/>
  <c r="AJ432" i="10"/>
  <c r="AL432" i="10" s="1"/>
  <c r="AJ509" i="10"/>
  <c r="AL509" i="10" s="1"/>
  <c r="AJ131" i="10"/>
  <c r="AL131" i="10" s="1"/>
  <c r="AJ300" i="10"/>
  <c r="AL300" i="10" s="1"/>
  <c r="AJ390" i="10"/>
  <c r="AK390" i="10" s="1"/>
  <c r="AJ475" i="10"/>
  <c r="AJ541" i="10"/>
  <c r="AL541" i="10" s="1"/>
  <c r="AJ90" i="10"/>
  <c r="AL90" i="10" s="1"/>
  <c r="AJ525" i="10"/>
  <c r="AL525" i="10" s="1"/>
  <c r="AJ259" i="10"/>
  <c r="AL259" i="10" s="1"/>
  <c r="AJ454" i="10"/>
  <c r="AK454" i="10" s="1"/>
  <c r="AJ368" i="10"/>
  <c r="AK368" i="10" s="1"/>
  <c r="AO19" i="10"/>
  <c r="AN19" i="10"/>
  <c r="AM24" i="10"/>
  <c r="AM29" i="10"/>
  <c r="AM31" i="10"/>
  <c r="AM34" i="10"/>
  <c r="AM40" i="10"/>
  <c r="AM45" i="10"/>
  <c r="AM47" i="10"/>
  <c r="AM50" i="10"/>
  <c r="AM56" i="10"/>
  <c r="AM61" i="10"/>
  <c r="AM63" i="10"/>
  <c r="AM66" i="10"/>
  <c r="AM72" i="10"/>
  <c r="AM77" i="10"/>
  <c r="AM79" i="10"/>
  <c r="AM82" i="10"/>
  <c r="AM21" i="10"/>
  <c r="AM30" i="10"/>
  <c r="AM33" i="10"/>
  <c r="AM42" i="10"/>
  <c r="AM52" i="10"/>
  <c r="AM26" i="10"/>
  <c r="AM36" i="10"/>
  <c r="AM38" i="10"/>
  <c r="AM23" i="10"/>
  <c r="AM25" i="10"/>
  <c r="AM28" i="10"/>
  <c r="AM35" i="10"/>
  <c r="AM37" i="10"/>
  <c r="AM46" i="10"/>
  <c r="AM49" i="10"/>
  <c r="AM58" i="10"/>
  <c r="AM68" i="10"/>
  <c r="AM70" i="10"/>
  <c r="AM75" i="10"/>
  <c r="AM80" i="10"/>
  <c r="AM88" i="10"/>
  <c r="AM93" i="10"/>
  <c r="AM95" i="10"/>
  <c r="AM98" i="10"/>
  <c r="AM112" i="10"/>
  <c r="AM114" i="10"/>
  <c r="AM120" i="10"/>
  <c r="AM122" i="10"/>
  <c r="AM27" i="10"/>
  <c r="AM43" i="10"/>
  <c r="AM48" i="10"/>
  <c r="AM59" i="10"/>
  <c r="AM65" i="10"/>
  <c r="AM74" i="10"/>
  <c r="AM81" i="10"/>
  <c r="AM84" i="10"/>
  <c r="AM86" i="10"/>
  <c r="AM91" i="10"/>
  <c r="AM96" i="10"/>
  <c r="AM103" i="10"/>
  <c r="AM111" i="10"/>
  <c r="AM119" i="10"/>
  <c r="AM128" i="10"/>
  <c r="AM130" i="10"/>
  <c r="AM136" i="10"/>
  <c r="AM138" i="10"/>
  <c r="AM144" i="10"/>
  <c r="AM146" i="10"/>
  <c r="AM152" i="10"/>
  <c r="AM154" i="10"/>
  <c r="AM160" i="10"/>
  <c r="AM162" i="10"/>
  <c r="AM168" i="10"/>
  <c r="AM170" i="10"/>
  <c r="AM176" i="10"/>
  <c r="AM178" i="10"/>
  <c r="AM184" i="10"/>
  <c r="AM188" i="10"/>
  <c r="AM198" i="10"/>
  <c r="AM201" i="10"/>
  <c r="AM203" i="10"/>
  <c r="AM208" i="10"/>
  <c r="AM213" i="10"/>
  <c r="AM219" i="10"/>
  <c r="AM221" i="10"/>
  <c r="AM223" i="10"/>
  <c r="AM226" i="10"/>
  <c r="AM228" i="10"/>
  <c r="AM230" i="10"/>
  <c r="AM235" i="10"/>
  <c r="AM241" i="10"/>
  <c r="AM244" i="10"/>
  <c r="AM246" i="10"/>
  <c r="AM251" i="10"/>
  <c r="AM257" i="10"/>
  <c r="AM260" i="10"/>
  <c r="AM262" i="10"/>
  <c r="AM267" i="10"/>
  <c r="AM273" i="10"/>
  <c r="AM276" i="10"/>
  <c r="AM278" i="10"/>
  <c r="AM283" i="10"/>
  <c r="AM289" i="10"/>
  <c r="AM292" i="10"/>
  <c r="AM294" i="10"/>
  <c r="AM297" i="10"/>
  <c r="AM301" i="10"/>
  <c r="AM305" i="10"/>
  <c r="AM309" i="10"/>
  <c r="AM313" i="10"/>
  <c r="AM317" i="10"/>
  <c r="AM321" i="10"/>
  <c r="AM325" i="10"/>
  <c r="AM329" i="10"/>
  <c r="AM333" i="10"/>
  <c r="AM337" i="10"/>
  <c r="AM341" i="10"/>
  <c r="AM345" i="10"/>
  <c r="AM349" i="10"/>
  <c r="AM353" i="10"/>
  <c r="AM357" i="10"/>
  <c r="AM361" i="10"/>
  <c r="AM365" i="10"/>
  <c r="AM369" i="10"/>
  <c r="AM20" i="10"/>
  <c r="AM39" i="10"/>
  <c r="AM44" i="10"/>
  <c r="AM53" i="10"/>
  <c r="AM60" i="10"/>
  <c r="AM62" i="10"/>
  <c r="AM69" i="10"/>
  <c r="AM76" i="10"/>
  <c r="AM78" i="10"/>
  <c r="AM87" i="10"/>
  <c r="AM89" i="10"/>
  <c r="AM92" i="10"/>
  <c r="AM99" i="10"/>
  <c r="AM101" i="10"/>
  <c r="AM104" i="10"/>
  <c r="AM106" i="10"/>
  <c r="AM109" i="10"/>
  <c r="AM117" i="10"/>
  <c r="AM126" i="10"/>
  <c r="AM129" i="10"/>
  <c r="AM134" i="10"/>
  <c r="AM137" i="10"/>
  <c r="AM142" i="10"/>
  <c r="AM145" i="10"/>
  <c r="AM150" i="10"/>
  <c r="AM153" i="10"/>
  <c r="AM158" i="10"/>
  <c r="AM161" i="10"/>
  <c r="AM166" i="10"/>
  <c r="AM169" i="10"/>
  <c r="AM174" i="10"/>
  <c r="AM177" i="10"/>
  <c r="AM182" i="10"/>
  <c r="AM186" i="10"/>
  <c r="AM193" i="10"/>
  <c r="AM195" i="10"/>
  <c r="AM200" i="10"/>
  <c r="AM205" i="10"/>
  <c r="AM207" i="10"/>
  <c r="AM210" i="10"/>
  <c r="AM212" i="10"/>
  <c r="AM217" i="10"/>
  <c r="AM220" i="10"/>
  <c r="AM231" i="10"/>
  <c r="AM237" i="10"/>
  <c r="AM240" i="10"/>
  <c r="AM242" i="10"/>
  <c r="AM247" i="10"/>
  <c r="AM253" i="10"/>
  <c r="AM256" i="10"/>
  <c r="AM258" i="10"/>
  <c r="AM263" i="10"/>
  <c r="AM269" i="10"/>
  <c r="AM272" i="10"/>
  <c r="AM274" i="10"/>
  <c r="AM279" i="10"/>
  <c r="AM285" i="10"/>
  <c r="AM288" i="10"/>
  <c r="AM290" i="10"/>
  <c r="AM295" i="10"/>
  <c r="AM299" i="10"/>
  <c r="AM303" i="10"/>
  <c r="AM307" i="10"/>
  <c r="AM311" i="10"/>
  <c r="AM315" i="10"/>
  <c r="AM319" i="10"/>
  <c r="AM323" i="10"/>
  <c r="AM327" i="10"/>
  <c r="AM331" i="10"/>
  <c r="AM335" i="10"/>
  <c r="AM339" i="10"/>
  <c r="AM343" i="10"/>
  <c r="AM347" i="10"/>
  <c r="AM351" i="10"/>
  <c r="AM355" i="10"/>
  <c r="AM359" i="10"/>
  <c r="AM363" i="10"/>
  <c r="AM367" i="10"/>
  <c r="AM41" i="10"/>
  <c r="AM51" i="10"/>
  <c r="AM55" i="10"/>
  <c r="AM71" i="10"/>
  <c r="AM90" i="10"/>
  <c r="AM100" i="10"/>
  <c r="AM102" i="10"/>
  <c r="AM105" i="10"/>
  <c r="AM108" i="10"/>
  <c r="AM110" i="10"/>
  <c r="AM116" i="10"/>
  <c r="AM118" i="10"/>
  <c r="AM124" i="10"/>
  <c r="AM132" i="10"/>
  <c r="AM140" i="10"/>
  <c r="AM148" i="10"/>
  <c r="AM156" i="10"/>
  <c r="AM164" i="10"/>
  <c r="AM172" i="10"/>
  <c r="AM180" i="10"/>
  <c r="AM187" i="10"/>
  <c r="AM189" i="10"/>
  <c r="AM191" i="10"/>
  <c r="AM194" i="10"/>
  <c r="AM196" i="10"/>
  <c r="AM206" i="10"/>
  <c r="AM209" i="10"/>
  <c r="AM211" i="10"/>
  <c r="AM215" i="10"/>
  <c r="AM224" i="10"/>
  <c r="AM229" i="10"/>
  <c r="AM232" i="10"/>
  <c r="AM234" i="10"/>
  <c r="AM239" i="10"/>
  <c r="AM245" i="10"/>
  <c r="AM248" i="10"/>
  <c r="AM250" i="10"/>
  <c r="AM255" i="10"/>
  <c r="AM261" i="10"/>
  <c r="AM264" i="10"/>
  <c r="AM266" i="10"/>
  <c r="AM271" i="10"/>
  <c r="AM277" i="10"/>
  <c r="AM280" i="10"/>
  <c r="AM282" i="10"/>
  <c r="AM287" i="10"/>
  <c r="AM293" i="10"/>
  <c r="AM296" i="10"/>
  <c r="AM300" i="10"/>
  <c r="AM304" i="10"/>
  <c r="AM308" i="10"/>
  <c r="AM312" i="10"/>
  <c r="AM316" i="10"/>
  <c r="AM320" i="10"/>
  <c r="AM324" i="10"/>
  <c r="AM332" i="10"/>
  <c r="AM340" i="10"/>
  <c r="AM348" i="10"/>
  <c r="AM356" i="10"/>
  <c r="AM364" i="10"/>
  <c r="AM372" i="10"/>
  <c r="AM380" i="10"/>
  <c r="AM388" i="10"/>
  <c r="AM396" i="10"/>
  <c r="AM404" i="10"/>
  <c r="AM410" i="10"/>
  <c r="AM414" i="10"/>
  <c r="AM418" i="10"/>
  <c r="AM422" i="10"/>
  <c r="AM426" i="10"/>
  <c r="AM430" i="10"/>
  <c r="AM434" i="10"/>
  <c r="AM438" i="10"/>
  <c r="AM442" i="10"/>
  <c r="AM446" i="10"/>
  <c r="AM22" i="10"/>
  <c r="AM64" i="10"/>
  <c r="AM97" i="10"/>
  <c r="AM107" i="10"/>
  <c r="AM127" i="10"/>
  <c r="AM135" i="10"/>
  <c r="AM143" i="10"/>
  <c r="AM151" i="10"/>
  <c r="AM159" i="10"/>
  <c r="AM167" i="10"/>
  <c r="AM175" i="10"/>
  <c r="AM183" i="10"/>
  <c r="AM190" i="10"/>
  <c r="AM197" i="10"/>
  <c r="AM204" i="10"/>
  <c r="AM218" i="10"/>
  <c r="AM225" i="10"/>
  <c r="AM233" i="10"/>
  <c r="AM243" i="10"/>
  <c r="AM252" i="10"/>
  <c r="AM270" i="10"/>
  <c r="AM298" i="10"/>
  <c r="AM306" i="10"/>
  <c r="AM314" i="10"/>
  <c r="AM322" i="10"/>
  <c r="AM330" i="10"/>
  <c r="AM338" i="10"/>
  <c r="AM346" i="10"/>
  <c r="AM354" i="10"/>
  <c r="AM362" i="10"/>
  <c r="AM412" i="10"/>
  <c r="AM420" i="10"/>
  <c r="AM428" i="10"/>
  <c r="AM436" i="10"/>
  <c r="AM444" i="10"/>
  <c r="AM451" i="10"/>
  <c r="AM455" i="10"/>
  <c r="AM459" i="10"/>
  <c r="AM463" i="10"/>
  <c r="AM467" i="10"/>
  <c r="AM471" i="10"/>
  <c r="AM475" i="10"/>
  <c r="AM479" i="10"/>
  <c r="AM483" i="10"/>
  <c r="AM487" i="10"/>
  <c r="AM491" i="10"/>
  <c r="AM495" i="10"/>
  <c r="AM499" i="10"/>
  <c r="AM503" i="10"/>
  <c r="AM507" i="10"/>
  <c r="AM511" i="10"/>
  <c r="AM515" i="10"/>
  <c r="AM519" i="10"/>
  <c r="AM523" i="10"/>
  <c r="AM527" i="10"/>
  <c r="AM531" i="10"/>
  <c r="AM535" i="10"/>
  <c r="AM539" i="10"/>
  <c r="AM543" i="10"/>
  <c r="AM547" i="10"/>
  <c r="AM551" i="10"/>
  <c r="AM559" i="10"/>
  <c r="AM57" i="10"/>
  <c r="AM123" i="10"/>
  <c r="AM163" i="10"/>
  <c r="AM179" i="10"/>
  <c r="AM238" i="10"/>
  <c r="AM284" i="10"/>
  <c r="AM318" i="10"/>
  <c r="AM342" i="10"/>
  <c r="AM366" i="10"/>
  <c r="AM400" i="10"/>
  <c r="AM432" i="10"/>
  <c r="AM448" i="10"/>
  <c r="AM458" i="10"/>
  <c r="AM470" i="10"/>
  <c r="AM482" i="10"/>
  <c r="AM490" i="10"/>
  <c r="AM506" i="10"/>
  <c r="AM522" i="10"/>
  <c r="AM534" i="10"/>
  <c r="AM546" i="10"/>
  <c r="AM558" i="10"/>
  <c r="AM32" i="10"/>
  <c r="AM54" i="10"/>
  <c r="AM67" i="10"/>
  <c r="AM121" i="10"/>
  <c r="AM185" i="10"/>
  <c r="AM192" i="10"/>
  <c r="AM199" i="10"/>
  <c r="AM227" i="10"/>
  <c r="AM236" i="10"/>
  <c r="AM254" i="10"/>
  <c r="AM281" i="10"/>
  <c r="AM291" i="10"/>
  <c r="AM370" i="10"/>
  <c r="AM373" i="10"/>
  <c r="AM375" i="10"/>
  <c r="AM378" i="10"/>
  <c r="AM381" i="10"/>
  <c r="AM383" i="10"/>
  <c r="AM386" i="10"/>
  <c r="AM389" i="10"/>
  <c r="AM391" i="10"/>
  <c r="AM394" i="10"/>
  <c r="AM397" i="10"/>
  <c r="AM399" i="10"/>
  <c r="AM402" i="10"/>
  <c r="AM405" i="10"/>
  <c r="AM407" i="10"/>
  <c r="AM413" i="10"/>
  <c r="AM415" i="10"/>
  <c r="AM421" i="10"/>
  <c r="AM423" i="10"/>
  <c r="AM429" i="10"/>
  <c r="AM431" i="10"/>
  <c r="AM437" i="10"/>
  <c r="AM439" i="10"/>
  <c r="AM445" i="10"/>
  <c r="AM447" i="10"/>
  <c r="AM452" i="10"/>
  <c r="AM456" i="10"/>
  <c r="AM460" i="10"/>
  <c r="AM464" i="10"/>
  <c r="AM468" i="10"/>
  <c r="AM472" i="10"/>
  <c r="AM476" i="10"/>
  <c r="AM480" i="10"/>
  <c r="AM484" i="10"/>
  <c r="AM488" i="10"/>
  <c r="AM492" i="10"/>
  <c r="AM496" i="10"/>
  <c r="AM500" i="10"/>
  <c r="AM504" i="10"/>
  <c r="AM508" i="10"/>
  <c r="AM512" i="10"/>
  <c r="AM516" i="10"/>
  <c r="AM520" i="10"/>
  <c r="AM524" i="10"/>
  <c r="AM528" i="10"/>
  <c r="AM532" i="10"/>
  <c r="AM536" i="10"/>
  <c r="AM540" i="10"/>
  <c r="AM544" i="10"/>
  <c r="AM548" i="10"/>
  <c r="AM552" i="10"/>
  <c r="AM556" i="10"/>
  <c r="AM83" i="10"/>
  <c r="AM131" i="10"/>
  <c r="AM155" i="10"/>
  <c r="AM222" i="10"/>
  <c r="AM275" i="10"/>
  <c r="AM310" i="10"/>
  <c r="AM334" i="10"/>
  <c r="AM358" i="10"/>
  <c r="AM384" i="10"/>
  <c r="AM408" i="10"/>
  <c r="AM424" i="10"/>
  <c r="AM440" i="10"/>
  <c r="AM454" i="10"/>
  <c r="AM466" i="10"/>
  <c r="AM478" i="10"/>
  <c r="AM494" i="10"/>
  <c r="AM502" i="10"/>
  <c r="AM514" i="10"/>
  <c r="AM530" i="10"/>
  <c r="AM538" i="10"/>
  <c r="AM554" i="10"/>
  <c r="AM73" i="10"/>
  <c r="AM85" i="10"/>
  <c r="AM94" i="10"/>
  <c r="AM115" i="10"/>
  <c r="AM125" i="10"/>
  <c r="AM133" i="10"/>
  <c r="AM141" i="10"/>
  <c r="AM149" i="10"/>
  <c r="AM157" i="10"/>
  <c r="AM165" i="10"/>
  <c r="AM173" i="10"/>
  <c r="AM181" i="10"/>
  <c r="AM202" i="10"/>
  <c r="AM216" i="10"/>
  <c r="AM249" i="10"/>
  <c r="AM259" i="10"/>
  <c r="AM268" i="10"/>
  <c r="AM286" i="10"/>
  <c r="AM328" i="10"/>
  <c r="AM336" i="10"/>
  <c r="AM344" i="10"/>
  <c r="AM352" i="10"/>
  <c r="AM360" i="10"/>
  <c r="AM368" i="10"/>
  <c r="AM371" i="10"/>
  <c r="AM374" i="10"/>
  <c r="AM377" i="10"/>
  <c r="AM379" i="10"/>
  <c r="AM382" i="10"/>
  <c r="AM385" i="10"/>
  <c r="AM387" i="10"/>
  <c r="AM390" i="10"/>
  <c r="AM393" i="10"/>
  <c r="AM395" i="10"/>
  <c r="AM398" i="10"/>
  <c r="AM401" i="10"/>
  <c r="AM403" i="10"/>
  <c r="AM406" i="10"/>
  <c r="AM409" i="10"/>
  <c r="AM411" i="10"/>
  <c r="AM417" i="10"/>
  <c r="AM419" i="10"/>
  <c r="AM425" i="10"/>
  <c r="AM427" i="10"/>
  <c r="AM433" i="10"/>
  <c r="AM435" i="10"/>
  <c r="AM441" i="10"/>
  <c r="AM443" i="10"/>
  <c r="AM449" i="10"/>
  <c r="AM453" i="10"/>
  <c r="AM457" i="10"/>
  <c r="AM461" i="10"/>
  <c r="AM465" i="10"/>
  <c r="AM469" i="10"/>
  <c r="AM473" i="10"/>
  <c r="AM477" i="10"/>
  <c r="AM481" i="10"/>
  <c r="AM485" i="10"/>
  <c r="AM489" i="10"/>
  <c r="AM493" i="10"/>
  <c r="AM497" i="10"/>
  <c r="AM501" i="10"/>
  <c r="AM505" i="10"/>
  <c r="AM509" i="10"/>
  <c r="AM513" i="10"/>
  <c r="AM517" i="10"/>
  <c r="AM521" i="10"/>
  <c r="AM525" i="10"/>
  <c r="AM529" i="10"/>
  <c r="AM533" i="10"/>
  <c r="AM537" i="10"/>
  <c r="AM541" i="10"/>
  <c r="AM545" i="10"/>
  <c r="AM549" i="10"/>
  <c r="AM553" i="10"/>
  <c r="AM557" i="10"/>
  <c r="AM555" i="10"/>
  <c r="AM560" i="10"/>
  <c r="AM113" i="10"/>
  <c r="AM139" i="10"/>
  <c r="AM147" i="10"/>
  <c r="AM171" i="10"/>
  <c r="AM214" i="10"/>
  <c r="AM265" i="10"/>
  <c r="AM302" i="10"/>
  <c r="AM326" i="10"/>
  <c r="AM350" i="10"/>
  <c r="AM376" i="10"/>
  <c r="AM392" i="10"/>
  <c r="AM416" i="10"/>
  <c r="AM450" i="10"/>
  <c r="AM462" i="10"/>
  <c r="AM474" i="10"/>
  <c r="AM486" i="10"/>
  <c r="AM498" i="10"/>
  <c r="AM510" i="10"/>
  <c r="AM518" i="10"/>
  <c r="AM526" i="10"/>
  <c r="AM542" i="10"/>
  <c r="AM550" i="10"/>
  <c r="AL288" i="10"/>
  <c r="AK105" i="10" l="1"/>
  <c r="AL473" i="10"/>
  <c r="AL152" i="10"/>
  <c r="AL353" i="10"/>
  <c r="AL465" i="10"/>
  <c r="AL209" i="10"/>
  <c r="AL458" i="10"/>
  <c r="AK490" i="10"/>
  <c r="AL79" i="10"/>
  <c r="AL341" i="10"/>
  <c r="AL309" i="10"/>
  <c r="AK551" i="10"/>
  <c r="AL119" i="10"/>
  <c r="AK453" i="10"/>
  <c r="AK294" i="10"/>
  <c r="AK399" i="10"/>
  <c r="AK210" i="10"/>
  <c r="AL379" i="10"/>
  <c r="AK188" i="10"/>
  <c r="AK357" i="10"/>
  <c r="AK53" i="10"/>
  <c r="AL124" i="10"/>
  <c r="AL69" i="10"/>
  <c r="AL183" i="10"/>
  <c r="AL471" i="10"/>
  <c r="AK149" i="10"/>
  <c r="AL284" i="10"/>
  <c r="AL442" i="10"/>
  <c r="AL554" i="10"/>
  <c r="AL243" i="10"/>
  <c r="AK101" i="10"/>
  <c r="AK360" i="10"/>
  <c r="AL28" i="10"/>
  <c r="AK268" i="10"/>
  <c r="AL516" i="10"/>
  <c r="AK405" i="10"/>
  <c r="AL318" i="10"/>
  <c r="AL535" i="10"/>
  <c r="AL172" i="10"/>
  <c r="AL44" i="10"/>
  <c r="AK322" i="10"/>
  <c r="AK506" i="10"/>
  <c r="AL123" i="10"/>
  <c r="AL411" i="10"/>
  <c r="AL236" i="10"/>
  <c r="AK150" i="10"/>
  <c r="AL85" i="10"/>
  <c r="AK215" i="10"/>
  <c r="AL66" i="10"/>
  <c r="AL158" i="10"/>
  <c r="AK21" i="10"/>
  <c r="AL343" i="10"/>
  <c r="AL55" i="10"/>
  <c r="AK202" i="10"/>
  <c r="AK23" i="10"/>
  <c r="AK251" i="10"/>
  <c r="AK389" i="10"/>
  <c r="AK92" i="10"/>
  <c r="AL484" i="10"/>
  <c r="AK510" i="10"/>
  <c r="AL510" i="10"/>
  <c r="AK126" i="10"/>
  <c r="AL126" i="10"/>
  <c r="AK191" i="10"/>
  <c r="AL191" i="10"/>
  <c r="AL128" i="10"/>
  <c r="AK128" i="10"/>
  <c r="AL57" i="10"/>
  <c r="AK57" i="10"/>
  <c r="AL139" i="10"/>
  <c r="AK139" i="10"/>
  <c r="AL533" i="10"/>
  <c r="AK533" i="10"/>
  <c r="AL553" i="10"/>
  <c r="AK553" i="10"/>
  <c r="AK548" i="10"/>
  <c r="AL548" i="10"/>
  <c r="AK314" i="10"/>
  <c r="AL314" i="10"/>
  <c r="AK450" i="10"/>
  <c r="AL450" i="10"/>
  <c r="AL428" i="10"/>
  <c r="AK428" i="10"/>
  <c r="AK386" i="10"/>
  <c r="AL386" i="10"/>
  <c r="AK403" i="10"/>
  <c r="AL403" i="10"/>
  <c r="AK115" i="10"/>
  <c r="AL115" i="10"/>
  <c r="AL469" i="10"/>
  <c r="AK469" i="10"/>
  <c r="AL437" i="10"/>
  <c r="AK437" i="10"/>
  <c r="AL325" i="10"/>
  <c r="AK325" i="10"/>
  <c r="AL151" i="10"/>
  <c r="AK151" i="10"/>
  <c r="AK87" i="10"/>
  <c r="AL87" i="10"/>
  <c r="AL220" i="10"/>
  <c r="AK220" i="10"/>
  <c r="AK76" i="10"/>
  <c r="AL76" i="10"/>
  <c r="AL277" i="10"/>
  <c r="AK277" i="10"/>
  <c r="AL229" i="10"/>
  <c r="AK229" i="10"/>
  <c r="AK181" i="10"/>
  <c r="AL181" i="10"/>
  <c r="AK165" i="10"/>
  <c r="AL165" i="10"/>
  <c r="AK37" i="10"/>
  <c r="AL37" i="10"/>
  <c r="AK487" i="10"/>
  <c r="AK133" i="10"/>
  <c r="AK252" i="10"/>
  <c r="AK78" i="10"/>
  <c r="AK166" i="10"/>
  <c r="AK382" i="10"/>
  <c r="AL197" i="10"/>
  <c r="AL247" i="10"/>
  <c r="AL407" i="10"/>
  <c r="AK373" i="10"/>
  <c r="AL108" i="10"/>
  <c r="AL117" i="10"/>
  <c r="AK74" i="10"/>
  <c r="AL290" i="10"/>
  <c r="AL522" i="10"/>
  <c r="AK213" i="10"/>
  <c r="AL307" i="10"/>
  <c r="AL467" i="10"/>
  <c r="AL424" i="10"/>
  <c r="AK421" i="10"/>
  <c r="AL38" i="10"/>
  <c r="AK156" i="10"/>
  <c r="AL356" i="10"/>
  <c r="AL503" i="10"/>
  <c r="AK261" i="10"/>
  <c r="AK110" i="10"/>
  <c r="AL286" i="10"/>
  <c r="AL446" i="10"/>
  <c r="AK279" i="10"/>
  <c r="AL519" i="10"/>
  <c r="AL30" i="10"/>
  <c r="AK140" i="10"/>
  <c r="AL245" i="10"/>
  <c r="AL497" i="10"/>
  <c r="AL82" i="10"/>
  <c r="AK538" i="10"/>
  <c r="AL293" i="10"/>
  <c r="AK235" i="10"/>
  <c r="AK339" i="10"/>
  <c r="AL536" i="10"/>
  <c r="AL60" i="10"/>
  <c r="AL204" i="10"/>
  <c r="AK364" i="10"/>
  <c r="AL185" i="10"/>
  <c r="AK48" i="10"/>
  <c r="AK430" i="10"/>
  <c r="AK377" i="10"/>
  <c r="AK366" i="10"/>
  <c r="AK153" i="10"/>
  <c r="AK281" i="10"/>
  <c r="AK91" i="10"/>
  <c r="AK262" i="10"/>
  <c r="AK137" i="10"/>
  <c r="AL89" i="10"/>
  <c r="AL409" i="10"/>
  <c r="AK523" i="10"/>
  <c r="AK121" i="10"/>
  <c r="AK64" i="10"/>
  <c r="AL224" i="10"/>
  <c r="AL73" i="10"/>
  <c r="AK41" i="10"/>
  <c r="AL323" i="10"/>
  <c r="AK160" i="10"/>
  <c r="AL492" i="10"/>
  <c r="AK492" i="10"/>
  <c r="AK542" i="10"/>
  <c r="AL542" i="10"/>
  <c r="AL391" i="10"/>
  <c r="AK391" i="10"/>
  <c r="AL219" i="10"/>
  <c r="AK219" i="10"/>
  <c r="AK134" i="10"/>
  <c r="AL134" i="10"/>
  <c r="AK555" i="10"/>
  <c r="AL555" i="10"/>
  <c r="AL408" i="10"/>
  <c r="AK408" i="10"/>
  <c r="AL240" i="10"/>
  <c r="AK240" i="10"/>
  <c r="AK494" i="10"/>
  <c r="AK223" i="10"/>
  <c r="AL169" i="10"/>
  <c r="AL258" i="10"/>
  <c r="AL265" i="10"/>
  <c r="AK393" i="10"/>
  <c r="AK457" i="10"/>
  <c r="AL95" i="10"/>
  <c r="AK315" i="10"/>
  <c r="AK451" i="10"/>
  <c r="AK507" i="10"/>
  <c r="AK201" i="10"/>
  <c r="AL361" i="10"/>
  <c r="AK50" i="10"/>
  <c r="AL112" i="10"/>
  <c r="AK416" i="10"/>
  <c r="AL488" i="10"/>
  <c r="AL452" i="10"/>
  <c r="AK452" i="10"/>
  <c r="AK254" i="10"/>
  <c r="AL254" i="10"/>
  <c r="AK170" i="10"/>
  <c r="AL170" i="10"/>
  <c r="AL312" i="10"/>
  <c r="AK312" i="10"/>
  <c r="AK63" i="10"/>
  <c r="AL63" i="10"/>
  <c r="AL272" i="10"/>
  <c r="AK272" i="10"/>
  <c r="AK208" i="10"/>
  <c r="AL208" i="10"/>
  <c r="AL217" i="10"/>
  <c r="AK217" i="10"/>
  <c r="AK552" i="10"/>
  <c r="AL552" i="10"/>
  <c r="AL526" i="10"/>
  <c r="AK526" i="10"/>
  <c r="AL476" i="10"/>
  <c r="AK476" i="10"/>
  <c r="AK434" i="10"/>
  <c r="AL434" i="10"/>
  <c r="AK387" i="10"/>
  <c r="AL387" i="10"/>
  <c r="AK176" i="10"/>
  <c r="AL176" i="10"/>
  <c r="AL297" i="10"/>
  <c r="AK297" i="10"/>
  <c r="AL455" i="10"/>
  <c r="AK233" i="10"/>
  <c r="AK313" i="10"/>
  <c r="AK558" i="10"/>
  <c r="AK249" i="10"/>
  <c r="AL159" i="10"/>
  <c r="AK287" i="10"/>
  <c r="AK367" i="10"/>
  <c r="AL162" i="10"/>
  <c r="AK298" i="10"/>
  <c r="AL410" i="10"/>
  <c r="AK425" i="10"/>
  <c r="AL32" i="10"/>
  <c r="AL171" i="10"/>
  <c r="AK539" i="10"/>
  <c r="AL25" i="10"/>
  <c r="AL80" i="10"/>
  <c r="AL144" i="10"/>
  <c r="AL192" i="10"/>
  <c r="AK256" i="10"/>
  <c r="AK344" i="10"/>
  <c r="AL368" i="10"/>
  <c r="AL31" i="10"/>
  <c r="AK86" i="10"/>
  <c r="AL127" i="10"/>
  <c r="AK255" i="10"/>
  <c r="AL303" i="10"/>
  <c r="AK329" i="10"/>
  <c r="AL178" i="10"/>
  <c r="AL370" i="10"/>
  <c r="AL345" i="10"/>
  <c r="AL441" i="10"/>
  <c r="AK83" i="10"/>
  <c r="AL211" i="10"/>
  <c r="AK491" i="10"/>
  <c r="AL42" i="10"/>
  <c r="AK96" i="10"/>
  <c r="AK400" i="10"/>
  <c r="AL472" i="10"/>
  <c r="AK412" i="10"/>
  <c r="AK142" i="10"/>
  <c r="AK528" i="10"/>
  <c r="AL556" i="10"/>
  <c r="AK331" i="10"/>
  <c r="AK19" i="10"/>
  <c r="AL324" i="10"/>
  <c r="AL348" i="10"/>
  <c r="AK374" i="10"/>
  <c r="AK327" i="10"/>
  <c r="AK404" i="10"/>
  <c r="AK347" i="10"/>
  <c r="AL19" i="10"/>
  <c r="AK276" i="10"/>
  <c r="AK182" i="10"/>
  <c r="AK90" i="10"/>
  <c r="AK521" i="10"/>
  <c r="AL415" i="10"/>
  <c r="AK524" i="10"/>
  <c r="AL306" i="10"/>
  <c r="AK237" i="10"/>
  <c r="AL496" i="10"/>
  <c r="AK560" i="10"/>
  <c r="AL109" i="10"/>
  <c r="AK349" i="10"/>
  <c r="AL546" i="10"/>
  <c r="AL99" i="10"/>
  <c r="AK493" i="10"/>
  <c r="AL270" i="10"/>
  <c r="AK549" i="10"/>
  <c r="AL319" i="10"/>
  <c r="AL375" i="10"/>
  <c r="AK485" i="10"/>
  <c r="AK529" i="10"/>
  <c r="AL186" i="10"/>
  <c r="AL459" i="10"/>
  <c r="AK300" i="10"/>
  <c r="AK285" i="10"/>
  <c r="AK154" i="10"/>
  <c r="AK330" i="10"/>
  <c r="AL206" i="10"/>
  <c r="AL54" i="10"/>
  <c r="AK94" i="10"/>
  <c r="AL77" i="10"/>
  <c r="AL414" i="10"/>
  <c r="AK125" i="10"/>
  <c r="AK541" i="10"/>
  <c r="AL363" i="10"/>
  <c r="AK141" i="10"/>
  <c r="AL100" i="10"/>
  <c r="AL103" i="10"/>
  <c r="AL196" i="10"/>
  <c r="AK45" i="10"/>
  <c r="AL427" i="10"/>
  <c r="AK537" i="10"/>
  <c r="AL500" i="10"/>
  <c r="AK226" i="10"/>
  <c r="AK525" i="10"/>
  <c r="AK35" i="10"/>
  <c r="AL384" i="10"/>
  <c r="AL164" i="10"/>
  <c r="AL71" i="10"/>
  <c r="AL439" i="10"/>
  <c r="AL68" i="10"/>
  <c r="AK260" i="10"/>
  <c r="AL530" i="10"/>
  <c r="AK174" i="10"/>
  <c r="AK342" i="10"/>
  <c r="AL470" i="10"/>
  <c r="AL231" i="10"/>
  <c r="AL301" i="10"/>
  <c r="AK559" i="10"/>
  <c r="AL436" i="10"/>
  <c r="AL221" i="10"/>
  <c r="AL418" i="10"/>
  <c r="AL482" i="10"/>
  <c r="AK195" i="10"/>
  <c r="AL512" i="10"/>
  <c r="AL46" i="10"/>
  <c r="AK502" i="10"/>
  <c r="AK259" i="10"/>
  <c r="AL27" i="10"/>
  <c r="AK308" i="10"/>
  <c r="AK271" i="10"/>
  <c r="AK40" i="10"/>
  <c r="AL49" i="10"/>
  <c r="AK114" i="10"/>
  <c r="AL346" i="10"/>
  <c r="AK227" i="10"/>
  <c r="AL355" i="10"/>
  <c r="AL43" i="10"/>
  <c r="AK334" i="10"/>
  <c r="AK398" i="10"/>
  <c r="AK438" i="10"/>
  <c r="AK175" i="10"/>
  <c r="AK557" i="10"/>
  <c r="AL326" i="10"/>
  <c r="AK326" i="10"/>
  <c r="AK267" i="10"/>
  <c r="AL267" i="10"/>
  <c r="AL520" i="10"/>
  <c r="AK520" i="10"/>
  <c r="AK75" i="10"/>
  <c r="AL75" i="10"/>
  <c r="AL443" i="10"/>
  <c r="AK443" i="10"/>
  <c r="AK67" i="10"/>
  <c r="AL67" i="10"/>
  <c r="AL513" i="10"/>
  <c r="AK513" i="10"/>
  <c r="AK352" i="10"/>
  <c r="AL352" i="10"/>
  <c r="AL508" i="10"/>
  <c r="AK508" i="10"/>
  <c r="AK388" i="10"/>
  <c r="AL388" i="10"/>
  <c r="AK444" i="10"/>
  <c r="AL444" i="10"/>
  <c r="AL242" i="10"/>
  <c r="AK242" i="10"/>
  <c r="AK531" i="10"/>
  <c r="AL531" i="10"/>
  <c r="AL499" i="10"/>
  <c r="AK499" i="10"/>
  <c r="AL62" i="10"/>
  <c r="AK62" i="10"/>
  <c r="AK401" i="10"/>
  <c r="AL401" i="10"/>
  <c r="AL369" i="10"/>
  <c r="AK369" i="10"/>
  <c r="AL321" i="10"/>
  <c r="AK321" i="10"/>
  <c r="AL296" i="10"/>
  <c r="AK296" i="10"/>
  <c r="AL264" i="10"/>
  <c r="AK264" i="10"/>
  <c r="AL232" i="10"/>
  <c r="AK232" i="10"/>
  <c r="AK200" i="10"/>
  <c r="AL200" i="10"/>
  <c r="AK184" i="10"/>
  <c r="AL184" i="10"/>
  <c r="AK168" i="10"/>
  <c r="AL168" i="10"/>
  <c r="AK136" i="10"/>
  <c r="AL136" i="10"/>
  <c r="AK120" i="10"/>
  <c r="AL120" i="10"/>
  <c r="AK104" i="10"/>
  <c r="AL104" i="10"/>
  <c r="AK72" i="10"/>
  <c r="AL72" i="10"/>
  <c r="AK56" i="10"/>
  <c r="AL56" i="10"/>
  <c r="AL305" i="10"/>
  <c r="AK305" i="10"/>
  <c r="AL289" i="10"/>
  <c r="AK289" i="10"/>
  <c r="AK193" i="10"/>
  <c r="AL193" i="10"/>
  <c r="AK145" i="10"/>
  <c r="AL145" i="10"/>
  <c r="AK97" i="10"/>
  <c r="AL97" i="10"/>
  <c r="AK33" i="10"/>
  <c r="AL33" i="10"/>
  <c r="AL475" i="10"/>
  <c r="AK475" i="10"/>
  <c r="AK246" i="10"/>
  <c r="AL246" i="10"/>
  <c r="AK358" i="10"/>
  <c r="AL358" i="10"/>
  <c r="AL545" i="10"/>
  <c r="AK545" i="10"/>
  <c r="AK480" i="10"/>
  <c r="AL480" i="10"/>
  <c r="AK395" i="10"/>
  <c r="AL395" i="10"/>
  <c r="AK540" i="10"/>
  <c r="AL540" i="10"/>
  <c r="AL431" i="10"/>
  <c r="AK431" i="10"/>
  <c r="AK466" i="10"/>
  <c r="AL466" i="10"/>
  <c r="AK155" i="10"/>
  <c r="AL155" i="10"/>
  <c r="AK547" i="10"/>
  <c r="AL547" i="10"/>
  <c r="AK515" i="10"/>
  <c r="AL515" i="10"/>
  <c r="AK483" i="10"/>
  <c r="AL483" i="10"/>
  <c r="AL419" i="10"/>
  <c r="AK419" i="10"/>
  <c r="AK106" i="10"/>
  <c r="AL106" i="10"/>
  <c r="AL449" i="10"/>
  <c r="AK449" i="10"/>
  <c r="AL385" i="10"/>
  <c r="AK385" i="10"/>
  <c r="AK337" i="10"/>
  <c r="AL337" i="10"/>
  <c r="AK302" i="10"/>
  <c r="AL302" i="10"/>
  <c r="AK239" i="10"/>
  <c r="AL239" i="10"/>
  <c r="AL248" i="10"/>
  <c r="AK248" i="10"/>
  <c r="AK70" i="10"/>
  <c r="AL214" i="10"/>
  <c r="AK486" i="10"/>
  <c r="AL550" i="10"/>
  <c r="AK481" i="10"/>
  <c r="AK207" i="10"/>
  <c r="AL447" i="10"/>
  <c r="AK316" i="10"/>
  <c r="AK362" i="10"/>
  <c r="AL474" i="10"/>
  <c r="AK275" i="10"/>
  <c r="AK216" i="10"/>
  <c r="AL376" i="10"/>
  <c r="AK190" i="10"/>
  <c r="AL238" i="10"/>
  <c r="AK534" i="10"/>
  <c r="AL417" i="10"/>
  <c r="AK517" i="10"/>
  <c r="AL111" i="10"/>
  <c r="AL359" i="10"/>
  <c r="AL58" i="10"/>
  <c r="AK130" i="10"/>
  <c r="AL234" i="10"/>
  <c r="AL402" i="10"/>
  <c r="AK24" i="10"/>
  <c r="AK147" i="10"/>
  <c r="AL283" i="10"/>
  <c r="AK280" i="10"/>
  <c r="AK380" i="10"/>
  <c r="AL129" i="10"/>
  <c r="AK198" i="10"/>
  <c r="AK462" i="10"/>
  <c r="AK518" i="10"/>
  <c r="AL433" i="10"/>
  <c r="AL143" i="10"/>
  <c r="AL311" i="10"/>
  <c r="AL423" i="10"/>
  <c r="AK47" i="10"/>
  <c r="AL372" i="10"/>
  <c r="AK98" i="10"/>
  <c r="AL338" i="10"/>
  <c r="AK509" i="10"/>
  <c r="AL299" i="10"/>
  <c r="AK257" i="10"/>
  <c r="AL88" i="10"/>
  <c r="AK440" i="10"/>
  <c r="AK498" i="10"/>
  <c r="AL498" i="10"/>
  <c r="AL332" i="10"/>
  <c r="AK332" i="10"/>
  <c r="AK274" i="10"/>
  <c r="AL274" i="10"/>
  <c r="AL187" i="10"/>
  <c r="AK187" i="10"/>
  <c r="AK295" i="10"/>
  <c r="AL295" i="10"/>
  <c r="AL167" i="10"/>
  <c r="AK167" i="10"/>
  <c r="AK52" i="10"/>
  <c r="AL52" i="10"/>
  <c r="AL543" i="10"/>
  <c r="AK269" i="10"/>
  <c r="AK460" i="10"/>
  <c r="AL157" i="10"/>
  <c r="AL205" i="10"/>
  <c r="AK429" i="10"/>
  <c r="AK505" i="10"/>
  <c r="AL350" i="10"/>
  <c r="AL390" i="10"/>
  <c r="AK422" i="10"/>
  <c r="AK135" i="10"/>
  <c r="AL463" i="10"/>
  <c r="AL93" i="10"/>
  <c r="AL189" i="10"/>
  <c r="AK22" i="10"/>
  <c r="AK340" i="10"/>
  <c r="AK61" i="10"/>
  <c r="AL122" i="10"/>
  <c r="AL426" i="10"/>
  <c r="AK514" i="10"/>
  <c r="AL291" i="10"/>
  <c r="AL34" i="10"/>
  <c r="AK328" i="10"/>
  <c r="AK392" i="10"/>
  <c r="AK456" i="10"/>
  <c r="AL173" i="10"/>
  <c r="AK253" i="10"/>
  <c r="AK26" i="10"/>
  <c r="AK107" i="10"/>
  <c r="AL107" i="10"/>
  <c r="AK146" i="10"/>
  <c r="AL146" i="10"/>
  <c r="AK478" i="10"/>
  <c r="AL478" i="10"/>
  <c r="AK396" i="10"/>
  <c r="AK461" i="10"/>
  <c r="AL222" i="10"/>
  <c r="AL501" i="10"/>
  <c r="AL199" i="10"/>
  <c r="AL263" i="10"/>
  <c r="AL351" i="10"/>
  <c r="AL495" i="10"/>
  <c r="AK397" i="10"/>
  <c r="AL51" i="10"/>
  <c r="AK194" i="10"/>
  <c r="AL354" i="10"/>
  <c r="AK203" i="10"/>
  <c r="AK29" i="10"/>
  <c r="AL336" i="10"/>
  <c r="AK432" i="10"/>
  <c r="AK504" i="10"/>
  <c r="AN498" i="10"/>
  <c r="AO498" i="10"/>
  <c r="AO214" i="10"/>
  <c r="AN214" i="10"/>
  <c r="AO113" i="10"/>
  <c r="AN113" i="10"/>
  <c r="AN521" i="10"/>
  <c r="AO521" i="10"/>
  <c r="AN473" i="10"/>
  <c r="AO473" i="10"/>
  <c r="AN457" i="10"/>
  <c r="AO457" i="10"/>
  <c r="AN409" i="10"/>
  <c r="AO409" i="10"/>
  <c r="AN398" i="10"/>
  <c r="AO398" i="10"/>
  <c r="AO360" i="10"/>
  <c r="AN360" i="10"/>
  <c r="AO173" i="10"/>
  <c r="AN173" i="10"/>
  <c r="AO141" i="10"/>
  <c r="AN141" i="10"/>
  <c r="AN494" i="10"/>
  <c r="AO494" i="10"/>
  <c r="AO440" i="10"/>
  <c r="AN440" i="10"/>
  <c r="AO556" i="10"/>
  <c r="AN556" i="10"/>
  <c r="AO508" i="10"/>
  <c r="AN508" i="10"/>
  <c r="AO492" i="10"/>
  <c r="AN492" i="10"/>
  <c r="AO445" i="10"/>
  <c r="AN445" i="10"/>
  <c r="AO413" i="10"/>
  <c r="AN413" i="10"/>
  <c r="AO389" i="10"/>
  <c r="AN389" i="10"/>
  <c r="AO227" i="10"/>
  <c r="AN227" i="10"/>
  <c r="AO121" i="10"/>
  <c r="AN121" i="10"/>
  <c r="AN458" i="10"/>
  <c r="AO458" i="10"/>
  <c r="AO238" i="10"/>
  <c r="AN238" i="10"/>
  <c r="AN543" i="10"/>
  <c r="AO543" i="10"/>
  <c r="AN495" i="10"/>
  <c r="AO495" i="10"/>
  <c r="AN463" i="10"/>
  <c r="AO463" i="10"/>
  <c r="AO412" i="10"/>
  <c r="AN412" i="10"/>
  <c r="AO243" i="10"/>
  <c r="AN243" i="10"/>
  <c r="AO175" i="10"/>
  <c r="AN175" i="10"/>
  <c r="AO97" i="10"/>
  <c r="AN97" i="10"/>
  <c r="AN426" i="10"/>
  <c r="AO426" i="10"/>
  <c r="AO348" i="10"/>
  <c r="AN348" i="10"/>
  <c r="AN304" i="10"/>
  <c r="AO304" i="10"/>
  <c r="AN271" i="10"/>
  <c r="AO271" i="10"/>
  <c r="AN239" i="10"/>
  <c r="AO239" i="10"/>
  <c r="AN189" i="10"/>
  <c r="AO189" i="10"/>
  <c r="AN132" i="10"/>
  <c r="AO132" i="10"/>
  <c r="AN100" i="10"/>
  <c r="AO100" i="10"/>
  <c r="AN359" i="10"/>
  <c r="AO359" i="10"/>
  <c r="AN311" i="10"/>
  <c r="AO311" i="10"/>
  <c r="AN279" i="10"/>
  <c r="AO279" i="10"/>
  <c r="AN247" i="10"/>
  <c r="AO247" i="10"/>
  <c r="AO210" i="10"/>
  <c r="AN210" i="10"/>
  <c r="AO177" i="10"/>
  <c r="AN177" i="10"/>
  <c r="AO129" i="10"/>
  <c r="AN129" i="10"/>
  <c r="AO92" i="10"/>
  <c r="AN92" i="10"/>
  <c r="AO53" i="10"/>
  <c r="AN53" i="10"/>
  <c r="AN353" i="10"/>
  <c r="AO353" i="10"/>
  <c r="AO305" i="10"/>
  <c r="AN305" i="10"/>
  <c r="AN276" i="10"/>
  <c r="AO276" i="10"/>
  <c r="AN244" i="10"/>
  <c r="AO244" i="10"/>
  <c r="AO219" i="10"/>
  <c r="AN219" i="10"/>
  <c r="AN178" i="10"/>
  <c r="AO178" i="10"/>
  <c r="AN130" i="10"/>
  <c r="AO130" i="10"/>
  <c r="AN84" i="10"/>
  <c r="AO84" i="10"/>
  <c r="AN122" i="10"/>
  <c r="AO122" i="10"/>
  <c r="AO80" i="10"/>
  <c r="AN80" i="10"/>
  <c r="AN38" i="10"/>
  <c r="AO38" i="10"/>
  <c r="AO82" i="10"/>
  <c r="AN82" i="10"/>
  <c r="AN50" i="10"/>
  <c r="AO50" i="10"/>
  <c r="AN526" i="10"/>
  <c r="AO526" i="10"/>
  <c r="AO326" i="10"/>
  <c r="AN326" i="10"/>
  <c r="AO560" i="10"/>
  <c r="AN560" i="10"/>
  <c r="AN533" i="10"/>
  <c r="AO533" i="10"/>
  <c r="AN485" i="10"/>
  <c r="AO485" i="10"/>
  <c r="AN453" i="10"/>
  <c r="AO453" i="10"/>
  <c r="AN419" i="10"/>
  <c r="AO419" i="10"/>
  <c r="AN395" i="10"/>
  <c r="AO395" i="10"/>
  <c r="AN374" i="10"/>
  <c r="AO374" i="10"/>
  <c r="AO216" i="10"/>
  <c r="AN216" i="10"/>
  <c r="AO133" i="10"/>
  <c r="AN133" i="10"/>
  <c r="AN530" i="10"/>
  <c r="AO530" i="10"/>
  <c r="AO334" i="10"/>
  <c r="AN334" i="10"/>
  <c r="AO520" i="10"/>
  <c r="AN520" i="10"/>
  <c r="AL36" i="10"/>
  <c r="AK477" i="10"/>
  <c r="AK118" i="10"/>
  <c r="AL230" i="10"/>
  <c r="AL278" i="10"/>
  <c r="AL310" i="10"/>
  <c r="AL406" i="10"/>
  <c r="AL454" i="10"/>
  <c r="AL113" i="10"/>
  <c r="AK225" i="10"/>
  <c r="AK333" i="10"/>
  <c r="AL335" i="10"/>
  <c r="AL511" i="10"/>
  <c r="AL39" i="10"/>
  <c r="AK228" i="10"/>
  <c r="AK468" i="10"/>
  <c r="AK273" i="10"/>
  <c r="AL138" i="10"/>
  <c r="AL218" i="10"/>
  <c r="AL250" i="10"/>
  <c r="AL266" i="10"/>
  <c r="AL282" i="10"/>
  <c r="AL177" i="10"/>
  <c r="AK489" i="10"/>
  <c r="AK131" i="10"/>
  <c r="AK163" i="10"/>
  <c r="AK179" i="10"/>
  <c r="AL371" i="10"/>
  <c r="AL435" i="10"/>
  <c r="AL81" i="10"/>
  <c r="AL161" i="10"/>
  <c r="AK241" i="10"/>
  <c r="AK317" i="10"/>
  <c r="AK304" i="10"/>
  <c r="AK448" i="10"/>
  <c r="AK464" i="10"/>
  <c r="AL544" i="10"/>
  <c r="AL116" i="10"/>
  <c r="AL148" i="10"/>
  <c r="AK212" i="10"/>
  <c r="AK244" i="10"/>
  <c r="AK420" i="10"/>
  <c r="AN518" i="10"/>
  <c r="AO518" i="10"/>
  <c r="AN474" i="10"/>
  <c r="AO474" i="10"/>
  <c r="AO302" i="10"/>
  <c r="AN302" i="10"/>
  <c r="AO147" i="10"/>
  <c r="AN147" i="10"/>
  <c r="AN545" i="10"/>
  <c r="AO545" i="10"/>
  <c r="AN513" i="10"/>
  <c r="AO513" i="10"/>
  <c r="AN497" i="10"/>
  <c r="AO497" i="10"/>
  <c r="AN465" i="10"/>
  <c r="AO465" i="10"/>
  <c r="AN449" i="10"/>
  <c r="AO449" i="10"/>
  <c r="AN417" i="10"/>
  <c r="AO417" i="10"/>
  <c r="AN393" i="10"/>
  <c r="AO393" i="10"/>
  <c r="AN382" i="10"/>
  <c r="AO382" i="10"/>
  <c r="AO344" i="10"/>
  <c r="AN344" i="10"/>
  <c r="AO268" i="10"/>
  <c r="AN268" i="10"/>
  <c r="AO157" i="10"/>
  <c r="AN157" i="10"/>
  <c r="AO125" i="10"/>
  <c r="AN125" i="10"/>
  <c r="AN514" i="10"/>
  <c r="AO514" i="10"/>
  <c r="AO408" i="10"/>
  <c r="AN408" i="10"/>
  <c r="AO310" i="10"/>
  <c r="AN310" i="10"/>
  <c r="AO548" i="10"/>
  <c r="AN548" i="10"/>
  <c r="AO532" i="10"/>
  <c r="AN532" i="10"/>
  <c r="AO500" i="10"/>
  <c r="AN500" i="10"/>
  <c r="AO468" i="10"/>
  <c r="AN468" i="10"/>
  <c r="AO452" i="10"/>
  <c r="AN452" i="10"/>
  <c r="AN421" i="10"/>
  <c r="AO421" i="10"/>
  <c r="AO405" i="10"/>
  <c r="AN405" i="10"/>
  <c r="AN383" i="10"/>
  <c r="AO383" i="10"/>
  <c r="AO254" i="10"/>
  <c r="AN254" i="10"/>
  <c r="AO192" i="10"/>
  <c r="AN192" i="10"/>
  <c r="AN534" i="10"/>
  <c r="AO534" i="10"/>
  <c r="AN482" i="10"/>
  <c r="AO482" i="10"/>
  <c r="AO318" i="10"/>
  <c r="AN318" i="10"/>
  <c r="AN551" i="10"/>
  <c r="AO551" i="10"/>
  <c r="AN535" i="10"/>
  <c r="AO535" i="10"/>
  <c r="AN503" i="10"/>
  <c r="AO503" i="10"/>
  <c r="AN487" i="10"/>
  <c r="AO487" i="10"/>
  <c r="AN455" i="10"/>
  <c r="AO455" i="10"/>
  <c r="AO354" i="10"/>
  <c r="AN354" i="10"/>
  <c r="AO322" i="10"/>
  <c r="AN322" i="10"/>
  <c r="AN225" i="10"/>
  <c r="AO225" i="10"/>
  <c r="AO190" i="10"/>
  <c r="AN190" i="10"/>
  <c r="AO127" i="10"/>
  <c r="AN127" i="10"/>
  <c r="AN434" i="10"/>
  <c r="AO434" i="10"/>
  <c r="AN418" i="10"/>
  <c r="AO418" i="10"/>
  <c r="AO364" i="10"/>
  <c r="AN364" i="10"/>
  <c r="AO332" i="10"/>
  <c r="AN332" i="10"/>
  <c r="AN296" i="10"/>
  <c r="AO296" i="10"/>
  <c r="AN264" i="10"/>
  <c r="AO264" i="10"/>
  <c r="AN248" i="10"/>
  <c r="AO248" i="10"/>
  <c r="AO211" i="10"/>
  <c r="AN211" i="10"/>
  <c r="AO194" i="10"/>
  <c r="AN194" i="10"/>
  <c r="AN148" i="10"/>
  <c r="AO148" i="10"/>
  <c r="AO105" i="10"/>
  <c r="AN105" i="10"/>
  <c r="AO71" i="10"/>
  <c r="AN71" i="10"/>
  <c r="AN351" i="10"/>
  <c r="AO351" i="10"/>
  <c r="AN335" i="10"/>
  <c r="AO335" i="10"/>
  <c r="AO256" i="10"/>
  <c r="AN256" i="10"/>
  <c r="AK527" i="10"/>
  <c r="AK132" i="10"/>
  <c r="AL365" i="10"/>
  <c r="AL445" i="10"/>
  <c r="AL102" i="10"/>
  <c r="AK65" i="10"/>
  <c r="AL381" i="10"/>
  <c r="AK383" i="10"/>
  <c r="AK479" i="10"/>
  <c r="AL413" i="10"/>
  <c r="AK378" i="10"/>
  <c r="AK394" i="10"/>
  <c r="AK59" i="10"/>
  <c r="AK20" i="10"/>
  <c r="AL320" i="10"/>
  <c r="AK84" i="10"/>
  <c r="AK180" i="10"/>
  <c r="AL292" i="10"/>
  <c r="AK532" i="10"/>
  <c r="AN550" i="10"/>
  <c r="AO550" i="10"/>
  <c r="AN510" i="10"/>
  <c r="AO510" i="10"/>
  <c r="AN462" i="10"/>
  <c r="AO462" i="10"/>
  <c r="AO376" i="10"/>
  <c r="AN376" i="10"/>
  <c r="AN265" i="10"/>
  <c r="AO265" i="10"/>
  <c r="AO139" i="10"/>
  <c r="AN139" i="10"/>
  <c r="AN557" i="10"/>
  <c r="AO557" i="10"/>
  <c r="AN541" i="10"/>
  <c r="AO541" i="10"/>
  <c r="AN525" i="10"/>
  <c r="AO525" i="10"/>
  <c r="AN509" i="10"/>
  <c r="AO509" i="10"/>
  <c r="AN493" i="10"/>
  <c r="AO493" i="10"/>
  <c r="AN477" i="10"/>
  <c r="AO477" i="10"/>
  <c r="AN461" i="10"/>
  <c r="AO461" i="10"/>
  <c r="AN443" i="10"/>
  <c r="AO443" i="10"/>
  <c r="AN427" i="10"/>
  <c r="AO427" i="10"/>
  <c r="AN411" i="10"/>
  <c r="AO411" i="10"/>
  <c r="AN401" i="10"/>
  <c r="AO401" i="10"/>
  <c r="AN390" i="10"/>
  <c r="AO390" i="10"/>
  <c r="AN379" i="10"/>
  <c r="AO379" i="10"/>
  <c r="AO368" i="10"/>
  <c r="AN368" i="10"/>
  <c r="AO336" i="10"/>
  <c r="AN336" i="10"/>
  <c r="AO259" i="10"/>
  <c r="AN259" i="10"/>
  <c r="AO181" i="10"/>
  <c r="AN181" i="10"/>
  <c r="AO149" i="10"/>
  <c r="AN149" i="10"/>
  <c r="AO115" i="10"/>
  <c r="AN115" i="10"/>
  <c r="AN554" i="10"/>
  <c r="AO554" i="10"/>
  <c r="AN502" i="10"/>
  <c r="AO502" i="10"/>
  <c r="AN454" i="10"/>
  <c r="AO454" i="10"/>
  <c r="AO384" i="10"/>
  <c r="AN384" i="10"/>
  <c r="AO275" i="10"/>
  <c r="AN275" i="10"/>
  <c r="AO83" i="10"/>
  <c r="AN83" i="10"/>
  <c r="AO544" i="10"/>
  <c r="AN544" i="10"/>
  <c r="AO528" i="10"/>
  <c r="AN528" i="10"/>
  <c r="AO512" i="10"/>
  <c r="AN512" i="10"/>
  <c r="AO496" i="10"/>
  <c r="AN496" i="10"/>
  <c r="AO480" i="10"/>
  <c r="AN480" i="10"/>
  <c r="AO464" i="10"/>
  <c r="AN464" i="10"/>
  <c r="AN447" i="10"/>
  <c r="AO447" i="10"/>
  <c r="AN431" i="10"/>
  <c r="AO431" i="10"/>
  <c r="AN415" i="10"/>
  <c r="AO415" i="10"/>
  <c r="AN402" i="10"/>
  <c r="AO402" i="10"/>
  <c r="AN391" i="10"/>
  <c r="AO391" i="10"/>
  <c r="AO381" i="10"/>
  <c r="AN381" i="10"/>
  <c r="AN370" i="10"/>
  <c r="AO370" i="10"/>
  <c r="AO236" i="10"/>
  <c r="AN236" i="10"/>
  <c r="AO185" i="10"/>
  <c r="AN185" i="10"/>
  <c r="AO32" i="10"/>
  <c r="AN32" i="10"/>
  <c r="AN522" i="10"/>
  <c r="AO522" i="10"/>
  <c r="AN470" i="10"/>
  <c r="AO470" i="10"/>
  <c r="AO400" i="10"/>
  <c r="AN400" i="10"/>
  <c r="AO284" i="10"/>
  <c r="AN284" i="10"/>
  <c r="AN123" i="10"/>
  <c r="AO123" i="10"/>
  <c r="AN547" i="10"/>
  <c r="AO547" i="10"/>
  <c r="AN531" i="10"/>
  <c r="AO531" i="10"/>
  <c r="AN515" i="10"/>
  <c r="AO515" i="10"/>
  <c r="AN499" i="10"/>
  <c r="AO499" i="10"/>
  <c r="AN483" i="10"/>
  <c r="AO483" i="10"/>
  <c r="AN467" i="10"/>
  <c r="AO467" i="10"/>
  <c r="AN451" i="10"/>
  <c r="AO451" i="10"/>
  <c r="AO420" i="10"/>
  <c r="AN420" i="10"/>
  <c r="AO346" i="10"/>
  <c r="AN346" i="10"/>
  <c r="AO314" i="10"/>
  <c r="AN314" i="10"/>
  <c r="AO252" i="10"/>
  <c r="AN252" i="10"/>
  <c r="AO218" i="10"/>
  <c r="AN218" i="10"/>
  <c r="AO183" i="10"/>
  <c r="AN183" i="10"/>
  <c r="AO151" i="10"/>
  <c r="AN151" i="10"/>
  <c r="AO107" i="10"/>
  <c r="AN107" i="10"/>
  <c r="AN446" i="10"/>
  <c r="AO446" i="10"/>
  <c r="AN430" i="10"/>
  <c r="AO430" i="10"/>
  <c r="AN414" i="10"/>
  <c r="AO414" i="10"/>
  <c r="AO388" i="10"/>
  <c r="AN388" i="10"/>
  <c r="AO356" i="10"/>
  <c r="AN356" i="10"/>
  <c r="AO324" i="10"/>
  <c r="AN324" i="10"/>
  <c r="AN308" i="10"/>
  <c r="AO308" i="10"/>
  <c r="AN293" i="10"/>
  <c r="AO293" i="10"/>
  <c r="AN277" i="10"/>
  <c r="AO277" i="10"/>
  <c r="AN261" i="10"/>
  <c r="AO261" i="10"/>
  <c r="AN245" i="10"/>
  <c r="AO245" i="10"/>
  <c r="AN229" i="10"/>
  <c r="AO229" i="10"/>
  <c r="AN209" i="10"/>
  <c r="AO209" i="10"/>
  <c r="AN191" i="10"/>
  <c r="AO191" i="10"/>
  <c r="AN172" i="10"/>
  <c r="AO172" i="10"/>
  <c r="AN140" i="10"/>
  <c r="AO140" i="10"/>
  <c r="AN116" i="10"/>
  <c r="AO116" i="10"/>
  <c r="AN102" i="10"/>
  <c r="AO102" i="10"/>
  <c r="AO55" i="10"/>
  <c r="AN55" i="10"/>
  <c r="AN363" i="10"/>
  <c r="AO363" i="10"/>
  <c r="AN347" i="10"/>
  <c r="AO347" i="10"/>
  <c r="AN331" i="10"/>
  <c r="AO331" i="10"/>
  <c r="AN315" i="10"/>
  <c r="AO315" i="10"/>
  <c r="AN299" i="10"/>
  <c r="AO299" i="10"/>
  <c r="AN285" i="10"/>
  <c r="AO285" i="10"/>
  <c r="AN269" i="10"/>
  <c r="AO269" i="10"/>
  <c r="AN253" i="10"/>
  <c r="AO253" i="10"/>
  <c r="AN237" i="10"/>
  <c r="AO237" i="10"/>
  <c r="AO212" i="10"/>
  <c r="AN212" i="10"/>
  <c r="AO200" i="10"/>
  <c r="AN200" i="10"/>
  <c r="AO182" i="10"/>
  <c r="AN182" i="10"/>
  <c r="AO166" i="10"/>
  <c r="AN166" i="10"/>
  <c r="AO150" i="10"/>
  <c r="AN150" i="10"/>
  <c r="AO134" i="10"/>
  <c r="AN134" i="10"/>
  <c r="AO109" i="10"/>
  <c r="AN109" i="10"/>
  <c r="AO99" i="10"/>
  <c r="AN99" i="10"/>
  <c r="AO78" i="10"/>
  <c r="AN78" i="10"/>
  <c r="AO60" i="10"/>
  <c r="AN60" i="10"/>
  <c r="AN20" i="10"/>
  <c r="AO20" i="10"/>
  <c r="AO357" i="10"/>
  <c r="AN357" i="10"/>
  <c r="AO341" i="10"/>
  <c r="AN341" i="10"/>
  <c r="AO325" i="10"/>
  <c r="AN325" i="10"/>
  <c r="AO309" i="10"/>
  <c r="AN309" i="10"/>
  <c r="AO294" i="10"/>
  <c r="AN294" i="10"/>
  <c r="AO278" i="10"/>
  <c r="AN278" i="10"/>
  <c r="AO262" i="10"/>
  <c r="AN262" i="10"/>
  <c r="AO246" i="10"/>
  <c r="AN246" i="10"/>
  <c r="AO230" i="10"/>
  <c r="AN230" i="10"/>
  <c r="AN221" i="10"/>
  <c r="AO221" i="10"/>
  <c r="AO203" i="10"/>
  <c r="AN203" i="10"/>
  <c r="AN184" i="10"/>
  <c r="AO184" i="10"/>
  <c r="AN168" i="10"/>
  <c r="AO168" i="10"/>
  <c r="AN152" i="10"/>
  <c r="AO152" i="10"/>
  <c r="AN136" i="10"/>
  <c r="AO136" i="10"/>
  <c r="AO111" i="10"/>
  <c r="AN111" i="10"/>
  <c r="AO86" i="10"/>
  <c r="AN86" i="10"/>
  <c r="AN65" i="10"/>
  <c r="AO65" i="10"/>
  <c r="AO27" i="10"/>
  <c r="AN27" i="10"/>
  <c r="AN112" i="10"/>
  <c r="AO112" i="10"/>
  <c r="AO88" i="10"/>
  <c r="AN88" i="10"/>
  <c r="AN68" i="10"/>
  <c r="AO68" i="10"/>
  <c r="AO37" i="10"/>
  <c r="AN37" i="10"/>
  <c r="AO23" i="10"/>
  <c r="AN23" i="10"/>
  <c r="AN52" i="10"/>
  <c r="AO52" i="10"/>
  <c r="AO21" i="10"/>
  <c r="AN21" i="10"/>
  <c r="AO72" i="10"/>
  <c r="AN72" i="10"/>
  <c r="AN56" i="10"/>
  <c r="AO56" i="10"/>
  <c r="AN40" i="10"/>
  <c r="AO40" i="10"/>
  <c r="AN24" i="10"/>
  <c r="AO24" i="10"/>
  <c r="AN450" i="10"/>
  <c r="AO450" i="10"/>
  <c r="AO553" i="10"/>
  <c r="AN553" i="10"/>
  <c r="AN489" i="10"/>
  <c r="AO489" i="10"/>
  <c r="AN441" i="10"/>
  <c r="AO441" i="10"/>
  <c r="AN377" i="10"/>
  <c r="AO377" i="10"/>
  <c r="AN249" i="10"/>
  <c r="AO249" i="10"/>
  <c r="AN538" i="10"/>
  <c r="AO538" i="10"/>
  <c r="AO222" i="10"/>
  <c r="AN222" i="10"/>
  <c r="AO524" i="10"/>
  <c r="AN524" i="10"/>
  <c r="AO460" i="10"/>
  <c r="AN460" i="10"/>
  <c r="AN399" i="10"/>
  <c r="AO399" i="10"/>
  <c r="AO291" i="10"/>
  <c r="AN291" i="10"/>
  <c r="AN506" i="10"/>
  <c r="AO506" i="10"/>
  <c r="AN57" i="10"/>
  <c r="AO57" i="10"/>
  <c r="AN511" i="10"/>
  <c r="AO511" i="10"/>
  <c r="AO444" i="10"/>
  <c r="AN444" i="10"/>
  <c r="AO306" i="10"/>
  <c r="AN306" i="10"/>
  <c r="AO143" i="10"/>
  <c r="AN143" i="10"/>
  <c r="AN410" i="10"/>
  <c r="AO410" i="10"/>
  <c r="AN320" i="10"/>
  <c r="AO320" i="10"/>
  <c r="AN255" i="10"/>
  <c r="AO255" i="10"/>
  <c r="AO206" i="10"/>
  <c r="AN206" i="10"/>
  <c r="AO110" i="10"/>
  <c r="AN110" i="10"/>
  <c r="AN343" i="10"/>
  <c r="AO343" i="10"/>
  <c r="AN295" i="10"/>
  <c r="AO295" i="10"/>
  <c r="AN231" i="10"/>
  <c r="AO231" i="10"/>
  <c r="AO161" i="10"/>
  <c r="AN161" i="10"/>
  <c r="AO106" i="10"/>
  <c r="AN106" i="10"/>
  <c r="AN369" i="10"/>
  <c r="AO369" i="10"/>
  <c r="AO321" i="10"/>
  <c r="AN321" i="10"/>
  <c r="AN260" i="10"/>
  <c r="AO260" i="10"/>
  <c r="AN201" i="10"/>
  <c r="AO201" i="10"/>
  <c r="AN146" i="10"/>
  <c r="AO146" i="10"/>
  <c r="AO59" i="10"/>
  <c r="AN59" i="10"/>
  <c r="AO58" i="10"/>
  <c r="AN58" i="10"/>
  <c r="AN42" i="10"/>
  <c r="AO42" i="10"/>
  <c r="AO416" i="10"/>
  <c r="AN416" i="10"/>
  <c r="AN549" i="10"/>
  <c r="AO549" i="10"/>
  <c r="AN501" i="10"/>
  <c r="AO501" i="10"/>
  <c r="AN435" i="10"/>
  <c r="AO435" i="10"/>
  <c r="AN385" i="10"/>
  <c r="AO385" i="10"/>
  <c r="AO286" i="10"/>
  <c r="AN286" i="10"/>
  <c r="AO85" i="10"/>
  <c r="AN85" i="10"/>
  <c r="AO424" i="10"/>
  <c r="AN424" i="10"/>
  <c r="AN155" i="10"/>
  <c r="AO155" i="10"/>
  <c r="AO552" i="10"/>
  <c r="AN552" i="10"/>
  <c r="AO504" i="10"/>
  <c r="AN504" i="10"/>
  <c r="AO488" i="10"/>
  <c r="AN488" i="10"/>
  <c r="AO472" i="10"/>
  <c r="AN472" i="10"/>
  <c r="AO456" i="10"/>
  <c r="AN456" i="10"/>
  <c r="AN439" i="10"/>
  <c r="AO439" i="10"/>
  <c r="AN423" i="10"/>
  <c r="AO423" i="10"/>
  <c r="AN407" i="10"/>
  <c r="AO407" i="10"/>
  <c r="AO397" i="10"/>
  <c r="AN397" i="10"/>
  <c r="AN386" i="10"/>
  <c r="AO386" i="10"/>
  <c r="AN375" i="10"/>
  <c r="AO375" i="10"/>
  <c r="AN281" i="10"/>
  <c r="AO281" i="10"/>
  <c r="AO199" i="10"/>
  <c r="AN199" i="10"/>
  <c r="AO67" i="10"/>
  <c r="AN67" i="10"/>
  <c r="AN546" i="10"/>
  <c r="AO546" i="10"/>
  <c r="AN490" i="10"/>
  <c r="AO490" i="10"/>
  <c r="AO448" i="10"/>
  <c r="AN448" i="10"/>
  <c r="AO342" i="10"/>
  <c r="AN342" i="10"/>
  <c r="AO179" i="10"/>
  <c r="AN179" i="10"/>
  <c r="AN559" i="10"/>
  <c r="AO559" i="10"/>
  <c r="AN539" i="10"/>
  <c r="AO539" i="10"/>
  <c r="AN523" i="10"/>
  <c r="AO523" i="10"/>
  <c r="AN507" i="10"/>
  <c r="AO507" i="10"/>
  <c r="AN491" i="10"/>
  <c r="AO491" i="10"/>
  <c r="AN475" i="10"/>
  <c r="AO475" i="10"/>
  <c r="AN459" i="10"/>
  <c r="AO459" i="10"/>
  <c r="AO436" i="10"/>
  <c r="AN436" i="10"/>
  <c r="AO362" i="10"/>
  <c r="AN362" i="10"/>
  <c r="AO330" i="10"/>
  <c r="AN330" i="10"/>
  <c r="AO298" i="10"/>
  <c r="AN298" i="10"/>
  <c r="AN233" i="10"/>
  <c r="AO233" i="10"/>
  <c r="AN197" i="10"/>
  <c r="AO197" i="10"/>
  <c r="AO167" i="10"/>
  <c r="AN167" i="10"/>
  <c r="AO135" i="10"/>
  <c r="AN135" i="10"/>
  <c r="AO64" i="10"/>
  <c r="AN64" i="10"/>
  <c r="AN438" i="10"/>
  <c r="AO438" i="10"/>
  <c r="AN422" i="10"/>
  <c r="AO422" i="10"/>
  <c r="AO404" i="10"/>
  <c r="AN404" i="10"/>
  <c r="AO372" i="10"/>
  <c r="AN372" i="10"/>
  <c r="AO340" i="10"/>
  <c r="AN340" i="10"/>
  <c r="AO316" i="10"/>
  <c r="AN316" i="10"/>
  <c r="AN300" i="10"/>
  <c r="AO300" i="10"/>
  <c r="AO282" i="10"/>
  <c r="AN282" i="10"/>
  <c r="AO266" i="10"/>
  <c r="AN266" i="10"/>
  <c r="AO250" i="10"/>
  <c r="AN250" i="10"/>
  <c r="AO234" i="10"/>
  <c r="AN234" i="10"/>
  <c r="AN215" i="10"/>
  <c r="AO215" i="10"/>
  <c r="AN196" i="10"/>
  <c r="AO196" i="10"/>
  <c r="AO187" i="10"/>
  <c r="AN187" i="10"/>
  <c r="AN156" i="10"/>
  <c r="AO156" i="10"/>
  <c r="AN124" i="10"/>
  <c r="AO124" i="10"/>
  <c r="AN108" i="10"/>
  <c r="AO108" i="10"/>
  <c r="AO90" i="10"/>
  <c r="AN90" i="10"/>
  <c r="AN41" i="10"/>
  <c r="AO41" i="10"/>
  <c r="AN355" i="10"/>
  <c r="AO355" i="10"/>
  <c r="AN339" i="10"/>
  <c r="AO339" i="10"/>
  <c r="AN323" i="10"/>
  <c r="AO323" i="10"/>
  <c r="AN307" i="10"/>
  <c r="AO307" i="10"/>
  <c r="AO290" i="10"/>
  <c r="AN290" i="10"/>
  <c r="AO274" i="10"/>
  <c r="AN274" i="10"/>
  <c r="AO258" i="10"/>
  <c r="AN258" i="10"/>
  <c r="AO242" i="10"/>
  <c r="AN242" i="10"/>
  <c r="AO220" i="10"/>
  <c r="AN220" i="10"/>
  <c r="AO207" i="10"/>
  <c r="AN207" i="10"/>
  <c r="AN193" i="10"/>
  <c r="AO193" i="10"/>
  <c r="AN174" i="10"/>
  <c r="AO174" i="10"/>
  <c r="AN158" i="10"/>
  <c r="AO158" i="10"/>
  <c r="AN142" i="10"/>
  <c r="AO142" i="10"/>
  <c r="AO126" i="10"/>
  <c r="AN126" i="10"/>
  <c r="AN104" i="10"/>
  <c r="AO104" i="10"/>
  <c r="AN89" i="10"/>
  <c r="AO89" i="10"/>
  <c r="AO69" i="10"/>
  <c r="AN69" i="10"/>
  <c r="AO44" i="10"/>
  <c r="AN44" i="10"/>
  <c r="AO365" i="10"/>
  <c r="AN365" i="10"/>
  <c r="AO349" i="10"/>
  <c r="AN349" i="10"/>
  <c r="AO333" i="10"/>
  <c r="AN333" i="10"/>
  <c r="AO317" i="10"/>
  <c r="AN317" i="10"/>
  <c r="AO301" i="10"/>
  <c r="AN301" i="10"/>
  <c r="AN289" i="10"/>
  <c r="AO289" i="10"/>
  <c r="AN273" i="10"/>
  <c r="AO273" i="10"/>
  <c r="AN257" i="10"/>
  <c r="AO257" i="10"/>
  <c r="AN241" i="10"/>
  <c r="AO241" i="10"/>
  <c r="AO226" i="10"/>
  <c r="AN226" i="10"/>
  <c r="AN213" i="10"/>
  <c r="AO213" i="10"/>
  <c r="AO198" i="10"/>
  <c r="AN198" i="10"/>
  <c r="AO176" i="10"/>
  <c r="AN176" i="10"/>
  <c r="AN160" i="10"/>
  <c r="AO160" i="10"/>
  <c r="AN144" i="10"/>
  <c r="AO144" i="10"/>
  <c r="AO128" i="10"/>
  <c r="AN128" i="10"/>
  <c r="AO96" i="10"/>
  <c r="AN96" i="10"/>
  <c r="AO81" i="10"/>
  <c r="AN81" i="10"/>
  <c r="AO48" i="10"/>
  <c r="AN48" i="10"/>
  <c r="AN120" i="10"/>
  <c r="AO120" i="10"/>
  <c r="AO95" i="10"/>
  <c r="AN95" i="10"/>
  <c r="AO75" i="10"/>
  <c r="AN75" i="10"/>
  <c r="AN49" i="10"/>
  <c r="AO49" i="10"/>
  <c r="AN28" i="10"/>
  <c r="AO28" i="10"/>
  <c r="AN36" i="10"/>
  <c r="AO36" i="10"/>
  <c r="AN33" i="10"/>
  <c r="AO33" i="10"/>
  <c r="AO79" i="10"/>
  <c r="AN79" i="10"/>
  <c r="AO63" i="10"/>
  <c r="AN63" i="10"/>
  <c r="AO47" i="10"/>
  <c r="AN47" i="10"/>
  <c r="AO31" i="10"/>
  <c r="AN31" i="10"/>
  <c r="AN542" i="10"/>
  <c r="AO542" i="10"/>
  <c r="AO350" i="10"/>
  <c r="AN350" i="10"/>
  <c r="AN537" i="10"/>
  <c r="AO537" i="10"/>
  <c r="AN505" i="10"/>
  <c r="AO505" i="10"/>
  <c r="AN425" i="10"/>
  <c r="AO425" i="10"/>
  <c r="AN387" i="10"/>
  <c r="AO387" i="10"/>
  <c r="AO328" i="10"/>
  <c r="AN328" i="10"/>
  <c r="AN94" i="10"/>
  <c r="AO94" i="10"/>
  <c r="AO358" i="10"/>
  <c r="AN358" i="10"/>
  <c r="AO540" i="10"/>
  <c r="AN540" i="10"/>
  <c r="AO476" i="10"/>
  <c r="AN476" i="10"/>
  <c r="AN429" i="10"/>
  <c r="AO429" i="10"/>
  <c r="AN378" i="10"/>
  <c r="AO378" i="10"/>
  <c r="AN558" i="10"/>
  <c r="AO558" i="10"/>
  <c r="AO366" i="10"/>
  <c r="AN366" i="10"/>
  <c r="AN527" i="10"/>
  <c r="AO527" i="10"/>
  <c r="AN479" i="10"/>
  <c r="AO479" i="10"/>
  <c r="AO338" i="10"/>
  <c r="AN338" i="10"/>
  <c r="AO204" i="10"/>
  <c r="AN204" i="10"/>
  <c r="AN442" i="10"/>
  <c r="AO442" i="10"/>
  <c r="AO380" i="10"/>
  <c r="AN380" i="10"/>
  <c r="AN287" i="10"/>
  <c r="AO287" i="10"/>
  <c r="AN224" i="10"/>
  <c r="AO224" i="10"/>
  <c r="AN164" i="10"/>
  <c r="AO164" i="10"/>
  <c r="AO51" i="10"/>
  <c r="AN51" i="10"/>
  <c r="AN327" i="10"/>
  <c r="AO327" i="10"/>
  <c r="AN263" i="10"/>
  <c r="AO263" i="10"/>
  <c r="AO195" i="10"/>
  <c r="AN195" i="10"/>
  <c r="AO145" i="10"/>
  <c r="AN145" i="10"/>
  <c r="AO76" i="10"/>
  <c r="AN76" i="10"/>
  <c r="AN337" i="10"/>
  <c r="AO337" i="10"/>
  <c r="AN292" i="10"/>
  <c r="AO292" i="10"/>
  <c r="AN228" i="10"/>
  <c r="AO228" i="10"/>
  <c r="AN162" i="10"/>
  <c r="AO162" i="10"/>
  <c r="AO103" i="10"/>
  <c r="AN103" i="10"/>
  <c r="AN98" i="10"/>
  <c r="AO98" i="10"/>
  <c r="AO35" i="10"/>
  <c r="AN35" i="10"/>
  <c r="AN66" i="10"/>
  <c r="AO66" i="10"/>
  <c r="AN34" i="10"/>
  <c r="AO34" i="10"/>
  <c r="AN486" i="10"/>
  <c r="AO486" i="10"/>
  <c r="AO171" i="10"/>
  <c r="AN171" i="10"/>
  <c r="AN517" i="10"/>
  <c r="AO517" i="10"/>
  <c r="AN469" i="10"/>
  <c r="AO469" i="10"/>
  <c r="AN406" i="10"/>
  <c r="AO406" i="10"/>
  <c r="AO352" i="10"/>
  <c r="AN352" i="10"/>
  <c r="AO165" i="10"/>
  <c r="AN165" i="10"/>
  <c r="AN478" i="10"/>
  <c r="AO478" i="10"/>
  <c r="AO536" i="10"/>
  <c r="AN536" i="10"/>
  <c r="AO392" i="10"/>
  <c r="AN392" i="10"/>
  <c r="AN555" i="10"/>
  <c r="AO555" i="10"/>
  <c r="AN529" i="10"/>
  <c r="AO529" i="10"/>
  <c r="AN481" i="10"/>
  <c r="AO481" i="10"/>
  <c r="AN433" i="10"/>
  <c r="AO433" i="10"/>
  <c r="AN403" i="10"/>
  <c r="AO403" i="10"/>
  <c r="AN371" i="10"/>
  <c r="AO371" i="10"/>
  <c r="AO202" i="10"/>
  <c r="AN202" i="10"/>
  <c r="AN73" i="10"/>
  <c r="AO73" i="10"/>
  <c r="AN466" i="10"/>
  <c r="AO466" i="10"/>
  <c r="AO131" i="10"/>
  <c r="AN131" i="10"/>
  <c r="AO516" i="10"/>
  <c r="AN516" i="10"/>
  <c r="AO484" i="10"/>
  <c r="AN484" i="10"/>
  <c r="AO437" i="10"/>
  <c r="AN437" i="10"/>
  <c r="AN394" i="10"/>
  <c r="AO394" i="10"/>
  <c r="AO373" i="10"/>
  <c r="AN373" i="10"/>
  <c r="AO54" i="10"/>
  <c r="AN54" i="10"/>
  <c r="AO432" i="10"/>
  <c r="AN432" i="10"/>
  <c r="AN163" i="10"/>
  <c r="AO163" i="10"/>
  <c r="AN519" i="10"/>
  <c r="AO519" i="10"/>
  <c r="AN471" i="10"/>
  <c r="AO471" i="10"/>
  <c r="AO428" i="10"/>
  <c r="AN428" i="10"/>
  <c r="AO270" i="10"/>
  <c r="AN270" i="10"/>
  <c r="AO159" i="10"/>
  <c r="AN159" i="10"/>
  <c r="AN22" i="10"/>
  <c r="AO22" i="10"/>
  <c r="AO396" i="10"/>
  <c r="AN396" i="10"/>
  <c r="AN312" i="10"/>
  <c r="AO312" i="10"/>
  <c r="AN280" i="10"/>
  <c r="AO280" i="10"/>
  <c r="AN232" i="10"/>
  <c r="AO232" i="10"/>
  <c r="AN180" i="10"/>
  <c r="AO180" i="10"/>
  <c r="AO118" i="10"/>
  <c r="AN118" i="10"/>
  <c r="AN367" i="10"/>
  <c r="AO367" i="10"/>
  <c r="AN319" i="10"/>
  <c r="AO319" i="10"/>
  <c r="AN303" i="10"/>
  <c r="AO303" i="10"/>
  <c r="AO288" i="10"/>
  <c r="AN288" i="10"/>
  <c r="AO272" i="10"/>
  <c r="AN272" i="10"/>
  <c r="AO240" i="10"/>
  <c r="AN240" i="10"/>
  <c r="AN217" i="10"/>
  <c r="AO217" i="10"/>
  <c r="AN205" i="10"/>
  <c r="AO205" i="10"/>
  <c r="AN186" i="10"/>
  <c r="AO186" i="10"/>
  <c r="AO169" i="10"/>
  <c r="AN169" i="10"/>
  <c r="AO153" i="10"/>
  <c r="AN153" i="10"/>
  <c r="AO137" i="10"/>
  <c r="AN137" i="10"/>
  <c r="AO117" i="10"/>
  <c r="AN117" i="10"/>
  <c r="AO101" i="10"/>
  <c r="AN101" i="10"/>
  <c r="AO87" i="10"/>
  <c r="AN87" i="10"/>
  <c r="AN62" i="10"/>
  <c r="AO62" i="10"/>
  <c r="AO39" i="10"/>
  <c r="AN39" i="10"/>
  <c r="AN361" i="10"/>
  <c r="AO361" i="10"/>
  <c r="AN345" i="10"/>
  <c r="AO345" i="10"/>
  <c r="AN329" i="10"/>
  <c r="AO329" i="10"/>
  <c r="AO313" i="10"/>
  <c r="AN313" i="10"/>
  <c r="AO297" i="10"/>
  <c r="AN297" i="10"/>
  <c r="AO283" i="10"/>
  <c r="AN283" i="10"/>
  <c r="AO267" i="10"/>
  <c r="AN267" i="10"/>
  <c r="AO251" i="10"/>
  <c r="AN251" i="10"/>
  <c r="AO235" i="10"/>
  <c r="AN235" i="10"/>
  <c r="AN223" i="10"/>
  <c r="AO223" i="10"/>
  <c r="AN208" i="10"/>
  <c r="AO208" i="10"/>
  <c r="AN188" i="10"/>
  <c r="AO188" i="10"/>
  <c r="AN170" i="10"/>
  <c r="AO170" i="10"/>
  <c r="AN154" i="10"/>
  <c r="AO154" i="10"/>
  <c r="AN138" i="10"/>
  <c r="AO138" i="10"/>
  <c r="AO119" i="10"/>
  <c r="AN119" i="10"/>
  <c r="AO91" i="10"/>
  <c r="AN91" i="10"/>
  <c r="AN74" i="10"/>
  <c r="AO74" i="10"/>
  <c r="AO43" i="10"/>
  <c r="AN43" i="10"/>
  <c r="AN114" i="10"/>
  <c r="AO114" i="10"/>
  <c r="AN93" i="10"/>
  <c r="AO93" i="10"/>
  <c r="AN70" i="10"/>
  <c r="AO70" i="10"/>
  <c r="AO46" i="10"/>
  <c r="AN46" i="10"/>
  <c r="AN25" i="10"/>
  <c r="AO25" i="10"/>
  <c r="AO26" i="10"/>
  <c r="AN26" i="10"/>
  <c r="AN30" i="10"/>
  <c r="AO30" i="10"/>
  <c r="AN77" i="10"/>
  <c r="AO77" i="10"/>
  <c r="AO61" i="10"/>
  <c r="AN61" i="10"/>
  <c r="AO45" i="10"/>
  <c r="AN45" i="10"/>
  <c r="AO29" i="10"/>
  <c r="AN29" i="10"/>
  <c r="B69" i="2"/>
  <c r="B54" i="2"/>
  <c r="H231" i="2" s="1"/>
  <c r="B16" i="2"/>
  <c r="B127" i="2" s="1"/>
  <c r="B15" i="2"/>
  <c r="B52" i="2"/>
  <c r="B26" i="10" l="1"/>
  <c r="B37" i="2"/>
  <c r="B38" i="2"/>
  <c r="B71" i="2"/>
  <c r="B29" i="2"/>
  <c r="B66" i="2"/>
  <c r="B10" i="4"/>
  <c r="B11" i="4" s="1"/>
  <c r="B219" i="2"/>
  <c r="H78" i="1" s="1"/>
  <c r="B25" i="10"/>
  <c r="E222" i="2"/>
  <c r="B206" i="2"/>
  <c r="B34" i="2"/>
  <c r="B143" i="2" s="1"/>
  <c r="B147" i="2"/>
  <c r="B148" i="2" s="1"/>
  <c r="B146" i="2"/>
  <c r="B138" i="2"/>
  <c r="B139" i="2"/>
  <c r="B25" i="2"/>
  <c r="B135" i="2" s="1"/>
  <c r="B60" i="2"/>
  <c r="B70" i="2"/>
  <c r="B64" i="2"/>
  <c r="B33" i="2"/>
  <c r="BL27" i="4" s="1"/>
  <c r="B24" i="2"/>
  <c r="B140" i="2" l="1"/>
  <c r="K150" i="2"/>
  <c r="BL125" i="4"/>
  <c r="BL60" i="4"/>
  <c r="BL150" i="4"/>
  <c r="BL57" i="4"/>
  <c r="BL143" i="4"/>
  <c r="BL75" i="4"/>
  <c r="BL133" i="4"/>
  <c r="BL17" i="4"/>
  <c r="BL154" i="4"/>
  <c r="BL104" i="4"/>
  <c r="BL19" i="4"/>
  <c r="BL106" i="4"/>
  <c r="BL9" i="4"/>
  <c r="BL48" i="4"/>
  <c r="BL13" i="4"/>
  <c r="BL115" i="4"/>
  <c r="BL52" i="4"/>
  <c r="BL70" i="4"/>
  <c r="BL7" i="4"/>
  <c r="BL151" i="4"/>
  <c r="BL153" i="4"/>
  <c r="BL40" i="4"/>
  <c r="BL87" i="4"/>
  <c r="BL84" i="4"/>
  <c r="BL85" i="4"/>
  <c r="BL16" i="4"/>
  <c r="BL22" i="4"/>
  <c r="BL37" i="4"/>
  <c r="BL43" i="4"/>
  <c r="BL65" i="4"/>
  <c r="BL80" i="4"/>
  <c r="BL86" i="4"/>
  <c r="BL101" i="4"/>
  <c r="BL108" i="4"/>
  <c r="BL10" i="4"/>
  <c r="BL25" i="4"/>
  <c r="BL31" i="4"/>
  <c r="BL73" i="4"/>
  <c r="BL79" i="4"/>
  <c r="BL12" i="4"/>
  <c r="BL18" i="4"/>
  <c r="BL33" i="4"/>
  <c r="BL39" i="4"/>
  <c r="BL76" i="4"/>
  <c r="BL82" i="4"/>
  <c r="BL97" i="4"/>
  <c r="BL103" i="4"/>
  <c r="BL29" i="4"/>
  <c r="BL88" i="4"/>
  <c r="BL141" i="4"/>
  <c r="BL147" i="4"/>
  <c r="BL46" i="4"/>
  <c r="BL117" i="4"/>
  <c r="BL139" i="4"/>
  <c r="BL45" i="4"/>
  <c r="BL118" i="4"/>
  <c r="BL124" i="4"/>
  <c r="BL152" i="4"/>
  <c r="BL105" i="4"/>
  <c r="BL62" i="4"/>
  <c r="BL126" i="4"/>
  <c r="BL132" i="4"/>
  <c r="BL56" i="4"/>
  <c r="BL123" i="4"/>
  <c r="BL138" i="4"/>
  <c r="BL32" i="4"/>
  <c r="BL38" i="4"/>
  <c r="BL53" i="4"/>
  <c r="BL59" i="4"/>
  <c r="BL96" i="4"/>
  <c r="BL102" i="4"/>
  <c r="BL109" i="4"/>
  <c r="BL20" i="4"/>
  <c r="BL26" i="4"/>
  <c r="BL41" i="4"/>
  <c r="BL47" i="4"/>
  <c r="BL68" i="4"/>
  <c r="BL74" i="4"/>
  <c r="BL89" i="4"/>
  <c r="BL95" i="4"/>
  <c r="BL28" i="4"/>
  <c r="BL34" i="4"/>
  <c r="BL49" i="4"/>
  <c r="BL55" i="4"/>
  <c r="BL92" i="4"/>
  <c r="BL98" i="4"/>
  <c r="BL14" i="4"/>
  <c r="BL93" i="4"/>
  <c r="BL114" i="4"/>
  <c r="BL120" i="4"/>
  <c r="BL61" i="4"/>
  <c r="BL144" i="4"/>
  <c r="BL30" i="4"/>
  <c r="BL94" i="4"/>
  <c r="BL113" i="4"/>
  <c r="BL119" i="4"/>
  <c r="BL134" i="4"/>
  <c r="BL140" i="4"/>
  <c r="BL149" i="4"/>
  <c r="BL67" i="4"/>
  <c r="BL121" i="4"/>
  <c r="BL127" i="4"/>
  <c r="BL142" i="4"/>
  <c r="BL148" i="4"/>
  <c r="BL128" i="4"/>
  <c r="BL21" i="4"/>
  <c r="BL64" i="4"/>
  <c r="BL91" i="4"/>
  <c r="BL107" i="4"/>
  <c r="BL15" i="4"/>
  <c r="BL58" i="4"/>
  <c r="BL100" i="4"/>
  <c r="BL23" i="4"/>
  <c r="BL66" i="4"/>
  <c r="BL81" i="4"/>
  <c r="BL24" i="4"/>
  <c r="BL83" i="4"/>
  <c r="BL131" i="4"/>
  <c r="BL146" i="4"/>
  <c r="BL112" i="4"/>
  <c r="BL157" i="4"/>
  <c r="BL145" i="4"/>
  <c r="BL77" i="4"/>
  <c r="BL116" i="4"/>
  <c r="BL156" i="4"/>
  <c r="BL51" i="4"/>
  <c r="BL11" i="4"/>
  <c r="BL54" i="4"/>
  <c r="BL69" i="4"/>
  <c r="BL110" i="4"/>
  <c r="BL36" i="4"/>
  <c r="BL63" i="4"/>
  <c r="BL90" i="4"/>
  <c r="BL44" i="4"/>
  <c r="BL71" i="4"/>
  <c r="BL111" i="4"/>
  <c r="BL136" i="4"/>
  <c r="BL155" i="4"/>
  <c r="BL35" i="4"/>
  <c r="BL99" i="4"/>
  <c r="BL135" i="4"/>
  <c r="BL122" i="4"/>
  <c r="BL137" i="4"/>
  <c r="BL72" i="4"/>
  <c r="BL129" i="4"/>
  <c r="BL130" i="4"/>
  <c r="BL78" i="4"/>
  <c r="BL50" i="4"/>
  <c r="BL42" i="4"/>
  <c r="BL8" i="4"/>
  <c r="B18" i="4"/>
  <c r="BA8" i="4"/>
  <c r="BA12" i="4"/>
  <c r="BA15" i="4"/>
  <c r="BA18" i="4"/>
  <c r="BA22" i="4"/>
  <c r="BA25" i="4"/>
  <c r="BA29" i="4"/>
  <c r="BA33" i="4"/>
  <c r="BA37" i="4"/>
  <c r="BA40" i="4"/>
  <c r="BA7" i="4"/>
  <c r="BA10" i="4"/>
  <c r="BA13" i="4"/>
  <c r="BA16" i="4"/>
  <c r="BA19" i="4"/>
  <c r="BA23" i="4"/>
  <c r="BA27" i="4"/>
  <c r="BA30" i="4"/>
  <c r="BA34" i="4"/>
  <c r="BA38" i="4"/>
  <c r="BA42" i="4"/>
  <c r="B14" i="4"/>
  <c r="BA9" i="4"/>
  <c r="BA11" i="4"/>
  <c r="BA14" i="4"/>
  <c r="BA17" i="4"/>
  <c r="BA20" i="4"/>
  <c r="BA21" i="4"/>
  <c r="BA24" i="4"/>
  <c r="BA26" i="4"/>
  <c r="BA28" i="4"/>
  <c r="BA31" i="4"/>
  <c r="BA32" i="4"/>
  <c r="BA35" i="4"/>
  <c r="BA36" i="4"/>
  <c r="BA39" i="4"/>
  <c r="BA41" i="4"/>
  <c r="BA131" i="4"/>
  <c r="BA142" i="4"/>
  <c r="BA145" i="4"/>
  <c r="BA148" i="4"/>
  <c r="BA149" i="4"/>
  <c r="BA152" i="4"/>
  <c r="BA155" i="4"/>
  <c r="BA156" i="4"/>
  <c r="BA43" i="4"/>
  <c r="BA44" i="4"/>
  <c r="BA45" i="4"/>
  <c r="BA46" i="4"/>
  <c r="BA48" i="4"/>
  <c r="BA49" i="4"/>
  <c r="BA50" i="4"/>
  <c r="BA51" i="4"/>
  <c r="BA53" i="4"/>
  <c r="BA55" i="4"/>
  <c r="BA57" i="4"/>
  <c r="BA59" i="4"/>
  <c r="BA61" i="4"/>
  <c r="BA63" i="4"/>
  <c r="BA65" i="4"/>
  <c r="BA67" i="4"/>
  <c r="BA69" i="4"/>
  <c r="BA71" i="4"/>
  <c r="BA73" i="4"/>
  <c r="BA75" i="4"/>
  <c r="BA77" i="4"/>
  <c r="BA79" i="4"/>
  <c r="BA81" i="4"/>
  <c r="BA83" i="4"/>
  <c r="BA85" i="4"/>
  <c r="BA87" i="4"/>
  <c r="BA89" i="4"/>
  <c r="BA91" i="4"/>
  <c r="BA93" i="4"/>
  <c r="BA95" i="4"/>
  <c r="BA97" i="4"/>
  <c r="BA99" i="4"/>
  <c r="BA101" i="4"/>
  <c r="BA103" i="4"/>
  <c r="BA105" i="4"/>
  <c r="BA107" i="4"/>
  <c r="BA109" i="4"/>
  <c r="BA111" i="4"/>
  <c r="BA113" i="4"/>
  <c r="BA115" i="4"/>
  <c r="BA117" i="4"/>
  <c r="BA119" i="4"/>
  <c r="BA121" i="4"/>
  <c r="BA123" i="4"/>
  <c r="BA125" i="4"/>
  <c r="BA127" i="4"/>
  <c r="BA129" i="4"/>
  <c r="BA132" i="4"/>
  <c r="BA134" i="4"/>
  <c r="BA136" i="4"/>
  <c r="BA138" i="4"/>
  <c r="BA140" i="4"/>
  <c r="BA143" i="4"/>
  <c r="BA146" i="4"/>
  <c r="BA150" i="4"/>
  <c r="BA153" i="4"/>
  <c r="BA157" i="4"/>
  <c r="BA47" i="4"/>
  <c r="BA52" i="4"/>
  <c r="BA54" i="4"/>
  <c r="BA56" i="4"/>
  <c r="BA58" i="4"/>
  <c r="BA60" i="4"/>
  <c r="BA62" i="4"/>
  <c r="BA64" i="4"/>
  <c r="BA66" i="4"/>
  <c r="BA68" i="4"/>
  <c r="BA70" i="4"/>
  <c r="BA72" i="4"/>
  <c r="BA74" i="4"/>
  <c r="BA76" i="4"/>
  <c r="BA78" i="4"/>
  <c r="BA80" i="4"/>
  <c r="BA82" i="4"/>
  <c r="BA84" i="4"/>
  <c r="BA86" i="4"/>
  <c r="BA88" i="4"/>
  <c r="BA90" i="4"/>
  <c r="BA92" i="4"/>
  <c r="BA94" i="4"/>
  <c r="BA96" i="4"/>
  <c r="BA98" i="4"/>
  <c r="BA100" i="4"/>
  <c r="BA102" i="4"/>
  <c r="BA104" i="4"/>
  <c r="BA106" i="4"/>
  <c r="BA108" i="4"/>
  <c r="BA110" i="4"/>
  <c r="BA112" i="4"/>
  <c r="BA114" i="4"/>
  <c r="BA116" i="4"/>
  <c r="BA118" i="4"/>
  <c r="BA120" i="4"/>
  <c r="BA122" i="4"/>
  <c r="BA124" i="4"/>
  <c r="BA126" i="4"/>
  <c r="BA128" i="4"/>
  <c r="BA130" i="4"/>
  <c r="BA133" i="4"/>
  <c r="BA135" i="4"/>
  <c r="BA137" i="4"/>
  <c r="BA139" i="4"/>
  <c r="BA141" i="4"/>
  <c r="BA144" i="4"/>
  <c r="BA147" i="4"/>
  <c r="BA151" i="4"/>
  <c r="BA154" i="4"/>
  <c r="AK114" i="4"/>
  <c r="AK50" i="4"/>
  <c r="AK66" i="4"/>
  <c r="AK58" i="4"/>
  <c r="AK106" i="4"/>
  <c r="AK40" i="4"/>
  <c r="AK94" i="4"/>
  <c r="AK18" i="4"/>
  <c r="AK68" i="4"/>
  <c r="AK123" i="4"/>
  <c r="AK75" i="4"/>
  <c r="AK27" i="4"/>
  <c r="AK125" i="4"/>
  <c r="AK61" i="4"/>
  <c r="AK13" i="4"/>
  <c r="AK87" i="4"/>
  <c r="AK23" i="4"/>
  <c r="AK121" i="4"/>
  <c r="AK89" i="4"/>
  <c r="AK41" i="4"/>
  <c r="AK78" i="4"/>
  <c r="AK14" i="4"/>
  <c r="AK116" i="4"/>
  <c r="AK147" i="4"/>
  <c r="AK115" i="4"/>
  <c r="AK35" i="4"/>
  <c r="AK133" i="4"/>
  <c r="AK69" i="4"/>
  <c r="AK146" i="4"/>
  <c r="AK9" i="4"/>
  <c r="AK154" i="4"/>
  <c r="AK74" i="4"/>
  <c r="AK130" i="4"/>
  <c r="AK136" i="4"/>
  <c r="AK80" i="4"/>
  <c r="AK24" i="4"/>
  <c r="AK150" i="4"/>
  <c r="AK118" i="4"/>
  <c r="AK86" i="4"/>
  <c r="AK54" i="4"/>
  <c r="AK22" i="4"/>
  <c r="AK10" i="4"/>
  <c r="AK88" i="4"/>
  <c r="AK156" i="4"/>
  <c r="AK124" i="4"/>
  <c r="AK92" i="4"/>
  <c r="AK60" i="4"/>
  <c r="AK28" i="4"/>
  <c r="AK151" i="4"/>
  <c r="AK119" i="4"/>
  <c r="AK55" i="4"/>
  <c r="AK137" i="4"/>
  <c r="AK73" i="4"/>
  <c r="AK122" i="4"/>
  <c r="AK72" i="4"/>
  <c r="AK52" i="4"/>
  <c r="AK83" i="4"/>
  <c r="AK19" i="4"/>
  <c r="AK101" i="4"/>
  <c r="AK37" i="4"/>
  <c r="AK98" i="4"/>
  <c r="AK90" i="4"/>
  <c r="AK138" i="4"/>
  <c r="AK104" i="4"/>
  <c r="AK48" i="4"/>
  <c r="AK8" i="4"/>
  <c r="AK134" i="4"/>
  <c r="AK102" i="4"/>
  <c r="AK70" i="4"/>
  <c r="AK38" i="4"/>
  <c r="AK26" i="4"/>
  <c r="AK128" i="4"/>
  <c r="AK56" i="4"/>
  <c r="AK140" i="4"/>
  <c r="AK108" i="4"/>
  <c r="AK76" i="4"/>
  <c r="AK44" i="4"/>
  <c r="AK12" i="4"/>
  <c r="AK143" i="4"/>
  <c r="AK127" i="4"/>
  <c r="AK111" i="4"/>
  <c r="AK95" i="4"/>
  <c r="AK79" i="4"/>
  <c r="AK63" i="4"/>
  <c r="AK47" i="4"/>
  <c r="AK31" i="4"/>
  <c r="AK15" i="4"/>
  <c r="AK145" i="4"/>
  <c r="AK129" i="4"/>
  <c r="AK113" i="4"/>
  <c r="AK97" i="4"/>
  <c r="AK81" i="4"/>
  <c r="AK65" i="4"/>
  <c r="AK49" i="4"/>
  <c r="AK33" i="4"/>
  <c r="AK17" i="4"/>
  <c r="AK152" i="4"/>
  <c r="AK96" i="4"/>
  <c r="AK7" i="4"/>
  <c r="AK126" i="4"/>
  <c r="AK62" i="4"/>
  <c r="AK30" i="4"/>
  <c r="AK112" i="4"/>
  <c r="AK32" i="4"/>
  <c r="AK132" i="4"/>
  <c r="AK100" i="4"/>
  <c r="AK36" i="4"/>
  <c r="AK155" i="4"/>
  <c r="AK139" i="4"/>
  <c r="AK107" i="4"/>
  <c r="AK91" i="4"/>
  <c r="AK59" i="4"/>
  <c r="AK43" i="4"/>
  <c r="AK11" i="4"/>
  <c r="AK141" i="4"/>
  <c r="AK109" i="4"/>
  <c r="AK93" i="4"/>
  <c r="AK77" i="4"/>
  <c r="AK45" i="4"/>
  <c r="AK29" i="4"/>
  <c r="AK135" i="4"/>
  <c r="AK103" i="4"/>
  <c r="AK71" i="4"/>
  <c r="AK39" i="4"/>
  <c r="AK153" i="4"/>
  <c r="AK105" i="4"/>
  <c r="AK57" i="4"/>
  <c r="AK25" i="4"/>
  <c r="AK82" i="4"/>
  <c r="AK157" i="4"/>
  <c r="AK42" i="4"/>
  <c r="AK34" i="4"/>
  <c r="AK120" i="4"/>
  <c r="AK64" i="4"/>
  <c r="AK16" i="4"/>
  <c r="AK142" i="4"/>
  <c r="AK110" i="4"/>
  <c r="AK46" i="4"/>
  <c r="AK144" i="4"/>
  <c r="AK148" i="4"/>
  <c r="AK84" i="4"/>
  <c r="AK20" i="4"/>
  <c r="AK131" i="4"/>
  <c r="AK99" i="4"/>
  <c r="AK67" i="4"/>
  <c r="AK51" i="4"/>
  <c r="AK149" i="4"/>
  <c r="AK117" i="4"/>
  <c r="AK85" i="4"/>
  <c r="AK53" i="4"/>
  <c r="AK21" i="4"/>
  <c r="B27" i="2"/>
  <c r="B15" i="4" s="1"/>
  <c r="B65" i="2"/>
  <c r="N19" i="1" s="1"/>
  <c r="N27" i="1"/>
  <c r="B63" i="2"/>
  <c r="N16" i="1" s="1"/>
  <c r="B35" i="2"/>
  <c r="B68" i="2"/>
  <c r="N24" i="1" s="1"/>
  <c r="B26" i="2"/>
  <c r="B36" i="2"/>
  <c r="B19" i="4" s="1"/>
  <c r="BK9" i="4" l="1"/>
  <c r="BM9" i="4" s="1"/>
  <c r="BK31" i="4"/>
  <c r="BM31" i="4" s="1"/>
  <c r="BK52" i="4"/>
  <c r="BM52" i="4" s="1"/>
  <c r="BK58" i="4"/>
  <c r="BM58" i="4" s="1"/>
  <c r="BK73" i="4"/>
  <c r="BM73" i="4" s="1"/>
  <c r="BK95" i="4"/>
  <c r="BK19" i="4"/>
  <c r="BM19" i="4" s="1"/>
  <c r="BK40" i="4"/>
  <c r="BM40" i="4" s="1"/>
  <c r="BK46" i="4"/>
  <c r="BM46" i="4" s="1"/>
  <c r="BK61" i="4"/>
  <c r="BM61" i="4" s="1"/>
  <c r="BK67" i="4"/>
  <c r="BM67" i="4" s="1"/>
  <c r="BK88" i="4"/>
  <c r="BK94" i="4"/>
  <c r="BK27" i="4"/>
  <c r="BM27" i="4" s="1"/>
  <c r="BK48" i="4"/>
  <c r="BM48" i="4" s="1"/>
  <c r="BK54" i="4"/>
  <c r="BM54" i="4" s="1"/>
  <c r="BK69" i="4"/>
  <c r="BM69" i="4" s="1"/>
  <c r="BK91" i="4"/>
  <c r="BK109" i="4"/>
  <c r="BK49" i="4"/>
  <c r="BM49" i="4" s="1"/>
  <c r="BK113" i="4"/>
  <c r="BK119" i="4"/>
  <c r="BK134" i="4"/>
  <c r="BK112" i="4"/>
  <c r="BK133" i="4"/>
  <c r="BK139" i="4"/>
  <c r="BK132" i="4"/>
  <c r="BK23" i="4"/>
  <c r="BM23" i="4" s="1"/>
  <c r="BK82" i="4"/>
  <c r="BK111" i="4"/>
  <c r="BK120" i="4"/>
  <c r="BK141" i="4"/>
  <c r="BK147" i="4"/>
  <c r="BK153" i="4"/>
  <c r="BK157" i="4"/>
  <c r="BK10" i="4"/>
  <c r="BM10" i="4" s="1"/>
  <c r="BK25" i="4"/>
  <c r="BM25" i="4" s="1"/>
  <c r="BK47" i="4"/>
  <c r="BM47" i="4" s="1"/>
  <c r="BK68" i="4"/>
  <c r="BM68" i="4" s="1"/>
  <c r="BK74" i="4"/>
  <c r="BM74" i="4" s="1"/>
  <c r="BK89" i="4"/>
  <c r="BK13" i="4"/>
  <c r="BM13" i="4" s="1"/>
  <c r="BK35" i="4"/>
  <c r="BM35" i="4" s="1"/>
  <c r="BK56" i="4"/>
  <c r="BM56" i="4" s="1"/>
  <c r="BK62" i="4"/>
  <c r="BM62" i="4" s="1"/>
  <c r="BK83" i="4"/>
  <c r="BK104" i="4"/>
  <c r="BK21" i="4"/>
  <c r="BM21" i="4" s="1"/>
  <c r="BK43" i="4"/>
  <c r="BM43" i="4" s="1"/>
  <c r="BK64" i="4"/>
  <c r="BM64" i="4" s="1"/>
  <c r="BK70" i="4"/>
  <c r="BM70" i="4" s="1"/>
  <c r="BK85" i="4"/>
  <c r="BK110" i="4"/>
  <c r="BK34" i="4"/>
  <c r="BM34" i="4" s="1"/>
  <c r="BK129" i="4"/>
  <c r="BK135" i="4"/>
  <c r="BK152" i="4"/>
  <c r="BK121" i="4"/>
  <c r="BK50" i="4"/>
  <c r="BM50" i="4" s="1"/>
  <c r="BK128" i="4"/>
  <c r="BK149" i="4"/>
  <c r="BK28" i="4"/>
  <c r="BM28" i="4" s="1"/>
  <c r="BK87" i="4"/>
  <c r="BK114" i="4"/>
  <c r="BK136" i="4"/>
  <c r="BK154" i="4"/>
  <c r="BK8" i="4"/>
  <c r="BM8" i="4" s="1"/>
  <c r="BS8" i="4" s="1"/>
  <c r="BK12" i="4"/>
  <c r="BM12" i="4" s="1"/>
  <c r="BK71" i="4"/>
  <c r="BM71" i="4" s="1"/>
  <c r="BK142" i="4"/>
  <c r="BK36" i="4"/>
  <c r="BM36" i="4" s="1"/>
  <c r="BK79" i="4"/>
  <c r="BM79" i="4" s="1"/>
  <c r="BK30" i="4"/>
  <c r="BM30" i="4" s="1"/>
  <c r="BK45" i="4"/>
  <c r="BM45" i="4" s="1"/>
  <c r="BK72" i="4"/>
  <c r="BM72" i="4" s="1"/>
  <c r="BK11" i="4"/>
  <c r="BM11" i="4" s="1"/>
  <c r="BK38" i="4"/>
  <c r="BM38" i="4" s="1"/>
  <c r="BK53" i="4"/>
  <c r="BM53" i="4" s="1"/>
  <c r="BK96" i="4"/>
  <c r="BN96" i="4" s="1"/>
  <c r="BK108" i="4"/>
  <c r="BK118" i="4"/>
  <c r="BK60" i="4"/>
  <c r="BM60" i="4" s="1"/>
  <c r="BK117" i="4"/>
  <c r="BK66" i="4"/>
  <c r="BM66" i="4" s="1"/>
  <c r="BK18" i="4"/>
  <c r="BM18" i="4" s="1"/>
  <c r="BK131" i="4"/>
  <c r="BK146" i="4"/>
  <c r="BK156" i="4"/>
  <c r="BK26" i="4"/>
  <c r="BM26" i="4" s="1"/>
  <c r="BK41" i="4"/>
  <c r="BM41" i="4" s="1"/>
  <c r="BK84" i="4"/>
  <c r="BK51" i="4"/>
  <c r="BM51" i="4" s="1"/>
  <c r="BK77" i="4"/>
  <c r="BM77" i="4" s="1"/>
  <c r="BK105" i="4"/>
  <c r="BK16" i="4"/>
  <c r="BM16" i="4" s="1"/>
  <c r="BK59" i="4"/>
  <c r="BM59" i="4" s="1"/>
  <c r="BK86" i="4"/>
  <c r="BK101" i="4"/>
  <c r="BK39" i="4"/>
  <c r="BM39" i="4" s="1"/>
  <c r="BK98" i="4"/>
  <c r="BK124" i="4"/>
  <c r="BK126" i="4"/>
  <c r="BK122" i="4"/>
  <c r="BK150" i="4"/>
  <c r="BK33" i="4"/>
  <c r="BM33" i="4" s="1"/>
  <c r="BK92" i="4"/>
  <c r="BK151" i="4"/>
  <c r="BK63" i="4"/>
  <c r="BM63" i="4" s="1"/>
  <c r="BK90" i="4"/>
  <c r="BK14" i="4"/>
  <c r="BM14" i="4" s="1"/>
  <c r="BK99" i="4"/>
  <c r="BK22" i="4"/>
  <c r="BM22" i="4" s="1"/>
  <c r="BK80" i="4"/>
  <c r="BK107" i="4"/>
  <c r="BK81" i="4"/>
  <c r="BK55" i="4"/>
  <c r="BM55" i="4" s="1"/>
  <c r="BK125" i="4"/>
  <c r="BK143" i="4"/>
  <c r="BK15" i="4"/>
  <c r="BM15" i="4" s="1"/>
  <c r="BK42" i="4"/>
  <c r="BM42" i="4" s="1"/>
  <c r="BK100" i="4"/>
  <c r="BK24" i="4"/>
  <c r="BM24" i="4" s="1"/>
  <c r="BK78" i="4"/>
  <c r="BM78" i="4" s="1"/>
  <c r="BK32" i="4"/>
  <c r="BM32" i="4" s="1"/>
  <c r="BK103" i="4"/>
  <c r="BK140" i="4"/>
  <c r="BK137" i="4"/>
  <c r="BK138" i="4"/>
  <c r="BK127" i="4"/>
  <c r="BK97" i="4"/>
  <c r="BK130" i="4"/>
  <c r="BK155" i="4"/>
  <c r="BK76" i="4"/>
  <c r="BM76" i="4" s="1"/>
  <c r="BK20" i="4"/>
  <c r="BM20" i="4" s="1"/>
  <c r="BK106" i="4"/>
  <c r="BK29" i="4"/>
  <c r="BM29" i="4" s="1"/>
  <c r="BK37" i="4"/>
  <c r="BM37" i="4" s="1"/>
  <c r="BK65" i="4"/>
  <c r="BM65" i="4" s="1"/>
  <c r="BK145" i="4"/>
  <c r="BK148" i="4"/>
  <c r="BK144" i="4"/>
  <c r="BK115" i="4"/>
  <c r="BK116" i="4"/>
  <c r="BK57" i="4"/>
  <c r="BM57" i="4" s="1"/>
  <c r="BK93" i="4"/>
  <c r="BK75" i="4"/>
  <c r="BM75" i="4" s="1"/>
  <c r="BK102" i="4"/>
  <c r="BK44" i="4"/>
  <c r="BM44" i="4" s="1"/>
  <c r="BK17" i="4"/>
  <c r="BM17" i="4" s="1"/>
  <c r="BK123" i="4"/>
  <c r="BM96" i="4"/>
  <c r="BK7" i="4"/>
  <c r="BM7" i="4" s="1"/>
  <c r="AZ7" i="4"/>
  <c r="BB7" i="4" s="1"/>
  <c r="AZ31" i="4"/>
  <c r="AZ134" i="4"/>
  <c r="AZ130" i="4"/>
  <c r="AZ109" i="4"/>
  <c r="AZ95" i="4"/>
  <c r="AZ148" i="4"/>
  <c r="AZ132" i="4"/>
  <c r="AZ76" i="4"/>
  <c r="AZ8" i="4"/>
  <c r="BC8" i="4" s="1"/>
  <c r="AZ24" i="4"/>
  <c r="AZ40" i="4"/>
  <c r="AZ56" i="4"/>
  <c r="AZ72" i="4"/>
  <c r="AZ88" i="4"/>
  <c r="AZ102" i="4"/>
  <c r="AZ118" i="4"/>
  <c r="AZ22" i="4"/>
  <c r="AZ38" i="4"/>
  <c r="AZ54" i="4"/>
  <c r="AZ70" i="4"/>
  <c r="AZ86" i="4"/>
  <c r="AZ100" i="4"/>
  <c r="AZ116" i="4"/>
  <c r="AZ10" i="4"/>
  <c r="AZ26" i="4"/>
  <c r="AZ42" i="4"/>
  <c r="AZ58" i="4"/>
  <c r="AZ74" i="4"/>
  <c r="AZ90" i="4"/>
  <c r="AZ107" i="4"/>
  <c r="AZ123" i="4"/>
  <c r="AZ152" i="4"/>
  <c r="AZ136" i="4"/>
  <c r="AZ92" i="4"/>
  <c r="AZ28" i="4"/>
  <c r="AZ146" i="4"/>
  <c r="AZ68" i="4"/>
  <c r="AZ157" i="4"/>
  <c r="AZ156" i="4"/>
  <c r="AZ16" i="4"/>
  <c r="AZ80" i="4"/>
  <c r="AZ110" i="4"/>
  <c r="AZ78" i="4"/>
  <c r="AZ34" i="4"/>
  <c r="AZ131" i="4"/>
  <c r="AZ117" i="4"/>
  <c r="AZ36" i="4"/>
  <c r="AZ12" i="4"/>
  <c r="AZ145" i="4"/>
  <c r="AZ137" i="4"/>
  <c r="AZ154" i="4"/>
  <c r="AZ143" i="4"/>
  <c r="AZ126" i="4"/>
  <c r="AZ55" i="4"/>
  <c r="AZ11" i="4"/>
  <c r="AZ27" i="4"/>
  <c r="AZ43" i="4"/>
  <c r="AZ59" i="4"/>
  <c r="AZ75" i="4"/>
  <c r="AZ91" i="4"/>
  <c r="AZ105" i="4"/>
  <c r="AZ9" i="4"/>
  <c r="AZ25" i="4"/>
  <c r="AZ41" i="4"/>
  <c r="AZ57" i="4"/>
  <c r="AZ73" i="4"/>
  <c r="AZ89" i="4"/>
  <c r="AZ103" i="4"/>
  <c r="AZ119" i="4"/>
  <c r="AZ13" i="4"/>
  <c r="AZ29" i="4"/>
  <c r="AZ45" i="4"/>
  <c r="AZ61" i="4"/>
  <c r="AZ77" i="4"/>
  <c r="AZ93" i="4"/>
  <c r="AZ112" i="4"/>
  <c r="AZ128" i="4"/>
  <c r="AZ147" i="4"/>
  <c r="AZ125" i="4"/>
  <c r="AZ71" i="4"/>
  <c r="AZ141" i="4"/>
  <c r="AZ122" i="4"/>
  <c r="AZ47" i="4"/>
  <c r="AZ20" i="4"/>
  <c r="AZ101" i="4"/>
  <c r="AZ48" i="4"/>
  <c r="AZ96" i="4"/>
  <c r="AZ30" i="4"/>
  <c r="AZ46" i="4"/>
  <c r="AZ18" i="4"/>
  <c r="AZ82" i="4"/>
  <c r="AZ98" i="4"/>
  <c r="AZ115" i="4"/>
  <c r="AZ60" i="4"/>
  <c r="AZ114" i="4"/>
  <c r="AZ142" i="4"/>
  <c r="AZ84" i="4"/>
  <c r="AZ52" i="4"/>
  <c r="AZ150" i="4"/>
  <c r="AZ63" i="4"/>
  <c r="AZ151" i="4"/>
  <c r="AZ135" i="4"/>
  <c r="AZ87" i="4"/>
  <c r="AZ23" i="4"/>
  <c r="AZ19" i="4"/>
  <c r="AZ35" i="4"/>
  <c r="AZ51" i="4"/>
  <c r="AZ67" i="4"/>
  <c r="AZ83" i="4"/>
  <c r="AZ99" i="4"/>
  <c r="AZ113" i="4"/>
  <c r="AZ17" i="4"/>
  <c r="AZ33" i="4"/>
  <c r="AZ49" i="4"/>
  <c r="AZ65" i="4"/>
  <c r="AZ81" i="4"/>
  <c r="AZ97" i="4"/>
  <c r="AZ111" i="4"/>
  <c r="AZ127" i="4"/>
  <c r="AZ21" i="4"/>
  <c r="AZ37" i="4"/>
  <c r="AZ53" i="4"/>
  <c r="AZ69" i="4"/>
  <c r="AZ85" i="4"/>
  <c r="AZ104" i="4"/>
  <c r="AZ120" i="4"/>
  <c r="AZ155" i="4"/>
  <c r="AZ139" i="4"/>
  <c r="AZ106" i="4"/>
  <c r="AZ39" i="4"/>
  <c r="AZ149" i="4"/>
  <c r="AZ133" i="4"/>
  <c r="AZ79" i="4"/>
  <c r="AZ15" i="4"/>
  <c r="AZ129" i="4"/>
  <c r="AZ153" i="4"/>
  <c r="AZ121" i="4"/>
  <c r="AZ140" i="4"/>
  <c r="AZ44" i="4"/>
  <c r="AZ32" i="4"/>
  <c r="AZ64" i="4"/>
  <c r="AZ14" i="4"/>
  <c r="AZ62" i="4"/>
  <c r="AZ94" i="4"/>
  <c r="AZ108" i="4"/>
  <c r="AZ124" i="4"/>
  <c r="AZ50" i="4"/>
  <c r="AZ66" i="4"/>
  <c r="AZ144" i="4"/>
  <c r="AZ138" i="4"/>
  <c r="B56" i="3"/>
  <c r="R25" i="4" l="1"/>
  <c r="AF25" i="4" s="1"/>
  <c r="BB14" i="4"/>
  <c r="BH14" i="4" s="1"/>
  <c r="BC14" i="4"/>
  <c r="BB120" i="4"/>
  <c r="BH120" i="4" s="1"/>
  <c r="BC120" i="4"/>
  <c r="BB99" i="4"/>
  <c r="BH99" i="4" s="1"/>
  <c r="BC99" i="4"/>
  <c r="BB35" i="4"/>
  <c r="BH35" i="4" s="1"/>
  <c r="BC35" i="4"/>
  <c r="BB135" i="4"/>
  <c r="BH135" i="4" s="1"/>
  <c r="BC135" i="4"/>
  <c r="BB52" i="4"/>
  <c r="BH52" i="4" s="1"/>
  <c r="BC52" i="4"/>
  <c r="BC60" i="4"/>
  <c r="BB60" i="4"/>
  <c r="BH60" i="4" s="1"/>
  <c r="BB18" i="4"/>
  <c r="BH18" i="4" s="1"/>
  <c r="BC18" i="4"/>
  <c r="BC48" i="4"/>
  <c r="BB48" i="4"/>
  <c r="BH48" i="4" s="1"/>
  <c r="BB122" i="4"/>
  <c r="BH122" i="4" s="1"/>
  <c r="BC122" i="4"/>
  <c r="BC147" i="4"/>
  <c r="BB147" i="4"/>
  <c r="BH147" i="4" s="1"/>
  <c r="BC77" i="4"/>
  <c r="BB77" i="4"/>
  <c r="BH77" i="4" s="1"/>
  <c r="BC13" i="4"/>
  <c r="BB13" i="4"/>
  <c r="BH13" i="4" s="1"/>
  <c r="BC73" i="4"/>
  <c r="BB73" i="4"/>
  <c r="BH73" i="4" s="1"/>
  <c r="BB9" i="4"/>
  <c r="BH9" i="4" s="1"/>
  <c r="BC9" i="4"/>
  <c r="BC59" i="4"/>
  <c r="BB59" i="4"/>
  <c r="BH59" i="4" s="1"/>
  <c r="BB55" i="4"/>
  <c r="BH55" i="4" s="1"/>
  <c r="BC55" i="4"/>
  <c r="BC154" i="4"/>
  <c r="BB154" i="4"/>
  <c r="BH154" i="4" s="1"/>
  <c r="BB36" i="4"/>
  <c r="BH36" i="4" s="1"/>
  <c r="BC36" i="4"/>
  <c r="BB78" i="4"/>
  <c r="BH78" i="4" s="1"/>
  <c r="BC78" i="4"/>
  <c r="BB156" i="4"/>
  <c r="BH156" i="4" s="1"/>
  <c r="BC156" i="4"/>
  <c r="BB28" i="4"/>
  <c r="BH28" i="4" s="1"/>
  <c r="BC28" i="4"/>
  <c r="BC123" i="4"/>
  <c r="BB123" i="4"/>
  <c r="BH123" i="4" s="1"/>
  <c r="BB58" i="4"/>
  <c r="BH58" i="4" s="1"/>
  <c r="BC58" i="4"/>
  <c r="BB116" i="4"/>
  <c r="BH116" i="4" s="1"/>
  <c r="BC116" i="4"/>
  <c r="BB54" i="4"/>
  <c r="BH54" i="4" s="1"/>
  <c r="BC54" i="4"/>
  <c r="BB102" i="4"/>
  <c r="BH102" i="4" s="1"/>
  <c r="BC102" i="4"/>
  <c r="BC40" i="4"/>
  <c r="BB40" i="4"/>
  <c r="BH40" i="4" s="1"/>
  <c r="BB132" i="4"/>
  <c r="BH132" i="4" s="1"/>
  <c r="BC132" i="4"/>
  <c r="BB130" i="4"/>
  <c r="BH130" i="4" s="1"/>
  <c r="BC130" i="4"/>
  <c r="BM148" i="4"/>
  <c r="BS148" i="4" s="1"/>
  <c r="BN148" i="4"/>
  <c r="BM155" i="4"/>
  <c r="BS155" i="4" s="1"/>
  <c r="BN155" i="4"/>
  <c r="BM138" i="4"/>
  <c r="BN138" i="4"/>
  <c r="BM150" i="4"/>
  <c r="BS150" i="4" s="1"/>
  <c r="BN150" i="4"/>
  <c r="BM98" i="4"/>
  <c r="BS98" i="4" s="1"/>
  <c r="BN98" i="4"/>
  <c r="BM156" i="4"/>
  <c r="BP156" i="4" s="1"/>
  <c r="BQ156" i="4" s="1"/>
  <c r="BN156" i="4"/>
  <c r="BM108" i="4"/>
  <c r="BN108" i="4"/>
  <c r="BM114" i="4"/>
  <c r="BP114" i="4" s="1"/>
  <c r="BQ114" i="4" s="1"/>
  <c r="BN114" i="4"/>
  <c r="BM128" i="4"/>
  <c r="BP128" i="4" s="1"/>
  <c r="BQ128" i="4" s="1"/>
  <c r="BN128" i="4"/>
  <c r="BM135" i="4"/>
  <c r="BP135" i="4" s="1"/>
  <c r="BQ135" i="4" s="1"/>
  <c r="BN135" i="4"/>
  <c r="BM85" i="4"/>
  <c r="BN85" i="4"/>
  <c r="BM141" i="4"/>
  <c r="BS141" i="4" s="1"/>
  <c r="BN141" i="4"/>
  <c r="BM112" i="4"/>
  <c r="BN112" i="4"/>
  <c r="BM88" i="4"/>
  <c r="BS88" i="4" s="1"/>
  <c r="BN88" i="4"/>
  <c r="BB140" i="4"/>
  <c r="BH140" i="4" s="1"/>
  <c r="BC140" i="4"/>
  <c r="BC53" i="4"/>
  <c r="BB53" i="4"/>
  <c r="BH53" i="4" s="1"/>
  <c r="BB144" i="4"/>
  <c r="BH144" i="4" s="1"/>
  <c r="BC144" i="4"/>
  <c r="BB121" i="4"/>
  <c r="BH121" i="4" s="1"/>
  <c r="BC121" i="4"/>
  <c r="BB104" i="4"/>
  <c r="BH104" i="4" s="1"/>
  <c r="BC104" i="4"/>
  <c r="BB37" i="4"/>
  <c r="BH37" i="4" s="1"/>
  <c r="BC37" i="4"/>
  <c r="BC97" i="4"/>
  <c r="BB97" i="4"/>
  <c r="BH97" i="4" s="1"/>
  <c r="BB33" i="4"/>
  <c r="BH33" i="4" s="1"/>
  <c r="BC33" i="4"/>
  <c r="BC83" i="4"/>
  <c r="BB83" i="4"/>
  <c r="BH83" i="4" s="1"/>
  <c r="BC19" i="4"/>
  <c r="BB19" i="4"/>
  <c r="BH19" i="4" s="1"/>
  <c r="BB151" i="4"/>
  <c r="BH151" i="4" s="1"/>
  <c r="BC151" i="4"/>
  <c r="BC84" i="4"/>
  <c r="BB84" i="4"/>
  <c r="BH84" i="4" s="1"/>
  <c r="BB115" i="4"/>
  <c r="BH115" i="4" s="1"/>
  <c r="BC115" i="4"/>
  <c r="BC46" i="4"/>
  <c r="BB46" i="4"/>
  <c r="BH46" i="4" s="1"/>
  <c r="BC101" i="4"/>
  <c r="BB101" i="4"/>
  <c r="BH101" i="4" s="1"/>
  <c r="BB141" i="4"/>
  <c r="BH141" i="4" s="1"/>
  <c r="BC141" i="4"/>
  <c r="BB128" i="4"/>
  <c r="BH128" i="4" s="1"/>
  <c r="BC128" i="4"/>
  <c r="BB61" i="4"/>
  <c r="BH61" i="4" s="1"/>
  <c r="BC61" i="4"/>
  <c r="BB119" i="4"/>
  <c r="BH119" i="4" s="1"/>
  <c r="BC119" i="4"/>
  <c r="BB57" i="4"/>
  <c r="BH57" i="4" s="1"/>
  <c r="BC57" i="4"/>
  <c r="BB105" i="4"/>
  <c r="BH105" i="4" s="1"/>
  <c r="BC105" i="4"/>
  <c r="BC43" i="4"/>
  <c r="BB43" i="4"/>
  <c r="BH43" i="4" s="1"/>
  <c r="BB126" i="4"/>
  <c r="BH126" i="4" s="1"/>
  <c r="BC126" i="4"/>
  <c r="BB137" i="4"/>
  <c r="BH137" i="4" s="1"/>
  <c r="BC137" i="4"/>
  <c r="BB117" i="4"/>
  <c r="BH117" i="4" s="1"/>
  <c r="BC117" i="4"/>
  <c r="BB110" i="4"/>
  <c r="BH110" i="4" s="1"/>
  <c r="BC110" i="4"/>
  <c r="BC157" i="4"/>
  <c r="BB157" i="4"/>
  <c r="BH157" i="4" s="1"/>
  <c r="BC92" i="4"/>
  <c r="BB92" i="4"/>
  <c r="BH92" i="4" s="1"/>
  <c r="BB107" i="4"/>
  <c r="BH107" i="4" s="1"/>
  <c r="BC107" i="4"/>
  <c r="BB42" i="4"/>
  <c r="BH42" i="4" s="1"/>
  <c r="BC42" i="4"/>
  <c r="BB100" i="4"/>
  <c r="BH100" i="4" s="1"/>
  <c r="BC100" i="4"/>
  <c r="BB38" i="4"/>
  <c r="BH38" i="4" s="1"/>
  <c r="BC38" i="4"/>
  <c r="BB88" i="4"/>
  <c r="BH88" i="4" s="1"/>
  <c r="BC88" i="4"/>
  <c r="BC24" i="4"/>
  <c r="BB24" i="4"/>
  <c r="BH24" i="4" s="1"/>
  <c r="BB148" i="4"/>
  <c r="BH148" i="4" s="1"/>
  <c r="BC148" i="4"/>
  <c r="BB134" i="4"/>
  <c r="BH134" i="4" s="1"/>
  <c r="BC134" i="4"/>
  <c r="BM102" i="4"/>
  <c r="BS102" i="4" s="1"/>
  <c r="BN102" i="4"/>
  <c r="BM116" i="4"/>
  <c r="BS116" i="4" s="1"/>
  <c r="BN116" i="4"/>
  <c r="BM145" i="4"/>
  <c r="BP145" i="4" s="1"/>
  <c r="BQ145" i="4" s="1"/>
  <c r="BN145" i="4"/>
  <c r="BM106" i="4"/>
  <c r="BS106" i="4" s="1"/>
  <c r="BN106" i="4"/>
  <c r="BM130" i="4"/>
  <c r="BS130" i="4" s="1"/>
  <c r="BN130" i="4"/>
  <c r="BM137" i="4"/>
  <c r="BP137" i="4" s="1"/>
  <c r="BQ137" i="4" s="1"/>
  <c r="BN137" i="4"/>
  <c r="BM81" i="4"/>
  <c r="BP81" i="4" s="1"/>
  <c r="BQ81" i="4" s="1"/>
  <c r="BN81" i="4"/>
  <c r="BM99" i="4"/>
  <c r="BS99" i="4" s="1"/>
  <c r="BN99" i="4"/>
  <c r="BM151" i="4"/>
  <c r="BN151" i="4"/>
  <c r="BM122" i="4"/>
  <c r="BS122" i="4" s="1"/>
  <c r="BN122" i="4"/>
  <c r="BM84" i="4"/>
  <c r="BS84" i="4" s="1"/>
  <c r="BN84" i="4"/>
  <c r="BM146" i="4"/>
  <c r="BS146" i="4" s="1"/>
  <c r="BN146" i="4"/>
  <c r="BM117" i="4"/>
  <c r="BP117" i="4" s="1"/>
  <c r="BQ117" i="4" s="1"/>
  <c r="BN117" i="4"/>
  <c r="BM87" i="4"/>
  <c r="BP87" i="4" s="1"/>
  <c r="BQ87" i="4" s="1"/>
  <c r="BN87" i="4"/>
  <c r="BM129" i="4"/>
  <c r="BS129" i="4" s="1"/>
  <c r="BN129" i="4"/>
  <c r="BM104" i="4"/>
  <c r="BS104" i="4" s="1"/>
  <c r="BN104" i="4"/>
  <c r="BM157" i="4"/>
  <c r="BP157" i="4" s="1"/>
  <c r="BQ157" i="4" s="1"/>
  <c r="BN157" i="4"/>
  <c r="BM120" i="4"/>
  <c r="BP120" i="4" s="1"/>
  <c r="BQ120" i="4" s="1"/>
  <c r="BN120" i="4"/>
  <c r="BM132" i="4"/>
  <c r="BS132" i="4" s="1"/>
  <c r="BN132" i="4"/>
  <c r="BM134" i="4"/>
  <c r="BS134" i="4" s="1"/>
  <c r="BN134" i="4"/>
  <c r="BM109" i="4"/>
  <c r="BN109" i="4"/>
  <c r="BB138" i="4"/>
  <c r="BH138" i="4" s="1"/>
  <c r="BC138" i="4"/>
  <c r="BB15" i="4"/>
  <c r="BH15" i="4" s="1"/>
  <c r="BC15" i="4"/>
  <c r="BC111" i="4"/>
  <c r="BB111" i="4"/>
  <c r="BH111" i="4" s="1"/>
  <c r="BB108" i="4"/>
  <c r="BH108" i="4" s="1"/>
  <c r="BC108" i="4"/>
  <c r="BC79" i="4"/>
  <c r="BB79" i="4"/>
  <c r="BH79" i="4" s="1"/>
  <c r="BB94" i="4"/>
  <c r="BH94" i="4" s="1"/>
  <c r="BC94" i="4"/>
  <c r="BC133" i="4"/>
  <c r="BB133" i="4"/>
  <c r="BH133" i="4" s="1"/>
  <c r="BB21" i="4"/>
  <c r="BH21" i="4" s="1"/>
  <c r="BC21" i="4"/>
  <c r="BC17" i="4"/>
  <c r="BB17" i="4"/>
  <c r="BH17" i="4" s="1"/>
  <c r="BB23" i="4"/>
  <c r="BH23" i="4" s="1"/>
  <c r="BC23" i="4"/>
  <c r="BB142" i="4"/>
  <c r="BH142" i="4" s="1"/>
  <c r="BC142" i="4"/>
  <c r="BB30" i="4"/>
  <c r="BH30" i="4" s="1"/>
  <c r="BC30" i="4"/>
  <c r="BB20" i="4"/>
  <c r="BH20" i="4" s="1"/>
  <c r="BC20" i="4"/>
  <c r="BC71" i="4"/>
  <c r="BB71" i="4"/>
  <c r="BH71" i="4" s="1"/>
  <c r="BB112" i="4"/>
  <c r="BH112" i="4" s="1"/>
  <c r="BC112" i="4"/>
  <c r="BC45" i="4"/>
  <c r="BB45" i="4"/>
  <c r="BH45" i="4" s="1"/>
  <c r="BB103" i="4"/>
  <c r="BH103" i="4" s="1"/>
  <c r="BC103" i="4"/>
  <c r="BB41" i="4"/>
  <c r="BH41" i="4" s="1"/>
  <c r="BC41" i="4"/>
  <c r="BB91" i="4"/>
  <c r="BH91" i="4" s="1"/>
  <c r="BC91" i="4"/>
  <c r="BC27" i="4"/>
  <c r="BB27" i="4"/>
  <c r="BH27" i="4" s="1"/>
  <c r="BC143" i="4"/>
  <c r="BB143" i="4"/>
  <c r="BH143" i="4" s="1"/>
  <c r="BB145" i="4"/>
  <c r="BH145" i="4" s="1"/>
  <c r="BC145" i="4"/>
  <c r="BB131" i="4"/>
  <c r="BH131" i="4" s="1"/>
  <c r="BC131" i="4"/>
  <c r="BB80" i="4"/>
  <c r="BH80" i="4" s="1"/>
  <c r="BC80" i="4"/>
  <c r="BC68" i="4"/>
  <c r="BB68" i="4"/>
  <c r="BH68" i="4" s="1"/>
  <c r="BB136" i="4"/>
  <c r="BH136" i="4" s="1"/>
  <c r="BC136" i="4"/>
  <c r="BB90" i="4"/>
  <c r="BH90" i="4" s="1"/>
  <c r="BC90" i="4"/>
  <c r="BB26" i="4"/>
  <c r="BH26" i="4" s="1"/>
  <c r="BC26" i="4"/>
  <c r="BB86" i="4"/>
  <c r="BH86" i="4" s="1"/>
  <c r="BC86" i="4"/>
  <c r="BB22" i="4"/>
  <c r="BH22" i="4" s="1"/>
  <c r="BC22" i="4"/>
  <c r="BB72" i="4"/>
  <c r="BH72" i="4" s="1"/>
  <c r="BC72" i="4"/>
  <c r="BC95" i="4"/>
  <c r="BB95" i="4"/>
  <c r="BH95" i="4" s="1"/>
  <c r="BB31" i="4"/>
  <c r="BH31" i="4" s="1"/>
  <c r="BC31" i="4"/>
  <c r="BM123" i="4"/>
  <c r="BP123" i="4" s="1"/>
  <c r="BQ123" i="4" s="1"/>
  <c r="BN123" i="4"/>
  <c r="BM115" i="4"/>
  <c r="BS115" i="4" s="1"/>
  <c r="BN115" i="4"/>
  <c r="BM97" i="4"/>
  <c r="BS97" i="4" s="1"/>
  <c r="BN97" i="4"/>
  <c r="BM140" i="4"/>
  <c r="BS140" i="4" s="1"/>
  <c r="BN140" i="4"/>
  <c r="BM143" i="4"/>
  <c r="BP143" i="4" s="1"/>
  <c r="BQ143" i="4" s="1"/>
  <c r="BN143" i="4"/>
  <c r="BM107" i="4"/>
  <c r="BS107" i="4" s="1"/>
  <c r="BN107" i="4"/>
  <c r="BM92" i="4"/>
  <c r="BS92" i="4" s="1"/>
  <c r="BN92" i="4"/>
  <c r="BM126" i="4"/>
  <c r="BP126" i="4" s="1"/>
  <c r="BQ126" i="4" s="1"/>
  <c r="BN126" i="4"/>
  <c r="BM101" i="4"/>
  <c r="BS101" i="4" s="1"/>
  <c r="BN101" i="4"/>
  <c r="BM105" i="4"/>
  <c r="BP105" i="4" s="1"/>
  <c r="BQ105" i="4" s="1"/>
  <c r="BN105" i="4"/>
  <c r="BM131" i="4"/>
  <c r="BP131" i="4" s="1"/>
  <c r="BQ131" i="4" s="1"/>
  <c r="BN131" i="4"/>
  <c r="BM142" i="4"/>
  <c r="BS142" i="4" s="1"/>
  <c r="BN142" i="4"/>
  <c r="BM154" i="4"/>
  <c r="BP154" i="4" s="1"/>
  <c r="BQ154" i="4" s="1"/>
  <c r="BN154" i="4"/>
  <c r="BM121" i="4"/>
  <c r="BS121" i="4" s="1"/>
  <c r="BN121" i="4"/>
  <c r="BM83" i="4"/>
  <c r="BS83" i="4" s="1"/>
  <c r="BN83" i="4"/>
  <c r="BM153" i="4"/>
  <c r="BS153" i="4" s="1"/>
  <c r="BN153" i="4"/>
  <c r="BM111" i="4"/>
  <c r="BP111" i="4" s="1"/>
  <c r="BQ111" i="4" s="1"/>
  <c r="BN111" i="4"/>
  <c r="BM139" i="4"/>
  <c r="BP139" i="4" s="1"/>
  <c r="BQ139" i="4" s="1"/>
  <c r="BN139" i="4"/>
  <c r="BM119" i="4"/>
  <c r="BS119" i="4" s="1"/>
  <c r="BN119" i="4"/>
  <c r="BM91" i="4"/>
  <c r="BP91" i="4" s="1"/>
  <c r="BQ91" i="4" s="1"/>
  <c r="BN91" i="4"/>
  <c r="BM95" i="4"/>
  <c r="BP95" i="4" s="1"/>
  <c r="BQ95" i="4" s="1"/>
  <c r="BN95" i="4"/>
  <c r="BB124" i="4"/>
  <c r="BH124" i="4" s="1"/>
  <c r="BC124" i="4"/>
  <c r="BB39" i="4"/>
  <c r="BH39" i="4" s="1"/>
  <c r="BC39" i="4"/>
  <c r="BB49" i="4"/>
  <c r="BH49" i="4" s="1"/>
  <c r="BC49" i="4"/>
  <c r="BB64" i="4"/>
  <c r="BH64" i="4" s="1"/>
  <c r="BC64" i="4"/>
  <c r="BB106" i="4"/>
  <c r="BH106" i="4" s="1"/>
  <c r="BC106" i="4"/>
  <c r="BC66" i="4"/>
  <c r="BB66" i="4"/>
  <c r="BH66" i="4" s="1"/>
  <c r="BC32" i="4"/>
  <c r="BB32" i="4"/>
  <c r="BH32" i="4" s="1"/>
  <c r="BC153" i="4"/>
  <c r="BB153" i="4"/>
  <c r="BH153" i="4" s="1"/>
  <c r="BB139" i="4"/>
  <c r="BH139" i="4" s="1"/>
  <c r="BC139" i="4"/>
  <c r="BC85" i="4"/>
  <c r="BB85" i="4"/>
  <c r="BH85" i="4" s="1"/>
  <c r="BB81" i="4"/>
  <c r="BH81" i="4" s="1"/>
  <c r="BC81" i="4"/>
  <c r="BC67" i="4"/>
  <c r="BB67" i="4"/>
  <c r="BH67" i="4" s="1"/>
  <c r="BB63" i="4"/>
  <c r="BH63" i="4" s="1"/>
  <c r="BC63" i="4"/>
  <c r="BB98" i="4"/>
  <c r="BH98" i="4" s="1"/>
  <c r="BC98" i="4"/>
  <c r="BB50" i="4"/>
  <c r="BH50" i="4" s="1"/>
  <c r="BC50" i="4"/>
  <c r="BC62" i="4"/>
  <c r="BB62" i="4"/>
  <c r="BH62" i="4" s="1"/>
  <c r="BC44" i="4"/>
  <c r="BB44" i="4"/>
  <c r="BH44" i="4" s="1"/>
  <c r="BC129" i="4"/>
  <c r="BB129" i="4"/>
  <c r="BH129" i="4" s="1"/>
  <c r="BC149" i="4"/>
  <c r="BB149" i="4"/>
  <c r="BH149" i="4" s="1"/>
  <c r="BB155" i="4"/>
  <c r="BH155" i="4" s="1"/>
  <c r="BC155" i="4"/>
  <c r="BC69" i="4"/>
  <c r="BB69" i="4"/>
  <c r="BH69" i="4" s="1"/>
  <c r="BB127" i="4"/>
  <c r="BH127" i="4" s="1"/>
  <c r="BC127" i="4"/>
  <c r="BB65" i="4"/>
  <c r="BH65" i="4" s="1"/>
  <c r="BC65" i="4"/>
  <c r="BB113" i="4"/>
  <c r="BH113" i="4" s="1"/>
  <c r="BC113" i="4"/>
  <c r="BB51" i="4"/>
  <c r="BH51" i="4" s="1"/>
  <c r="BC51" i="4"/>
  <c r="BC87" i="4"/>
  <c r="BB87" i="4"/>
  <c r="BH87" i="4" s="1"/>
  <c r="BB150" i="4"/>
  <c r="BH150" i="4" s="1"/>
  <c r="BC150" i="4"/>
  <c r="BB114" i="4"/>
  <c r="BH114" i="4" s="1"/>
  <c r="BC114" i="4"/>
  <c r="BC82" i="4"/>
  <c r="BB82" i="4"/>
  <c r="BH82" i="4" s="1"/>
  <c r="BB96" i="4"/>
  <c r="BH96" i="4" s="1"/>
  <c r="BC96" i="4"/>
  <c r="BB47" i="4"/>
  <c r="BH47" i="4" s="1"/>
  <c r="BC47" i="4"/>
  <c r="BC125" i="4"/>
  <c r="BB125" i="4"/>
  <c r="BH125" i="4" s="1"/>
  <c r="BC93" i="4"/>
  <c r="BB93" i="4"/>
  <c r="BH93" i="4" s="1"/>
  <c r="BC29" i="4"/>
  <c r="BB29" i="4"/>
  <c r="BH29" i="4" s="1"/>
  <c r="BC89" i="4"/>
  <c r="BB89" i="4"/>
  <c r="BH89" i="4" s="1"/>
  <c r="BB25" i="4"/>
  <c r="BH25" i="4" s="1"/>
  <c r="BC25" i="4"/>
  <c r="BC75" i="4"/>
  <c r="BB75" i="4"/>
  <c r="BH75" i="4" s="1"/>
  <c r="BB11" i="4"/>
  <c r="BH11" i="4" s="1"/>
  <c r="BC11" i="4"/>
  <c r="BB12" i="4"/>
  <c r="BH12" i="4" s="1"/>
  <c r="BC12" i="4"/>
  <c r="BB34" i="4"/>
  <c r="BH34" i="4" s="1"/>
  <c r="BC34" i="4"/>
  <c r="BC16" i="4"/>
  <c r="BB16" i="4"/>
  <c r="BH16" i="4" s="1"/>
  <c r="BB146" i="4"/>
  <c r="BH146" i="4" s="1"/>
  <c r="BC146" i="4"/>
  <c r="BB152" i="4"/>
  <c r="BH152" i="4" s="1"/>
  <c r="BC152" i="4"/>
  <c r="BC74" i="4"/>
  <c r="BB74" i="4"/>
  <c r="BH74" i="4" s="1"/>
  <c r="BB10" i="4"/>
  <c r="BH10" i="4" s="1"/>
  <c r="BC10" i="4"/>
  <c r="BC70" i="4"/>
  <c r="BB70" i="4"/>
  <c r="BH70" i="4" s="1"/>
  <c r="BB118" i="4"/>
  <c r="BH118" i="4" s="1"/>
  <c r="BC118" i="4"/>
  <c r="BB56" i="4"/>
  <c r="BH56" i="4" s="1"/>
  <c r="BC56" i="4"/>
  <c r="BC76" i="4"/>
  <c r="BB76" i="4"/>
  <c r="BH76" i="4" s="1"/>
  <c r="BB109" i="4"/>
  <c r="BH109" i="4" s="1"/>
  <c r="BC109" i="4"/>
  <c r="BM93" i="4"/>
  <c r="BP93" i="4" s="1"/>
  <c r="BQ93" i="4" s="1"/>
  <c r="BN93" i="4"/>
  <c r="BM144" i="4"/>
  <c r="BS144" i="4" s="1"/>
  <c r="BN144" i="4"/>
  <c r="BM127" i="4"/>
  <c r="BP127" i="4" s="1"/>
  <c r="BQ127" i="4" s="1"/>
  <c r="BN127" i="4"/>
  <c r="BM103" i="4"/>
  <c r="BP103" i="4" s="1"/>
  <c r="BQ103" i="4" s="1"/>
  <c r="BN103" i="4"/>
  <c r="BM100" i="4"/>
  <c r="BS100" i="4" s="1"/>
  <c r="BN100" i="4"/>
  <c r="BM125" i="4"/>
  <c r="BS125" i="4" s="1"/>
  <c r="BN125" i="4"/>
  <c r="BM80" i="4"/>
  <c r="BS80" i="4" s="1"/>
  <c r="BN80" i="4"/>
  <c r="BM90" i="4"/>
  <c r="BS90" i="4" s="1"/>
  <c r="BN90" i="4"/>
  <c r="BM124" i="4"/>
  <c r="BP124" i="4" s="1"/>
  <c r="BQ124" i="4" s="1"/>
  <c r="BN124" i="4"/>
  <c r="BM86" i="4"/>
  <c r="BS86" i="4" s="1"/>
  <c r="BN86" i="4"/>
  <c r="BM118" i="4"/>
  <c r="BP118" i="4" s="1"/>
  <c r="BQ118" i="4" s="1"/>
  <c r="BN118" i="4"/>
  <c r="BM136" i="4"/>
  <c r="BS136" i="4" s="1"/>
  <c r="BN136" i="4"/>
  <c r="BM149" i="4"/>
  <c r="BP149" i="4" s="1"/>
  <c r="BQ149" i="4" s="1"/>
  <c r="BN149" i="4"/>
  <c r="BM152" i="4"/>
  <c r="BP152" i="4" s="1"/>
  <c r="BQ152" i="4" s="1"/>
  <c r="BN152" i="4"/>
  <c r="BM110" i="4"/>
  <c r="BS110" i="4" s="1"/>
  <c r="BN110" i="4"/>
  <c r="BM89" i="4"/>
  <c r="BS89" i="4" s="1"/>
  <c r="BN89" i="4"/>
  <c r="BM147" i="4"/>
  <c r="BP147" i="4" s="1"/>
  <c r="BQ147" i="4" s="1"/>
  <c r="BN147" i="4"/>
  <c r="BM82" i="4"/>
  <c r="BP82" i="4" s="1"/>
  <c r="BQ82" i="4" s="1"/>
  <c r="BN82" i="4"/>
  <c r="BM133" i="4"/>
  <c r="BS133" i="4" s="1"/>
  <c r="BN133" i="4"/>
  <c r="BM113" i="4"/>
  <c r="BS113" i="4" s="1"/>
  <c r="BN113" i="4"/>
  <c r="BM94" i="4"/>
  <c r="BP94" i="4" s="1"/>
  <c r="BQ94" i="4" s="1"/>
  <c r="BN94" i="4"/>
  <c r="R17" i="4"/>
  <c r="AF17" i="4" s="1"/>
  <c r="BP24" i="4"/>
  <c r="BQ24" i="4" s="1"/>
  <c r="BS24" i="4"/>
  <c r="BS44" i="4"/>
  <c r="BP44" i="4"/>
  <c r="BQ44" i="4" s="1"/>
  <c r="BS32" i="4"/>
  <c r="BP32" i="4"/>
  <c r="BQ32" i="4" s="1"/>
  <c r="BS56" i="4"/>
  <c r="BP56" i="4"/>
  <c r="BQ56" i="4" s="1"/>
  <c r="BP72" i="4"/>
  <c r="BQ72" i="4" s="1"/>
  <c r="BS72" i="4"/>
  <c r="BS135" i="4"/>
  <c r="BS96" i="4"/>
  <c r="BP96" i="4"/>
  <c r="BQ96" i="4" s="1"/>
  <c r="BP42" i="4"/>
  <c r="BQ42" i="4" s="1"/>
  <c r="BS42" i="4"/>
  <c r="BP22" i="4"/>
  <c r="BQ22" i="4" s="1"/>
  <c r="BS22" i="4"/>
  <c r="BS59" i="4"/>
  <c r="BP59" i="4"/>
  <c r="BQ59" i="4" s="1"/>
  <c r="BP11" i="4"/>
  <c r="BQ11" i="4" s="1"/>
  <c r="BS11" i="4"/>
  <c r="BP12" i="4"/>
  <c r="BQ12" i="4" s="1"/>
  <c r="BS12" i="4"/>
  <c r="BS128" i="4"/>
  <c r="BS85" i="4"/>
  <c r="BP85" i="4"/>
  <c r="BQ85" i="4" s="1"/>
  <c r="BP74" i="4"/>
  <c r="BQ74" i="4" s="1"/>
  <c r="BS74" i="4"/>
  <c r="BS112" i="4"/>
  <c r="BP112" i="4"/>
  <c r="BQ112" i="4" s="1"/>
  <c r="BP54" i="4"/>
  <c r="BQ54" i="4" s="1"/>
  <c r="BS54" i="4"/>
  <c r="BP58" i="4"/>
  <c r="BQ58" i="4" s="1"/>
  <c r="BS58" i="4"/>
  <c r="BP28" i="4"/>
  <c r="BQ28" i="4" s="1"/>
  <c r="BS28" i="4"/>
  <c r="BS65" i="4"/>
  <c r="BP65" i="4"/>
  <c r="BQ65" i="4" s="1"/>
  <c r="BP130" i="4"/>
  <c r="BQ130" i="4" s="1"/>
  <c r="BP15" i="4"/>
  <c r="BQ15" i="4" s="1"/>
  <c r="BS15" i="4"/>
  <c r="BS151" i="4"/>
  <c r="BP151" i="4"/>
  <c r="BQ151" i="4" s="1"/>
  <c r="BP39" i="4"/>
  <c r="BQ39" i="4" s="1"/>
  <c r="BS39" i="4"/>
  <c r="BP50" i="4"/>
  <c r="BQ50" i="4" s="1"/>
  <c r="BS50" i="4"/>
  <c r="BP70" i="4"/>
  <c r="BQ70" i="4" s="1"/>
  <c r="BS70" i="4"/>
  <c r="BS35" i="4"/>
  <c r="BP35" i="4"/>
  <c r="BQ35" i="4" s="1"/>
  <c r="BS157" i="4"/>
  <c r="BP52" i="4"/>
  <c r="BQ52" i="4" s="1"/>
  <c r="BS52" i="4"/>
  <c r="BP75" i="4"/>
  <c r="BQ75" i="4" s="1"/>
  <c r="BS75" i="4"/>
  <c r="BS41" i="4"/>
  <c r="BP41" i="4"/>
  <c r="BQ41" i="4" s="1"/>
  <c r="BS131" i="4"/>
  <c r="BP60" i="4"/>
  <c r="BQ60" i="4" s="1"/>
  <c r="BS60" i="4"/>
  <c r="BS53" i="4"/>
  <c r="BP53" i="4"/>
  <c r="BQ53" i="4" s="1"/>
  <c r="BS45" i="4"/>
  <c r="BP45" i="4"/>
  <c r="BQ45" i="4" s="1"/>
  <c r="BP34" i="4"/>
  <c r="BQ34" i="4" s="1"/>
  <c r="BS34" i="4"/>
  <c r="BP64" i="4"/>
  <c r="BQ64" i="4" s="1"/>
  <c r="BS64" i="4"/>
  <c r="BP83" i="4"/>
  <c r="BQ83" i="4" s="1"/>
  <c r="BP13" i="4"/>
  <c r="BQ13" i="4" s="1"/>
  <c r="BS13" i="4"/>
  <c r="BP47" i="4"/>
  <c r="BQ47" i="4" s="1"/>
  <c r="BS47" i="4"/>
  <c r="BS111" i="4"/>
  <c r="BS27" i="4"/>
  <c r="BP27" i="4"/>
  <c r="BQ27" i="4" s="1"/>
  <c r="BS61" i="4"/>
  <c r="BP61" i="4"/>
  <c r="BQ61" i="4" s="1"/>
  <c r="BP31" i="4"/>
  <c r="BQ31" i="4" s="1"/>
  <c r="BS31" i="4"/>
  <c r="BP68" i="4"/>
  <c r="BQ68" i="4" s="1"/>
  <c r="BS68" i="4"/>
  <c r="BP36" i="4"/>
  <c r="BQ36" i="4" s="1"/>
  <c r="BS36" i="4"/>
  <c r="BS57" i="4"/>
  <c r="BP57" i="4"/>
  <c r="BQ57" i="4" s="1"/>
  <c r="BS29" i="4"/>
  <c r="BP29" i="4"/>
  <c r="BQ29" i="4" s="1"/>
  <c r="BS138" i="4"/>
  <c r="BP138" i="4"/>
  <c r="BQ138" i="4" s="1"/>
  <c r="BS55" i="4"/>
  <c r="BP55" i="4"/>
  <c r="BQ55" i="4" s="1"/>
  <c r="BS63" i="4"/>
  <c r="BP63" i="4"/>
  <c r="BQ63" i="4" s="1"/>
  <c r="BP98" i="4"/>
  <c r="BQ98" i="4" s="1"/>
  <c r="BS51" i="4"/>
  <c r="BP51" i="4"/>
  <c r="BQ51" i="4" s="1"/>
  <c r="BP66" i="4"/>
  <c r="BQ66" i="4" s="1"/>
  <c r="BS66" i="4"/>
  <c r="BS108" i="4"/>
  <c r="BP108" i="4"/>
  <c r="BQ108" i="4" s="1"/>
  <c r="BS79" i="4"/>
  <c r="BP79" i="4"/>
  <c r="BQ79" i="4" s="1"/>
  <c r="BS114" i="4"/>
  <c r="BS21" i="4"/>
  <c r="BP21" i="4"/>
  <c r="BQ21" i="4" s="1"/>
  <c r="BP10" i="4"/>
  <c r="BQ10" i="4" s="1"/>
  <c r="BS10" i="4"/>
  <c r="BS23" i="4"/>
  <c r="BP23" i="4"/>
  <c r="BQ23" i="4" s="1"/>
  <c r="BP49" i="4"/>
  <c r="BQ49" i="4" s="1"/>
  <c r="BS49" i="4"/>
  <c r="BP40" i="4"/>
  <c r="BQ40" i="4" s="1"/>
  <c r="BS40" i="4"/>
  <c r="BS76" i="4"/>
  <c r="BP76" i="4"/>
  <c r="BQ76" i="4" s="1"/>
  <c r="BS137" i="4"/>
  <c r="BP78" i="4"/>
  <c r="BQ78" i="4" s="1"/>
  <c r="BS78" i="4"/>
  <c r="BP16" i="4"/>
  <c r="BQ16" i="4" s="1"/>
  <c r="BS16" i="4"/>
  <c r="BP132" i="4"/>
  <c r="BQ132" i="4" s="1"/>
  <c r="BS109" i="4"/>
  <c r="BP109" i="4"/>
  <c r="BQ109" i="4" s="1"/>
  <c r="BS48" i="4"/>
  <c r="BP48" i="4"/>
  <c r="BQ48" i="4" s="1"/>
  <c r="BS67" i="4"/>
  <c r="BP67" i="4"/>
  <c r="BQ67" i="4" s="1"/>
  <c r="BS19" i="4"/>
  <c r="BP19" i="4"/>
  <c r="BQ19" i="4" s="1"/>
  <c r="BP20" i="4"/>
  <c r="BQ20" i="4" s="1"/>
  <c r="BS20" i="4"/>
  <c r="BP14" i="4"/>
  <c r="BQ14" i="4" s="1"/>
  <c r="BS14" i="4"/>
  <c r="BS17" i="4"/>
  <c r="BP17" i="4"/>
  <c r="BQ17" i="4" s="1"/>
  <c r="BS37" i="4"/>
  <c r="BP37" i="4"/>
  <c r="BQ37" i="4" s="1"/>
  <c r="BS33" i="4"/>
  <c r="BP33" i="4"/>
  <c r="BQ33" i="4" s="1"/>
  <c r="BP77" i="4"/>
  <c r="BQ77" i="4" s="1"/>
  <c r="BS77" i="4"/>
  <c r="BP26" i="4"/>
  <c r="BQ26" i="4" s="1"/>
  <c r="BS26" i="4"/>
  <c r="BP18" i="4"/>
  <c r="BQ18" i="4" s="1"/>
  <c r="BS18" i="4"/>
  <c r="BP38" i="4"/>
  <c r="BQ38" i="4" s="1"/>
  <c r="BS38" i="4"/>
  <c r="BP30" i="4"/>
  <c r="BQ30" i="4" s="1"/>
  <c r="BS30" i="4"/>
  <c r="BS71" i="4"/>
  <c r="BP71" i="4"/>
  <c r="BQ71" i="4" s="1"/>
  <c r="BS43" i="4"/>
  <c r="BP43" i="4"/>
  <c r="BQ43" i="4" s="1"/>
  <c r="BS62" i="4"/>
  <c r="BP62" i="4"/>
  <c r="BQ62" i="4" s="1"/>
  <c r="BP25" i="4"/>
  <c r="BQ25" i="4" s="1"/>
  <c r="BS25" i="4"/>
  <c r="BS69" i="4"/>
  <c r="BP69" i="4"/>
  <c r="BQ69" i="4" s="1"/>
  <c r="BP46" i="4"/>
  <c r="BQ46" i="4" s="1"/>
  <c r="BS46" i="4"/>
  <c r="BP73" i="4"/>
  <c r="BQ73" i="4" s="1"/>
  <c r="BS73" i="4"/>
  <c r="BS9" i="4"/>
  <c r="BP9" i="4"/>
  <c r="BQ9" i="4" s="1"/>
  <c r="BE140" i="4"/>
  <c r="BF140" i="4" s="1"/>
  <c r="BE120" i="4"/>
  <c r="BF120" i="4" s="1"/>
  <c r="BE135" i="4"/>
  <c r="BF135" i="4" s="1"/>
  <c r="BE122" i="4"/>
  <c r="BF122" i="4" s="1"/>
  <c r="BE85" i="4"/>
  <c r="BF85" i="4" s="1"/>
  <c r="BE21" i="4"/>
  <c r="BF21" i="4" s="1"/>
  <c r="BE98" i="4"/>
  <c r="BF98" i="4" s="1"/>
  <c r="BE30" i="4"/>
  <c r="BF30" i="4" s="1"/>
  <c r="BE45" i="4"/>
  <c r="BF45" i="4" s="1"/>
  <c r="BE27" i="4"/>
  <c r="BF27" i="4" s="1"/>
  <c r="BE145" i="4"/>
  <c r="BF145" i="4" s="1"/>
  <c r="BE80" i="4"/>
  <c r="BF80" i="4" s="1"/>
  <c r="BE95" i="4"/>
  <c r="BF95" i="4" s="1"/>
  <c r="BE62" i="4"/>
  <c r="BF62" i="4" s="1"/>
  <c r="BE155" i="4"/>
  <c r="BF155" i="4" s="1"/>
  <c r="BE87" i="4"/>
  <c r="BF87" i="4" s="1"/>
  <c r="BE96" i="4"/>
  <c r="BF96" i="4" s="1"/>
  <c r="BE125" i="4"/>
  <c r="BF125" i="4" s="1"/>
  <c r="BE11" i="4"/>
  <c r="BF11" i="4" s="1"/>
  <c r="BE70" i="4"/>
  <c r="BF70" i="4" s="1"/>
  <c r="BE14" i="4"/>
  <c r="BF14" i="4" s="1"/>
  <c r="BE52" i="4"/>
  <c r="BF52" i="4" s="1"/>
  <c r="BE48" i="4"/>
  <c r="BF48" i="4" s="1"/>
  <c r="BE13" i="4"/>
  <c r="BF13" i="4" s="1"/>
  <c r="BE9" i="4"/>
  <c r="BF9" i="4" s="1"/>
  <c r="BE55" i="4"/>
  <c r="BF55" i="4" s="1"/>
  <c r="BE156" i="4"/>
  <c r="BF156" i="4" s="1"/>
  <c r="BE28" i="4"/>
  <c r="BF28" i="4" s="1"/>
  <c r="BE116" i="4"/>
  <c r="BF116" i="4" s="1"/>
  <c r="BE54" i="4"/>
  <c r="BF54" i="4" s="1"/>
  <c r="BE102" i="4"/>
  <c r="BF102" i="4" s="1"/>
  <c r="BE132" i="4"/>
  <c r="BF132" i="4" s="1"/>
  <c r="BE108" i="4"/>
  <c r="BF108" i="4" s="1"/>
  <c r="BE104" i="4"/>
  <c r="BF104" i="4" s="1"/>
  <c r="BE83" i="4"/>
  <c r="BF83" i="4" s="1"/>
  <c r="BE151" i="4"/>
  <c r="BF151" i="4" s="1"/>
  <c r="BE115" i="4"/>
  <c r="BF115" i="4" s="1"/>
  <c r="BE128" i="4"/>
  <c r="BF128" i="4" s="1"/>
  <c r="BE105" i="4"/>
  <c r="BF105" i="4" s="1"/>
  <c r="BE117" i="4"/>
  <c r="BF117" i="4" s="1"/>
  <c r="BE107" i="4"/>
  <c r="BF107" i="4" s="1"/>
  <c r="BE88" i="4"/>
  <c r="BF88" i="4" s="1"/>
  <c r="BP8" i="4"/>
  <c r="AG25" i="4"/>
  <c r="R86" i="4"/>
  <c r="AF86" i="4" s="1"/>
  <c r="R26" i="4"/>
  <c r="BB8" i="4"/>
  <c r="R72" i="4"/>
  <c r="AF72" i="4" s="1"/>
  <c r="R21" i="4"/>
  <c r="AF21" i="4" s="1"/>
  <c r="R16" i="4"/>
  <c r="AF16" i="4" s="1"/>
  <c r="R94" i="4"/>
  <c r="AF94" i="4" s="1"/>
  <c r="R112" i="4"/>
  <c r="AF112" i="4" s="1"/>
  <c r="R28" i="4"/>
  <c r="AF28" i="4" s="1"/>
  <c r="R75" i="4"/>
  <c r="AF75" i="4" s="1"/>
  <c r="R127" i="4"/>
  <c r="AF127" i="4" s="1"/>
  <c r="R147" i="4"/>
  <c r="AF147" i="4" s="1"/>
  <c r="R154" i="4"/>
  <c r="AF154" i="4" s="1"/>
  <c r="R15" i="4"/>
  <c r="AF15" i="4" s="1"/>
  <c r="R74" i="4"/>
  <c r="AF74" i="4" s="1"/>
  <c r="R109" i="4"/>
  <c r="AF109" i="4" s="1"/>
  <c r="R39" i="4"/>
  <c r="AF39" i="4" s="1"/>
  <c r="R44" i="4"/>
  <c r="AF44" i="4" s="1"/>
  <c r="R13" i="4"/>
  <c r="AF13" i="4" s="1"/>
  <c r="R37" i="4"/>
  <c r="AF37" i="4" s="1"/>
  <c r="R14" i="4"/>
  <c r="AF14" i="4" s="1"/>
  <c r="R138" i="4"/>
  <c r="AF138" i="4" s="1"/>
  <c r="R52" i="4"/>
  <c r="AF52" i="4" s="1"/>
  <c r="R40" i="4"/>
  <c r="AF40" i="4" s="1"/>
  <c r="R60" i="4"/>
  <c r="AF60" i="4" s="1"/>
  <c r="R36" i="4"/>
  <c r="AF36" i="4" s="1"/>
  <c r="R58" i="4"/>
  <c r="AF58" i="4" s="1"/>
  <c r="R54" i="4"/>
  <c r="AF54" i="4" s="1"/>
  <c r="R59" i="4"/>
  <c r="AF59" i="4" s="1"/>
  <c r="R148" i="4"/>
  <c r="AF148" i="4" s="1"/>
  <c r="R157" i="4"/>
  <c r="R116" i="4"/>
  <c r="AF116" i="4" s="1"/>
  <c r="R55" i="4"/>
  <c r="AF55" i="4" s="1"/>
  <c r="R79" i="4"/>
  <c r="AF79" i="4" s="1"/>
  <c r="R57" i="4"/>
  <c r="AF57" i="4" s="1"/>
  <c r="R18" i="4"/>
  <c r="AF18" i="4" s="1"/>
  <c r="R156" i="4"/>
  <c r="AF156" i="4" s="1"/>
  <c r="R102" i="4"/>
  <c r="AF102" i="4" s="1"/>
  <c r="R99" i="4"/>
  <c r="AF99" i="4" s="1"/>
  <c r="R130" i="4"/>
  <c r="AF130" i="4" s="1"/>
  <c r="R77" i="4"/>
  <c r="AF77" i="4" s="1"/>
  <c r="R19" i="4"/>
  <c r="AF19" i="4" s="1"/>
  <c r="R97" i="4"/>
  <c r="AF97" i="4" s="1"/>
  <c r="R141" i="4"/>
  <c r="AF141" i="4" s="1"/>
  <c r="R137" i="4"/>
  <c r="AF137" i="4" s="1"/>
  <c r="R126" i="4"/>
  <c r="AF126" i="4" s="1"/>
  <c r="R117" i="4"/>
  <c r="AF117" i="4" s="1"/>
  <c r="R103" i="4"/>
  <c r="AF103" i="4" s="1"/>
  <c r="R88" i="4"/>
  <c r="AF88" i="4" s="1"/>
  <c r="R101" i="4"/>
  <c r="AF101" i="4" s="1"/>
  <c r="R108" i="4"/>
  <c r="AF108" i="4" s="1"/>
  <c r="R33" i="4"/>
  <c r="AF33" i="4" s="1"/>
  <c r="R45" i="4"/>
  <c r="AF45" i="4" s="1"/>
  <c r="R144" i="4"/>
  <c r="AF144" i="4" s="1"/>
  <c r="R87" i="4"/>
  <c r="AF87" i="4" s="1"/>
  <c r="R128" i="4"/>
  <c r="AF128" i="4" s="1"/>
  <c r="R34" i="4"/>
  <c r="AF34" i="4" s="1"/>
  <c r="R146" i="4"/>
  <c r="AF146" i="4" s="1"/>
  <c r="R48" i="4"/>
  <c r="AF48" i="4" s="1"/>
  <c r="R132" i="4"/>
  <c r="AF132" i="4" s="1"/>
  <c r="R123" i="4"/>
  <c r="AF123" i="4" s="1"/>
  <c r="R122" i="4"/>
  <c r="AF122" i="4" s="1"/>
  <c r="R49" i="4"/>
  <c r="AF49" i="4" s="1"/>
  <c r="R43" i="4"/>
  <c r="AF43" i="4" s="1"/>
  <c r="R104" i="4"/>
  <c r="AF104" i="4" s="1"/>
  <c r="R124" i="4"/>
  <c r="AF124" i="4" s="1"/>
  <c r="R111" i="4"/>
  <c r="AF111" i="4" s="1"/>
  <c r="R84" i="4"/>
  <c r="AF84" i="4" s="1"/>
  <c r="R35" i="4"/>
  <c r="AF35" i="4" s="1"/>
  <c r="R140" i="4"/>
  <c r="AF140" i="4" s="1"/>
  <c r="R107" i="4"/>
  <c r="AF107" i="4" s="1"/>
  <c r="R134" i="4"/>
  <c r="AF134" i="4" s="1"/>
  <c r="R42" i="4"/>
  <c r="AF42" i="4" s="1"/>
  <c r="R24" i="4"/>
  <c r="AF24" i="4" s="1"/>
  <c r="R125" i="4"/>
  <c r="AF125" i="4" s="1"/>
  <c r="R151" i="4"/>
  <c r="AF151" i="4" s="1"/>
  <c r="R65" i="4"/>
  <c r="AF65" i="4" s="1"/>
  <c r="R118" i="4"/>
  <c r="AF118" i="4" s="1"/>
  <c r="R113" i="4"/>
  <c r="AF113" i="4" s="1"/>
  <c r="R46" i="4"/>
  <c r="AF46" i="4" s="1"/>
  <c r="R98" i="4"/>
  <c r="AF98" i="4" s="1"/>
  <c r="R139" i="4"/>
  <c r="AF139" i="4" s="1"/>
  <c r="R153" i="4"/>
  <c r="AF153" i="4" s="1"/>
  <c r="R90" i="4"/>
  <c r="AF90" i="4" s="1"/>
  <c r="R133" i="4"/>
  <c r="AF133" i="4" s="1"/>
  <c r="R41" i="4"/>
  <c r="AF41" i="4" s="1"/>
  <c r="R23" i="4"/>
  <c r="AF23" i="4" s="1"/>
  <c r="R152" i="4"/>
  <c r="AF152" i="4" s="1"/>
  <c r="R82" i="4"/>
  <c r="AF82" i="4" s="1"/>
  <c r="R10" i="4"/>
  <c r="AF10" i="4" s="1"/>
  <c r="R12" i="4"/>
  <c r="AF12" i="4" s="1"/>
  <c r="R51" i="4"/>
  <c r="AF51" i="4" s="1"/>
  <c r="R96" i="4"/>
  <c r="AF96" i="4" s="1"/>
  <c r="R143" i="4"/>
  <c r="AF143" i="4" s="1"/>
  <c r="R131" i="4"/>
  <c r="AF131" i="4" s="1"/>
  <c r="R145" i="4"/>
  <c r="AF145" i="4" s="1"/>
  <c r="R29" i="4"/>
  <c r="AF29" i="4" s="1"/>
  <c r="R11" i="4"/>
  <c r="AF11" i="4" s="1"/>
  <c r="R66" i="4"/>
  <c r="AF66" i="4" s="1"/>
  <c r="R89" i="4"/>
  <c r="AF89" i="4" s="1"/>
  <c r="R80" i="4"/>
  <c r="AF80" i="4" s="1"/>
  <c r="R7" i="4"/>
  <c r="AF7" i="4" s="1"/>
  <c r="R149" i="4"/>
  <c r="AF149" i="4" s="1"/>
  <c r="R27" i="4"/>
  <c r="AF27" i="4" s="1"/>
  <c r="R69" i="4"/>
  <c r="AF69" i="4" s="1"/>
  <c r="R76" i="4"/>
  <c r="AF76" i="4" s="1"/>
  <c r="R81" i="4"/>
  <c r="AF81" i="4" s="1"/>
  <c r="R155" i="4"/>
  <c r="AF155" i="4" s="1"/>
  <c r="R68" i="4"/>
  <c r="AF68" i="4" s="1"/>
  <c r="R115" i="4"/>
  <c r="AF115" i="4" s="1"/>
  <c r="R22" i="4"/>
  <c r="AF22" i="4" s="1"/>
  <c r="R83" i="4"/>
  <c r="AF83" i="4" s="1"/>
  <c r="R56" i="4"/>
  <c r="AF56" i="4" s="1"/>
  <c r="R129" i="4"/>
  <c r="AF129" i="4" s="1"/>
  <c r="R135" i="4"/>
  <c r="AF135" i="4" s="1"/>
  <c r="R110" i="4"/>
  <c r="AF110" i="4" s="1"/>
  <c r="R50" i="4"/>
  <c r="AF50" i="4" s="1"/>
  <c r="R121" i="4"/>
  <c r="AF121" i="4" s="1"/>
  <c r="R136" i="4"/>
  <c r="AF136" i="4" s="1"/>
  <c r="R119" i="4"/>
  <c r="AF119" i="4" s="1"/>
  <c r="R38" i="4"/>
  <c r="AF38" i="4" s="1"/>
  <c r="R31" i="4"/>
  <c r="AF31" i="4" s="1"/>
  <c r="R100" i="4"/>
  <c r="AF100" i="4" s="1"/>
  <c r="R64" i="4"/>
  <c r="AF64" i="4" s="1"/>
  <c r="R71" i="4"/>
  <c r="AF71" i="4" s="1"/>
  <c r="R63" i="4"/>
  <c r="AF63" i="4" s="1"/>
  <c r="R114" i="4"/>
  <c r="AF114" i="4" s="1"/>
  <c r="R67" i="4"/>
  <c r="AF67" i="4" s="1"/>
  <c r="R20" i="4"/>
  <c r="AF20" i="4" s="1"/>
  <c r="R91" i="4"/>
  <c r="AF91" i="4" s="1"/>
  <c r="R32" i="4"/>
  <c r="AF32" i="4" s="1"/>
  <c r="R142" i="4"/>
  <c r="AF142" i="4" s="1"/>
  <c r="R106" i="4"/>
  <c r="AF106" i="4" s="1"/>
  <c r="R78" i="4"/>
  <c r="AF78" i="4" s="1"/>
  <c r="R150" i="4"/>
  <c r="AF150" i="4" s="1"/>
  <c r="R73" i="4"/>
  <c r="AF73" i="4" s="1"/>
  <c r="R70" i="4"/>
  <c r="AF70" i="4" s="1"/>
  <c r="R47" i="4"/>
  <c r="AF47" i="4" s="1"/>
  <c r="R62" i="4"/>
  <c r="AF62" i="4" s="1"/>
  <c r="R93" i="4"/>
  <c r="AF93" i="4" s="1"/>
  <c r="R120" i="4"/>
  <c r="AF120" i="4" s="1"/>
  <c r="R85" i="4"/>
  <c r="AF85" i="4" s="1"/>
  <c r="R61" i="4"/>
  <c r="AF61" i="4" s="1"/>
  <c r="R9" i="4"/>
  <c r="AF9" i="4" s="1"/>
  <c r="R92" i="4"/>
  <c r="AF92" i="4" s="1"/>
  <c r="R8" i="4"/>
  <c r="R95" i="4"/>
  <c r="AF95" i="4" s="1"/>
  <c r="R30" i="4"/>
  <c r="AF30" i="4" s="1"/>
  <c r="R105" i="4"/>
  <c r="AF105" i="4" s="1"/>
  <c r="R53" i="4"/>
  <c r="AF53" i="4" s="1"/>
  <c r="B286" i="2"/>
  <c r="B285" i="2"/>
  <c r="B282" i="2"/>
  <c r="B281" i="2"/>
  <c r="B280" i="2"/>
  <c r="B279" i="2"/>
  <c r="B278" i="2"/>
  <c r="BE39" i="4" l="1"/>
  <c r="BF39" i="4" s="1"/>
  <c r="BE127" i="4"/>
  <c r="BF127" i="4" s="1"/>
  <c r="BE41" i="4"/>
  <c r="BF41" i="4" s="1"/>
  <c r="BP119" i="4"/>
  <c r="BQ119" i="4" s="1"/>
  <c r="BP102" i="4"/>
  <c r="BQ102" i="4" s="1"/>
  <c r="BE29" i="4"/>
  <c r="BF29" i="4" s="1"/>
  <c r="BE26" i="4"/>
  <c r="BF26" i="4" s="1"/>
  <c r="BE67" i="4"/>
  <c r="BF67" i="4" s="1"/>
  <c r="BS81" i="4"/>
  <c r="BE129" i="4"/>
  <c r="BF129" i="4" s="1"/>
  <c r="BE25" i="4"/>
  <c r="BF25" i="4" s="1"/>
  <c r="BP144" i="4"/>
  <c r="BQ144" i="4" s="1"/>
  <c r="BE56" i="4"/>
  <c r="BF56" i="4" s="1"/>
  <c r="BE66" i="4"/>
  <c r="BF66" i="4" s="1"/>
  <c r="BP99" i="4"/>
  <c r="BQ99" i="4" s="1"/>
  <c r="BE100" i="4"/>
  <c r="BF100" i="4" s="1"/>
  <c r="BE101" i="4"/>
  <c r="BF101" i="4" s="1"/>
  <c r="BE144" i="4"/>
  <c r="BF144" i="4" s="1"/>
  <c r="BE36" i="4"/>
  <c r="BF36" i="4" s="1"/>
  <c r="BE15" i="4"/>
  <c r="BF15" i="4" s="1"/>
  <c r="BE99" i="4"/>
  <c r="BF99" i="4" s="1"/>
  <c r="BS123" i="4"/>
  <c r="BE153" i="4"/>
  <c r="BF153" i="4" s="1"/>
  <c r="BE114" i="4"/>
  <c r="BF114" i="4" s="1"/>
  <c r="BE22" i="4"/>
  <c r="BF22" i="4" s="1"/>
  <c r="BE71" i="4"/>
  <c r="BF71" i="4" s="1"/>
  <c r="BE94" i="4"/>
  <c r="BF94" i="4" s="1"/>
  <c r="BS82" i="4"/>
  <c r="BP129" i="4"/>
  <c r="BQ129" i="4" s="1"/>
  <c r="BP148" i="4"/>
  <c r="BQ148" i="4" s="1"/>
  <c r="BE126" i="4"/>
  <c r="BF126" i="4" s="1"/>
  <c r="BE97" i="4"/>
  <c r="BF97" i="4" s="1"/>
  <c r="BE147" i="4"/>
  <c r="BF147" i="4" s="1"/>
  <c r="BE74" i="4"/>
  <c r="BF74" i="4" s="1"/>
  <c r="BP101" i="4"/>
  <c r="BQ101" i="4" s="1"/>
  <c r="BE123" i="4"/>
  <c r="BF123" i="4" s="1"/>
  <c r="BE34" i="4"/>
  <c r="BF34" i="4" s="1"/>
  <c r="BE113" i="4"/>
  <c r="BF113" i="4" s="1"/>
  <c r="BE136" i="4"/>
  <c r="BF136" i="4" s="1"/>
  <c r="BP84" i="4"/>
  <c r="BQ84" i="4" s="1"/>
  <c r="BS143" i="4"/>
  <c r="BS145" i="4"/>
  <c r="BE157" i="4"/>
  <c r="BF157" i="4" s="1"/>
  <c r="BE148" i="4"/>
  <c r="BF148" i="4" s="1"/>
  <c r="BE119" i="4"/>
  <c r="BF119" i="4" s="1"/>
  <c r="BE64" i="4"/>
  <c r="BF64" i="4" s="1"/>
  <c r="BE23" i="4"/>
  <c r="BF23" i="4" s="1"/>
  <c r="BE60" i="4"/>
  <c r="BF60" i="4" s="1"/>
  <c r="BP86" i="4"/>
  <c r="BQ86" i="4" s="1"/>
  <c r="BS95" i="4"/>
  <c r="BS154" i="4"/>
  <c r="BP97" i="4"/>
  <c r="BQ97" i="4" s="1"/>
  <c r="BP92" i="4"/>
  <c r="BQ92" i="4" s="1"/>
  <c r="BS117" i="4"/>
  <c r="BP141" i="4"/>
  <c r="BQ141" i="4" s="1"/>
  <c r="BS152" i="4"/>
  <c r="BP125" i="4"/>
  <c r="BQ125" i="4" s="1"/>
  <c r="BP136" i="4"/>
  <c r="BQ136" i="4" s="1"/>
  <c r="BP90" i="4"/>
  <c r="BQ90" i="4" s="1"/>
  <c r="BE109" i="4"/>
  <c r="BF109" i="4" s="1"/>
  <c r="BE146" i="4"/>
  <c r="BF146" i="4" s="1"/>
  <c r="BE86" i="4"/>
  <c r="BF86" i="4" s="1"/>
  <c r="BP113" i="4"/>
  <c r="BQ113" i="4" s="1"/>
  <c r="BP89" i="4"/>
  <c r="BQ89" i="4" s="1"/>
  <c r="BS103" i="4"/>
  <c r="BS105" i="4"/>
  <c r="BE33" i="4"/>
  <c r="BF33" i="4" s="1"/>
  <c r="BE58" i="4"/>
  <c r="BF58" i="4" s="1"/>
  <c r="BE134" i="4"/>
  <c r="BF134" i="4" s="1"/>
  <c r="BE137" i="4"/>
  <c r="BF137" i="4" s="1"/>
  <c r="BE35" i="4"/>
  <c r="BF35" i="4" s="1"/>
  <c r="BE103" i="4"/>
  <c r="BF103" i="4" s="1"/>
  <c r="BE138" i="4"/>
  <c r="BF138" i="4" s="1"/>
  <c r="BP104" i="4"/>
  <c r="BQ104" i="4" s="1"/>
  <c r="BS87" i="4"/>
  <c r="BP116" i="4"/>
  <c r="BQ116" i="4" s="1"/>
  <c r="BP146" i="4"/>
  <c r="BQ146" i="4" s="1"/>
  <c r="BS156" i="4"/>
  <c r="BP155" i="4"/>
  <c r="BQ155" i="4" s="1"/>
  <c r="BE141" i="4"/>
  <c r="BF141" i="4" s="1"/>
  <c r="BE106" i="4"/>
  <c r="BF106" i="4" s="1"/>
  <c r="BE130" i="4"/>
  <c r="BF130" i="4" s="1"/>
  <c r="BE18" i="4"/>
  <c r="BF18" i="4" s="1"/>
  <c r="BE31" i="4"/>
  <c r="BF31" i="4" s="1"/>
  <c r="BP153" i="4"/>
  <c r="BQ153" i="4" s="1"/>
  <c r="BP88" i="4"/>
  <c r="BQ88" i="4" s="1"/>
  <c r="BE38" i="4"/>
  <c r="BF38" i="4" s="1"/>
  <c r="BE57" i="4"/>
  <c r="BF57" i="4" s="1"/>
  <c r="BE78" i="4"/>
  <c r="BF78" i="4" s="1"/>
  <c r="BE20" i="4"/>
  <c r="BF20" i="4" s="1"/>
  <c r="BE124" i="4"/>
  <c r="BF124" i="4" s="1"/>
  <c r="BP150" i="4"/>
  <c r="BQ150" i="4" s="1"/>
  <c r="BP142" i="4"/>
  <c r="BQ142" i="4" s="1"/>
  <c r="BE143" i="4"/>
  <c r="BF143" i="4" s="1"/>
  <c r="BE53" i="4"/>
  <c r="BF53" i="4" s="1"/>
  <c r="BE63" i="4"/>
  <c r="BF63" i="4" s="1"/>
  <c r="BE51" i="4"/>
  <c r="BF51" i="4" s="1"/>
  <c r="BE133" i="4"/>
  <c r="BF133" i="4" s="1"/>
  <c r="BP107" i="4"/>
  <c r="BQ107" i="4" s="1"/>
  <c r="BE10" i="4"/>
  <c r="BF10" i="4" s="1"/>
  <c r="BP115" i="4"/>
  <c r="BQ115" i="4" s="1"/>
  <c r="BE81" i="4"/>
  <c r="BF81" i="4" s="1"/>
  <c r="BS91" i="4"/>
  <c r="BS126" i="4"/>
  <c r="BP140" i="4"/>
  <c r="BQ140" i="4" s="1"/>
  <c r="BP134" i="4"/>
  <c r="BQ134" i="4" s="1"/>
  <c r="BS93" i="4"/>
  <c r="BS139" i="4"/>
  <c r="BP110" i="4"/>
  <c r="BQ110" i="4" s="1"/>
  <c r="BS149" i="4"/>
  <c r="BS94" i="4"/>
  <c r="BE68" i="4"/>
  <c r="BF68" i="4" s="1"/>
  <c r="BS124" i="4"/>
  <c r="BE77" i="4"/>
  <c r="BF77" i="4" s="1"/>
  <c r="BE75" i="4"/>
  <c r="BF75" i="4" s="1"/>
  <c r="BE82" i="4"/>
  <c r="BF82" i="4" s="1"/>
  <c r="BE44" i="4"/>
  <c r="BF44" i="4" s="1"/>
  <c r="BE84" i="4"/>
  <c r="BF84" i="4" s="1"/>
  <c r="BE40" i="4"/>
  <c r="BF40" i="4" s="1"/>
  <c r="BE76" i="4"/>
  <c r="BF76" i="4" s="1"/>
  <c r="BE93" i="4"/>
  <c r="BF93" i="4" s="1"/>
  <c r="BE69" i="4"/>
  <c r="BF69" i="4" s="1"/>
  <c r="BE72" i="4"/>
  <c r="BF72" i="4" s="1"/>
  <c r="BE90" i="4"/>
  <c r="BF90" i="4" s="1"/>
  <c r="BE131" i="4"/>
  <c r="BF131" i="4" s="1"/>
  <c r="BE91" i="4"/>
  <c r="BF91" i="4" s="1"/>
  <c r="BE112" i="4"/>
  <c r="BF112" i="4" s="1"/>
  <c r="BE32" i="4"/>
  <c r="BF32" i="4" s="1"/>
  <c r="BP133" i="4"/>
  <c r="BQ133" i="4" s="1"/>
  <c r="BS147" i="4"/>
  <c r="BS118" i="4"/>
  <c r="BS127" i="4"/>
  <c r="BP121" i="4"/>
  <c r="BQ121" i="4" s="1"/>
  <c r="BP100" i="4"/>
  <c r="BQ100" i="4" s="1"/>
  <c r="BS120" i="4"/>
  <c r="BP122" i="4"/>
  <c r="BQ122" i="4" s="1"/>
  <c r="BP106" i="4"/>
  <c r="BQ106" i="4" s="1"/>
  <c r="BP80" i="4"/>
  <c r="BQ80" i="4" s="1"/>
  <c r="BE92" i="4"/>
  <c r="BF92" i="4" s="1"/>
  <c r="BE59" i="4"/>
  <c r="BF59" i="4" s="1"/>
  <c r="BE16" i="4"/>
  <c r="BF16" i="4" s="1"/>
  <c r="BE111" i="4"/>
  <c r="BF111" i="4" s="1"/>
  <c r="BE79" i="4"/>
  <c r="BF79" i="4" s="1"/>
  <c r="BE24" i="4"/>
  <c r="BF24" i="4" s="1"/>
  <c r="BE42" i="4"/>
  <c r="BF42" i="4" s="1"/>
  <c r="BE110" i="4"/>
  <c r="BF110" i="4" s="1"/>
  <c r="BE43" i="4"/>
  <c r="BF43" i="4" s="1"/>
  <c r="BE61" i="4"/>
  <c r="BF61" i="4" s="1"/>
  <c r="BE46" i="4"/>
  <c r="BF46" i="4" s="1"/>
  <c r="BE19" i="4"/>
  <c r="BF19" i="4" s="1"/>
  <c r="BE37" i="4"/>
  <c r="BF37" i="4" s="1"/>
  <c r="BE121" i="4"/>
  <c r="BF121" i="4" s="1"/>
  <c r="BE154" i="4"/>
  <c r="BF154" i="4" s="1"/>
  <c r="BE73" i="4"/>
  <c r="BF73" i="4" s="1"/>
  <c r="BE49" i="4"/>
  <c r="BF49" i="4" s="1"/>
  <c r="BE118" i="4"/>
  <c r="BF118" i="4" s="1"/>
  <c r="BE152" i="4"/>
  <c r="BF152" i="4" s="1"/>
  <c r="BE12" i="4"/>
  <c r="BF12" i="4" s="1"/>
  <c r="BE89" i="4"/>
  <c r="BF89" i="4" s="1"/>
  <c r="BE47" i="4"/>
  <c r="BF47" i="4" s="1"/>
  <c r="BE150" i="4"/>
  <c r="BF150" i="4" s="1"/>
  <c r="BE65" i="4"/>
  <c r="BF65" i="4" s="1"/>
  <c r="BE149" i="4"/>
  <c r="BF149" i="4" s="1"/>
  <c r="BE50" i="4"/>
  <c r="BF50" i="4" s="1"/>
  <c r="BE142" i="4"/>
  <c r="BF142" i="4" s="1"/>
  <c r="BE17" i="4"/>
  <c r="BF17" i="4" s="1"/>
  <c r="BE139" i="4"/>
  <c r="BF139" i="4" s="1"/>
  <c r="BE8" i="4"/>
  <c r="BF8" i="4" s="1"/>
  <c r="BH8" i="4"/>
  <c r="AF8" i="4"/>
  <c r="AG17" i="4"/>
  <c r="AG157" i="4"/>
  <c r="AF157" i="4"/>
  <c r="AF26" i="4"/>
  <c r="AG26" i="4"/>
  <c r="AG8" i="4"/>
  <c r="AG47" i="4"/>
  <c r="AG91" i="4"/>
  <c r="AG31" i="4"/>
  <c r="AG129" i="4"/>
  <c r="AG76" i="4"/>
  <c r="AG11" i="4"/>
  <c r="AG143" i="4"/>
  <c r="AG41" i="4"/>
  <c r="AG118" i="4"/>
  <c r="AG124" i="4"/>
  <c r="AG146" i="4"/>
  <c r="AG126" i="4"/>
  <c r="AG102" i="4"/>
  <c r="AG148" i="4"/>
  <c r="AG138" i="4"/>
  <c r="AG15" i="4"/>
  <c r="AG105" i="4"/>
  <c r="AG120" i="4"/>
  <c r="AG20" i="4"/>
  <c r="AG38" i="4"/>
  <c r="AG56" i="4"/>
  <c r="AG69" i="4"/>
  <c r="AG96" i="4"/>
  <c r="AG133" i="4"/>
  <c r="AG65" i="4"/>
  <c r="AG35" i="4"/>
  <c r="AG104" i="4"/>
  <c r="AG34" i="4"/>
  <c r="AG88" i="4"/>
  <c r="AG77" i="4"/>
  <c r="AG55" i="4"/>
  <c r="AG59" i="4"/>
  <c r="AG14" i="4"/>
  <c r="AG154" i="4"/>
  <c r="AG21" i="4"/>
  <c r="AG95" i="4"/>
  <c r="AG61" i="4"/>
  <c r="AG62" i="4"/>
  <c r="AG150" i="4"/>
  <c r="AG32" i="4"/>
  <c r="AG114" i="4"/>
  <c r="AG100" i="4"/>
  <c r="AG136" i="4"/>
  <c r="AG135" i="4"/>
  <c r="AG22" i="4"/>
  <c r="AG81" i="4"/>
  <c r="AG149" i="4"/>
  <c r="AG66" i="4"/>
  <c r="AG131" i="4"/>
  <c r="AG12" i="4"/>
  <c r="AG23" i="4"/>
  <c r="AG153" i="4"/>
  <c r="AG113" i="4"/>
  <c r="AG125" i="4"/>
  <c r="AG107" i="4"/>
  <c r="AG111" i="4"/>
  <c r="AG49" i="4"/>
  <c r="AG48" i="4"/>
  <c r="AG87" i="4"/>
  <c r="AG108" i="4"/>
  <c r="AG117" i="4"/>
  <c r="AG97" i="4"/>
  <c r="AG99" i="4"/>
  <c r="AG57" i="4"/>
  <c r="AG58" i="4"/>
  <c r="AG52" i="4"/>
  <c r="AG13" i="4"/>
  <c r="AG74" i="4"/>
  <c r="AG127" i="4"/>
  <c r="AG94" i="4"/>
  <c r="AG53" i="4"/>
  <c r="AG85" i="4"/>
  <c r="AG78" i="4"/>
  <c r="AG63" i="4"/>
  <c r="AG121" i="4"/>
  <c r="AG115" i="4"/>
  <c r="AG7" i="4"/>
  <c r="AG10" i="4"/>
  <c r="AG139" i="4"/>
  <c r="AG24" i="4"/>
  <c r="AG140" i="4"/>
  <c r="AG122" i="4"/>
  <c r="AG144" i="4"/>
  <c r="AG101" i="4"/>
  <c r="AG19" i="4"/>
  <c r="AG79" i="4"/>
  <c r="AG36" i="4"/>
  <c r="AG44" i="4"/>
  <c r="AG75" i="4"/>
  <c r="AG16" i="4"/>
  <c r="AG92" i="4"/>
  <c r="AG70" i="4"/>
  <c r="AG106" i="4"/>
  <c r="AG71" i="4"/>
  <c r="AG50" i="4"/>
  <c r="AG68" i="4"/>
  <c r="AG80" i="4"/>
  <c r="AG29" i="4"/>
  <c r="AG82" i="4"/>
  <c r="AG98" i="4"/>
  <c r="AG42" i="4"/>
  <c r="AG123" i="4"/>
  <c r="AG45" i="4"/>
  <c r="AG137" i="4"/>
  <c r="AG156" i="4"/>
  <c r="AG60" i="4"/>
  <c r="AG39" i="4"/>
  <c r="AG28" i="4"/>
  <c r="AG86" i="4"/>
  <c r="AG30" i="4"/>
  <c r="AG9" i="4"/>
  <c r="AG93" i="4"/>
  <c r="AG73" i="4"/>
  <c r="AG142" i="4"/>
  <c r="AG67" i="4"/>
  <c r="AG64" i="4"/>
  <c r="AG119" i="4"/>
  <c r="AG110" i="4"/>
  <c r="AG83" i="4"/>
  <c r="AG155" i="4"/>
  <c r="AG27" i="4"/>
  <c r="AG89" i="4"/>
  <c r="AG145" i="4"/>
  <c r="AG51" i="4"/>
  <c r="AG152" i="4"/>
  <c r="AG90" i="4"/>
  <c r="AG46" i="4"/>
  <c r="AG151" i="4"/>
  <c r="AG134" i="4"/>
  <c r="AG84" i="4"/>
  <c r="AG43" i="4"/>
  <c r="AG132" i="4"/>
  <c r="AG128" i="4"/>
  <c r="AG33" i="4"/>
  <c r="AG103" i="4"/>
  <c r="AG141" i="4"/>
  <c r="AG130" i="4"/>
  <c r="AG18" i="4"/>
  <c r="AG116" i="4"/>
  <c r="AG54" i="4"/>
  <c r="AG40" i="4"/>
  <c r="AG37" i="4"/>
  <c r="AG109" i="4"/>
  <c r="AG147" i="4"/>
  <c r="AG112" i="4"/>
  <c r="AG72" i="4"/>
  <c r="B167" i="2"/>
  <c r="B50" i="3"/>
  <c r="B165" i="2" s="1"/>
  <c r="B164" i="2"/>
  <c r="B163" i="2"/>
  <c r="B162" i="2"/>
  <c r="B161" i="2"/>
  <c r="B157" i="2"/>
  <c r="B45" i="3"/>
  <c r="B155" i="2" s="1"/>
  <c r="B158" i="2" l="1"/>
  <c r="B166" i="2"/>
  <c r="H54" i="1" s="1"/>
  <c r="B168" i="2"/>
  <c r="B253" i="2"/>
  <c r="B36" i="3"/>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O8" i="10" l="1"/>
  <c r="O7" i="10"/>
  <c r="O8" i="5"/>
  <c r="O7" i="5"/>
  <c r="B169" i="2"/>
  <c r="H56" i="1"/>
  <c r="B170" i="2"/>
  <c r="B259" i="2"/>
  <c r="AP8" i="10" l="1"/>
  <c r="AM8" i="10"/>
  <c r="AG8" i="10"/>
  <c r="AJ8" i="10"/>
  <c r="AM7" i="10"/>
  <c r="AG7" i="10"/>
  <c r="AP7" i="10"/>
  <c r="AJ7" i="10"/>
  <c r="B36" i="5"/>
  <c r="AL8" i="10" l="1"/>
  <c r="AK8" i="10"/>
  <c r="AR7" i="10"/>
  <c r="AQ7" i="10"/>
  <c r="AI8" i="10"/>
  <c r="AH8" i="10"/>
  <c r="AL7" i="10"/>
  <c r="AK7" i="10"/>
  <c r="AH7" i="10"/>
  <c r="AI7" i="10"/>
  <c r="AN8" i="10"/>
  <c r="AO8" i="10"/>
  <c r="AS8" i="10"/>
  <c r="AO7" i="10"/>
  <c r="AN7" i="10"/>
  <c r="AS7" i="10"/>
  <c r="AR8" i="10"/>
  <c r="AQ8" i="10"/>
  <c r="B238" i="2"/>
  <c r="B63" i="5" s="1"/>
  <c r="B240" i="2"/>
  <c r="B64" i="5" s="1"/>
  <c r="B270" i="2"/>
  <c r="B272" i="2"/>
  <c r="B268" i="2"/>
  <c r="B33" i="5"/>
  <c r="AT8" i="10" l="1"/>
  <c r="AU8" i="10"/>
  <c r="AU7" i="10"/>
  <c r="AT7" i="10"/>
  <c r="B65" i="5"/>
  <c r="B67" i="5"/>
  <c r="B67" i="10"/>
  <c r="B69" i="5"/>
  <c r="AF7" i="5" s="1"/>
  <c r="B66" i="5"/>
  <c r="B71" i="5"/>
  <c r="B72" i="5"/>
  <c r="AJ7" i="5" s="1"/>
  <c r="B70" i="5"/>
  <c r="AM7" i="5" s="1"/>
  <c r="B131" i="2"/>
  <c r="B151" i="2" s="1"/>
  <c r="B130" i="2"/>
  <c r="B150" i="2" s="1"/>
  <c r="B126" i="2"/>
  <c r="B115" i="2"/>
  <c r="B110" i="2"/>
  <c r="B109" i="2"/>
  <c r="I231" i="2" s="1"/>
  <c r="B29" i="3"/>
  <c r="B27" i="3"/>
  <c r="B93" i="2"/>
  <c r="B34" i="10" l="1"/>
  <c r="B34" i="5"/>
  <c r="B31" i="10"/>
  <c r="B48" i="10"/>
  <c r="B156" i="2"/>
  <c r="B32" i="10"/>
  <c r="AP544" i="10"/>
  <c r="AP540" i="10"/>
  <c r="AP543" i="10"/>
  <c r="AP539" i="10"/>
  <c r="AP519" i="10"/>
  <c r="AP515" i="10"/>
  <c r="AP534" i="10"/>
  <c r="AP499" i="10"/>
  <c r="AP495" i="10"/>
  <c r="AP518" i="10"/>
  <c r="AP486" i="10"/>
  <c r="AP505" i="10"/>
  <c r="AP489" i="10"/>
  <c r="AP514" i="10"/>
  <c r="AP479" i="10"/>
  <c r="AP475" i="10"/>
  <c r="AP471" i="10"/>
  <c r="AP467" i="10"/>
  <c r="AP463" i="10"/>
  <c r="AP459" i="10"/>
  <c r="AP455" i="10"/>
  <c r="AP452" i="10"/>
  <c r="AP448" i="10"/>
  <c r="AP444" i="10"/>
  <c r="AP440" i="10"/>
  <c r="AP434" i="10"/>
  <c r="AP498" i="10"/>
  <c r="AP431" i="10"/>
  <c r="AP385" i="10"/>
  <c r="AP367" i="10"/>
  <c r="AP363" i="10"/>
  <c r="AP383" i="10"/>
  <c r="AP375" i="10"/>
  <c r="AP306" i="10"/>
  <c r="AP429" i="10"/>
  <c r="AP425" i="10"/>
  <c r="AP421" i="10"/>
  <c r="AP417" i="10"/>
  <c r="AP413" i="10"/>
  <c r="AP409" i="10"/>
  <c r="AP405" i="10"/>
  <c r="AP401" i="10"/>
  <c r="AP397" i="10"/>
  <c r="AP393" i="10"/>
  <c r="AP389" i="10"/>
  <c r="AP302" i="10"/>
  <c r="AP301" i="10"/>
  <c r="AP379" i="10"/>
  <c r="AP371" i="10"/>
  <c r="AP241" i="10"/>
  <c r="AP237" i="10"/>
  <c r="AP233" i="10"/>
  <c r="AP229" i="10"/>
  <c r="AP225" i="10"/>
  <c r="AP221" i="10"/>
  <c r="AP217" i="10"/>
  <c r="AP213" i="10"/>
  <c r="AP209" i="10"/>
  <c r="AP297" i="10"/>
  <c r="AP293" i="10"/>
  <c r="AP289" i="10"/>
  <c r="AP285" i="10"/>
  <c r="AP281" i="10"/>
  <c r="AP277" i="10"/>
  <c r="AP273" i="10"/>
  <c r="AP269" i="10"/>
  <c r="AP265" i="10"/>
  <c r="AP261" i="10"/>
  <c r="AP257" i="10"/>
  <c r="AP253" i="10"/>
  <c r="AP249" i="10"/>
  <c r="AP245" i="10"/>
  <c r="AP242" i="10"/>
  <c r="AP238" i="10"/>
  <c r="AP234" i="10"/>
  <c r="AP230" i="10"/>
  <c r="AP226" i="10"/>
  <c r="AP222" i="10"/>
  <c r="AP218" i="10"/>
  <c r="AP214" i="10"/>
  <c r="AP210" i="10"/>
  <c r="AP205" i="10"/>
  <c r="AP201" i="10"/>
  <c r="AP197" i="10"/>
  <c r="AP193" i="10"/>
  <c r="AP189" i="10"/>
  <c r="AP185" i="10"/>
  <c r="AP181" i="10"/>
  <c r="AP177" i="10"/>
  <c r="AP173" i="10"/>
  <c r="AP169" i="10"/>
  <c r="AP165" i="10"/>
  <c r="AP240" i="10"/>
  <c r="AP236" i="10"/>
  <c r="AP232" i="10"/>
  <c r="AP228" i="10"/>
  <c r="AP224" i="10"/>
  <c r="AP220" i="10"/>
  <c r="AP216" i="10"/>
  <c r="AP212" i="10"/>
  <c r="AP202" i="10"/>
  <c r="AP266" i="10"/>
  <c r="AP258" i="10"/>
  <c r="AP158" i="10"/>
  <c r="AP146" i="10"/>
  <c r="AP142" i="10"/>
  <c r="AP138" i="10"/>
  <c r="AP130" i="10"/>
  <c r="AP126" i="10"/>
  <c r="AP122" i="10"/>
  <c r="AP118" i="10"/>
  <c r="AP114" i="10"/>
  <c r="AP110" i="10"/>
  <c r="AP106" i="10"/>
  <c r="AP294" i="10"/>
  <c r="AP286" i="10"/>
  <c r="AP278" i="10"/>
  <c r="AP270" i="10"/>
  <c r="AP262" i="10"/>
  <c r="AP254" i="10"/>
  <c r="AP246" i="10"/>
  <c r="O12" i="10"/>
  <c r="AP298" i="10"/>
  <c r="AP150" i="10"/>
  <c r="AP134" i="10"/>
  <c r="AP102" i="10"/>
  <c r="AP206" i="10"/>
  <c r="AP198" i="10"/>
  <c r="AP192" i="10"/>
  <c r="AP188" i="10"/>
  <c r="AP184" i="10"/>
  <c r="AP180" i="10"/>
  <c r="AP176" i="10"/>
  <c r="AP172" i="10"/>
  <c r="AP168" i="10"/>
  <c r="AP164" i="10"/>
  <c r="AP61" i="10"/>
  <c r="AP290" i="10"/>
  <c r="AP282" i="10"/>
  <c r="AP274" i="10"/>
  <c r="AP250" i="10"/>
  <c r="AP162" i="10"/>
  <c r="AP154" i="10"/>
  <c r="AP40" i="10"/>
  <c r="AP34" i="10"/>
  <c r="AP21" i="10"/>
  <c r="AP37" i="10"/>
  <c r="AP32" i="10"/>
  <c r="AP30" i="10"/>
  <c r="AP27" i="10"/>
  <c r="AP20" i="10"/>
  <c r="AP36" i="10"/>
  <c r="AP46" i="10"/>
  <c r="AP42" i="10"/>
  <c r="AP81" i="10"/>
  <c r="AP45" i="10"/>
  <c r="AP52" i="10"/>
  <c r="AP70" i="10"/>
  <c r="AP86" i="10"/>
  <c r="AP101" i="10"/>
  <c r="AP117" i="10"/>
  <c r="AP133" i="10"/>
  <c r="AP149" i="10"/>
  <c r="AP200" i="10"/>
  <c r="AP63" i="10"/>
  <c r="AP71" i="10"/>
  <c r="AP87" i="10"/>
  <c r="AP166" i="10"/>
  <c r="AP174" i="10"/>
  <c r="AP182" i="10"/>
  <c r="AP190" i="10"/>
  <c r="AP97" i="10"/>
  <c r="AP28" i="10"/>
  <c r="AP39" i="10"/>
  <c r="AP68" i="10"/>
  <c r="AP76" i="10"/>
  <c r="AP92" i="10"/>
  <c r="AP111" i="10"/>
  <c r="AP127" i="10"/>
  <c r="AP135" i="10"/>
  <c r="AP151" i="10"/>
  <c r="AP175" i="10"/>
  <c r="AP191" i="10"/>
  <c r="AP207" i="10"/>
  <c r="AP104" i="10"/>
  <c r="AP112" i="10"/>
  <c r="AP120" i="10"/>
  <c r="AP128" i="10"/>
  <c r="AP136" i="10"/>
  <c r="AP144" i="10"/>
  <c r="AP152" i="10"/>
  <c r="AP160" i="10"/>
  <c r="AP219" i="10"/>
  <c r="AP235" i="10"/>
  <c r="AP323" i="10"/>
  <c r="AP339" i="10"/>
  <c r="AP355" i="10"/>
  <c r="AP251" i="10"/>
  <c r="AP259" i="10"/>
  <c r="AP267" i="10"/>
  <c r="AP275" i="10"/>
  <c r="AP283" i="10"/>
  <c r="AP291" i="10"/>
  <c r="AP299" i="10"/>
  <c r="AP312" i="10"/>
  <c r="AP328" i="10"/>
  <c r="AP344" i="10"/>
  <c r="AP364" i="10"/>
  <c r="AP307" i="10"/>
  <c r="AP313" i="10"/>
  <c r="AP321" i="10"/>
  <c r="AP329" i="10"/>
  <c r="AP337" i="10"/>
  <c r="AP345" i="10"/>
  <c r="AP353" i="10"/>
  <c r="AP365" i="10"/>
  <c r="AP369" i="10"/>
  <c r="AP439" i="10"/>
  <c r="AP380" i="10"/>
  <c r="AP438" i="10"/>
  <c r="AP435" i="10"/>
  <c r="AP382" i="10"/>
  <c r="AP398" i="10"/>
  <c r="AP414" i="10"/>
  <c r="AP430" i="10"/>
  <c r="AP445" i="10"/>
  <c r="AP469" i="10"/>
  <c r="AP399" i="10"/>
  <c r="AP415" i="10"/>
  <c r="AP388" i="10"/>
  <c r="AP396" i="10"/>
  <c r="AP404" i="10"/>
  <c r="AP412" i="10"/>
  <c r="AP420" i="10"/>
  <c r="AP464" i="10"/>
  <c r="AP478" i="10"/>
  <c r="AP458" i="10"/>
  <c r="AP466" i="10"/>
  <c r="AP490" i="10"/>
  <c r="AP494" i="10"/>
  <c r="AP501" i="10"/>
  <c r="AP473" i="10"/>
  <c r="AP477" i="10"/>
  <c r="AP481" i="10"/>
  <c r="AP485" i="10"/>
  <c r="AP522" i="10"/>
  <c r="AP491" i="10"/>
  <c r="AP509" i="10"/>
  <c r="AP510" i="10"/>
  <c r="AP526" i="10"/>
  <c r="AP541" i="10"/>
  <c r="AP537" i="10"/>
  <c r="AP528" i="10"/>
  <c r="AP545" i="10"/>
  <c r="AP551" i="10"/>
  <c r="AP550" i="10"/>
  <c r="AP536" i="10"/>
  <c r="AP556" i="10"/>
  <c r="AP555" i="10"/>
  <c r="AP557" i="10"/>
  <c r="AP559" i="10"/>
  <c r="AP215" i="10"/>
  <c r="AP319" i="10"/>
  <c r="AP373" i="10"/>
  <c r="AP300" i="10"/>
  <c r="AP322" i="10"/>
  <c r="AP354" i="10"/>
  <c r="AP376" i="10"/>
  <c r="AP410" i="10"/>
  <c r="AP411" i="10"/>
  <c r="AP427" i="10"/>
  <c r="AP496" i="10"/>
  <c r="AP492" i="10"/>
  <c r="AP503" i="10"/>
  <c r="AP516" i="10"/>
  <c r="AP529" i="10"/>
  <c r="AP513" i="10"/>
  <c r="AP511" i="10"/>
  <c r="AP554" i="10"/>
  <c r="AP24" i="10"/>
  <c r="AP44" i="10"/>
  <c r="AP69" i="10"/>
  <c r="AP93" i="10"/>
  <c r="AP74" i="10"/>
  <c r="AP90" i="10"/>
  <c r="AP105" i="10"/>
  <c r="AP121" i="10"/>
  <c r="AP137" i="10"/>
  <c r="AP153" i="10"/>
  <c r="AP66" i="10"/>
  <c r="AP85" i="10"/>
  <c r="AP43" i="10"/>
  <c r="AP58" i="10"/>
  <c r="AP67" i="10"/>
  <c r="AP83" i="10"/>
  <c r="AP99" i="10"/>
  <c r="AP196" i="10"/>
  <c r="AP49" i="10"/>
  <c r="AP23" i="10"/>
  <c r="AP33" i="10"/>
  <c r="AP80" i="10"/>
  <c r="AP96" i="10"/>
  <c r="AP115" i="10"/>
  <c r="AP208" i="10"/>
  <c r="AP147" i="10"/>
  <c r="AP163" i="10"/>
  <c r="AP179" i="10"/>
  <c r="AP195" i="10"/>
  <c r="AP252" i="10"/>
  <c r="AP260" i="10"/>
  <c r="AP268" i="10"/>
  <c r="AP276" i="10"/>
  <c r="AP284" i="10"/>
  <c r="AP292" i="10"/>
  <c r="AP244" i="10"/>
  <c r="AP223" i="10"/>
  <c r="AP239" i="10"/>
  <c r="AP305" i="10"/>
  <c r="AP311" i="10"/>
  <c r="AP327" i="10"/>
  <c r="AP343" i="10"/>
  <c r="AP359" i="10"/>
  <c r="AP304" i="10"/>
  <c r="AP377" i="10"/>
  <c r="AP316" i="10"/>
  <c r="AP332" i="10"/>
  <c r="AP348" i="10"/>
  <c r="AP361" i="10"/>
  <c r="AP443" i="10"/>
  <c r="AP310" i="10"/>
  <c r="AP318" i="10"/>
  <c r="AP326" i="10"/>
  <c r="AP334" i="10"/>
  <c r="AP342" i="10"/>
  <c r="AP350" i="10"/>
  <c r="AP358" i="10"/>
  <c r="AP370" i="10"/>
  <c r="AP386" i="10"/>
  <c r="AP402" i="10"/>
  <c r="AP418" i="10"/>
  <c r="AP433" i="10"/>
  <c r="AP449" i="10"/>
  <c r="AP461" i="10"/>
  <c r="AP403" i="10"/>
  <c r="AP419" i="10"/>
  <c r="AP457" i="10"/>
  <c r="AP468" i="10"/>
  <c r="AP482" i="10"/>
  <c r="AP442" i="10"/>
  <c r="AP502" i="10"/>
  <c r="AP508" i="10"/>
  <c r="AP483" i="10"/>
  <c r="AP512" i="10"/>
  <c r="AP476" i="10"/>
  <c r="AP484" i="10"/>
  <c r="AP520" i="10"/>
  <c r="AP500" i="10"/>
  <c r="AP527" i="10"/>
  <c r="AP532" i="10"/>
  <c r="AP549" i="10"/>
  <c r="AP533" i="10"/>
  <c r="AP535" i="10"/>
  <c r="AP553" i="10"/>
  <c r="AP548" i="10"/>
  <c r="AP231" i="10"/>
  <c r="AP351" i="10"/>
  <c r="AP324" i="10"/>
  <c r="AP436" i="10"/>
  <c r="AP451" i="10"/>
  <c r="AP338" i="10"/>
  <c r="AP366" i="10"/>
  <c r="AP378" i="10"/>
  <c r="AP426" i="10"/>
  <c r="AP395" i="10"/>
  <c r="AP424" i="10"/>
  <c r="AP474" i="10"/>
  <c r="AP450" i="10"/>
  <c r="AP480" i="10"/>
  <c r="AP488" i="10"/>
  <c r="AP531" i="10"/>
  <c r="AP547" i="10"/>
  <c r="AP26" i="10"/>
  <c r="AP62" i="10"/>
  <c r="AP53" i="10"/>
  <c r="AP55" i="10"/>
  <c r="AP47" i="10"/>
  <c r="AP73" i="10"/>
  <c r="AP38" i="10"/>
  <c r="AP50" i="10"/>
  <c r="AP54" i="10"/>
  <c r="AP57" i="10"/>
  <c r="AP78" i="10"/>
  <c r="AP94" i="10"/>
  <c r="AP109" i="10"/>
  <c r="AP125" i="10"/>
  <c r="AP141" i="10"/>
  <c r="AP157" i="10"/>
  <c r="AP89" i="10"/>
  <c r="AP22" i="10"/>
  <c r="AP60" i="10"/>
  <c r="AP64" i="10"/>
  <c r="AP79" i="10"/>
  <c r="AP95" i="10"/>
  <c r="AP170" i="10"/>
  <c r="AP178" i="10"/>
  <c r="AP186" i="10"/>
  <c r="AP194" i="10"/>
  <c r="AP204" i="10"/>
  <c r="AP25" i="10"/>
  <c r="AP35" i="10"/>
  <c r="AP41" i="10"/>
  <c r="AP84" i="10"/>
  <c r="AP103" i="10"/>
  <c r="AP119" i="10"/>
  <c r="AP143" i="10"/>
  <c r="AP159" i="10"/>
  <c r="AP167" i="10"/>
  <c r="AP183" i="10"/>
  <c r="AP199" i="10"/>
  <c r="AP100" i="10"/>
  <c r="AP108" i="10"/>
  <c r="AP116" i="10"/>
  <c r="AP124" i="10"/>
  <c r="AP132" i="10"/>
  <c r="AP140" i="10"/>
  <c r="AP148" i="10"/>
  <c r="AP156" i="10"/>
  <c r="AP211" i="10"/>
  <c r="AP227" i="10"/>
  <c r="AP243" i="10"/>
  <c r="AP315" i="10"/>
  <c r="AP331" i="10"/>
  <c r="AP347" i="10"/>
  <c r="AP381" i="10"/>
  <c r="AP247" i="10"/>
  <c r="AP255" i="10"/>
  <c r="AP263" i="10"/>
  <c r="AP271" i="10"/>
  <c r="AP279" i="10"/>
  <c r="AP287" i="10"/>
  <c r="AP295" i="10"/>
  <c r="AP303" i="10"/>
  <c r="AP320" i="10"/>
  <c r="AP336" i="10"/>
  <c r="AP352" i="10"/>
  <c r="AP360" i="10"/>
  <c r="AP368" i="10"/>
  <c r="AP432" i="10"/>
  <c r="AP309" i="10"/>
  <c r="AP317" i="10"/>
  <c r="AP325" i="10"/>
  <c r="AP333" i="10"/>
  <c r="AP341" i="10"/>
  <c r="AP349" i="10"/>
  <c r="AP357" i="10"/>
  <c r="AP447" i="10"/>
  <c r="AP362" i="10"/>
  <c r="AP372" i="10"/>
  <c r="AP428" i="10"/>
  <c r="AP374" i="10"/>
  <c r="AP390" i="10"/>
  <c r="AP406" i="10"/>
  <c r="AP422" i="10"/>
  <c r="AP437" i="10"/>
  <c r="AP453" i="10"/>
  <c r="AP391" i="10"/>
  <c r="AP407" i="10"/>
  <c r="AP423" i="10"/>
  <c r="AP384" i="10"/>
  <c r="AP392" i="10"/>
  <c r="AP400" i="10"/>
  <c r="AP408" i="10"/>
  <c r="AP416" i="10"/>
  <c r="AP456" i="10"/>
  <c r="AP446" i="10"/>
  <c r="AP454" i="10"/>
  <c r="AP462" i="10"/>
  <c r="AP470" i="10"/>
  <c r="AP493" i="10"/>
  <c r="AP497" i="10"/>
  <c r="AP506" i="10"/>
  <c r="AP525" i="10"/>
  <c r="AP504" i="10"/>
  <c r="AP517" i="10"/>
  <c r="AP523" i="10"/>
  <c r="AP524" i="10"/>
  <c r="AP538" i="10"/>
  <c r="AP552" i="10"/>
  <c r="AP542" i="10"/>
  <c r="AP558" i="10"/>
  <c r="AP29" i="10"/>
  <c r="AP51" i="10"/>
  <c r="AP59" i="10"/>
  <c r="AP56" i="10"/>
  <c r="AP77" i="10"/>
  <c r="AP82" i="10"/>
  <c r="AP98" i="10"/>
  <c r="AP113" i="10"/>
  <c r="AP129" i="10"/>
  <c r="AP145" i="10"/>
  <c r="AP161" i="10"/>
  <c r="AP48" i="10"/>
  <c r="AP65" i="10"/>
  <c r="AP75" i="10"/>
  <c r="AP91" i="10"/>
  <c r="AP31" i="10"/>
  <c r="AP72" i="10"/>
  <c r="AP88" i="10"/>
  <c r="AP107" i="10"/>
  <c r="AP123" i="10"/>
  <c r="AP131" i="10"/>
  <c r="AP139" i="10"/>
  <c r="AP155" i="10"/>
  <c r="AP171" i="10"/>
  <c r="AP187" i="10"/>
  <c r="AP203" i="10"/>
  <c r="AP248" i="10"/>
  <c r="AP256" i="10"/>
  <c r="AP264" i="10"/>
  <c r="AP272" i="10"/>
  <c r="AP280" i="10"/>
  <c r="AP288" i="10"/>
  <c r="AP296" i="10"/>
  <c r="AP335" i="10"/>
  <c r="AP387" i="10"/>
  <c r="AP308" i="10"/>
  <c r="AP340" i="10"/>
  <c r="AP356" i="10"/>
  <c r="AP314" i="10"/>
  <c r="AP330" i="10"/>
  <c r="AP346" i="10"/>
  <c r="AP465" i="10"/>
  <c r="AP394" i="10"/>
  <c r="AP441" i="10"/>
  <c r="AP460" i="10"/>
  <c r="AP472" i="10"/>
  <c r="AP487" i="10"/>
  <c r="AP521" i="10"/>
  <c r="AP507" i="10"/>
  <c r="AP530" i="10"/>
  <c r="AP546" i="10"/>
  <c r="AP560" i="10"/>
  <c r="B19" i="5"/>
  <c r="B19" i="10"/>
  <c r="O13" i="10"/>
  <c r="AF559" i="10"/>
  <c r="AF555" i="10"/>
  <c r="AS555" i="10" s="1"/>
  <c r="AF551" i="10"/>
  <c r="AF558" i="10"/>
  <c r="AF554" i="10"/>
  <c r="AF560" i="10"/>
  <c r="AF556" i="10"/>
  <c r="AF548" i="10"/>
  <c r="AF544" i="10"/>
  <c r="AF540" i="10"/>
  <c r="AF553" i="10"/>
  <c r="AF547" i="10"/>
  <c r="AS547" i="10" s="1"/>
  <c r="AF557" i="10"/>
  <c r="AF552" i="10"/>
  <c r="AF546" i="10"/>
  <c r="AF543" i="10"/>
  <c r="AF539" i="10"/>
  <c r="AF536" i="10"/>
  <c r="AF532" i="10"/>
  <c r="AF542" i="10"/>
  <c r="AF535" i="10"/>
  <c r="AF550" i="10"/>
  <c r="AF549" i="10"/>
  <c r="AS549" i="10" s="1"/>
  <c r="AF545" i="10"/>
  <c r="AF541" i="10"/>
  <c r="AF538" i="10"/>
  <c r="AF534" i="10"/>
  <c r="AF528" i="10"/>
  <c r="AS528" i="10" s="1"/>
  <c r="AF524" i="10"/>
  <c r="AS524" i="10" s="1"/>
  <c r="AF520" i="10"/>
  <c r="AF516" i="10"/>
  <c r="AF537" i="10"/>
  <c r="AF527" i="10"/>
  <c r="AS527" i="10" s="1"/>
  <c r="AF531" i="10"/>
  <c r="AF530" i="10"/>
  <c r="AF526" i="10"/>
  <c r="AF522" i="10"/>
  <c r="AS522" i="10" s="1"/>
  <c r="AF533" i="10"/>
  <c r="AF518" i="10"/>
  <c r="AF511" i="10"/>
  <c r="AF507" i="10"/>
  <c r="AF503" i="10"/>
  <c r="AF499" i="10"/>
  <c r="AF495" i="10"/>
  <c r="AS495" i="10" s="1"/>
  <c r="AF523" i="10"/>
  <c r="AF521" i="10"/>
  <c r="AF517" i="10"/>
  <c r="AS517" i="10" s="1"/>
  <c r="AF514" i="10"/>
  <c r="AF510" i="10"/>
  <c r="AF506" i="10"/>
  <c r="AF529" i="10"/>
  <c r="AS529" i="10" s="1"/>
  <c r="AF525" i="10"/>
  <c r="AF513" i="10"/>
  <c r="AF509" i="10"/>
  <c r="AF500" i="10"/>
  <c r="AF496" i="10"/>
  <c r="AF519" i="10"/>
  <c r="AF515" i="10"/>
  <c r="AF512" i="10"/>
  <c r="AF508" i="10"/>
  <c r="AF505" i="10"/>
  <c r="AF502" i="10"/>
  <c r="AF498" i="10"/>
  <c r="AF494" i="10"/>
  <c r="AF491" i="10"/>
  <c r="AF487" i="10"/>
  <c r="AF493" i="10"/>
  <c r="AF492" i="10"/>
  <c r="AF488" i="10"/>
  <c r="AF485" i="10"/>
  <c r="AF481" i="10"/>
  <c r="AS481" i="10" s="1"/>
  <c r="AF477" i="10"/>
  <c r="AF473" i="10"/>
  <c r="AS473" i="10" s="1"/>
  <c r="AF469" i="10"/>
  <c r="AS469" i="10" s="1"/>
  <c r="AF465" i="10"/>
  <c r="AS465" i="10" s="1"/>
  <c r="AF461" i="10"/>
  <c r="AF457" i="10"/>
  <c r="AF484" i="10"/>
  <c r="AF480" i="10"/>
  <c r="AF476" i="10"/>
  <c r="AF472" i="10"/>
  <c r="AF501" i="10"/>
  <c r="AF497" i="10"/>
  <c r="AF490" i="10"/>
  <c r="AF486" i="10"/>
  <c r="AF483" i="10"/>
  <c r="AF479" i="10"/>
  <c r="AF475" i="10"/>
  <c r="AF471" i="10"/>
  <c r="AF504" i="10"/>
  <c r="AS504" i="10" s="1"/>
  <c r="AF467" i="10"/>
  <c r="AF463" i="10"/>
  <c r="AF459" i="10"/>
  <c r="AF455" i="10"/>
  <c r="AF450" i="10"/>
  <c r="AF446" i="10"/>
  <c r="AF442" i="10"/>
  <c r="AF489" i="10"/>
  <c r="AF470" i="10"/>
  <c r="AF466" i="10"/>
  <c r="AF462" i="10"/>
  <c r="AF458" i="10"/>
  <c r="AF454" i="10"/>
  <c r="AS454" i="10" s="1"/>
  <c r="AF453" i="10"/>
  <c r="AS453" i="10" s="1"/>
  <c r="AF449" i="10"/>
  <c r="AS449" i="10" s="1"/>
  <c r="AF445" i="10"/>
  <c r="AF441" i="10"/>
  <c r="AF482" i="10"/>
  <c r="AF478" i="10"/>
  <c r="AF474" i="10"/>
  <c r="AF452" i="10"/>
  <c r="AF448" i="10"/>
  <c r="AF444" i="10"/>
  <c r="AF440" i="10"/>
  <c r="AF436" i="10"/>
  <c r="AF432" i="10"/>
  <c r="AF438" i="10"/>
  <c r="AF435" i="10"/>
  <c r="AF431" i="10"/>
  <c r="AS431" i="10" s="1"/>
  <c r="AF429" i="10"/>
  <c r="AF425" i="10"/>
  <c r="AF421" i="10"/>
  <c r="AF417" i="10"/>
  <c r="AF413" i="10"/>
  <c r="AF409" i="10"/>
  <c r="AF405" i="10"/>
  <c r="AF401" i="10"/>
  <c r="AF397" i="10"/>
  <c r="AF393" i="10"/>
  <c r="AF389" i="10"/>
  <c r="AF385" i="10"/>
  <c r="AF381" i="10"/>
  <c r="AF377" i="10"/>
  <c r="AF373" i="10"/>
  <c r="AF369" i="10"/>
  <c r="AF365" i="10"/>
  <c r="AF361" i="10"/>
  <c r="AF468" i="10"/>
  <c r="AS468" i="10" s="1"/>
  <c r="AF464" i="10"/>
  <c r="AF460" i="10"/>
  <c r="AF456" i="10"/>
  <c r="AF451" i="10"/>
  <c r="AF447" i="10"/>
  <c r="AS447" i="10" s="1"/>
  <c r="AF443" i="10"/>
  <c r="AS443" i="10" s="1"/>
  <c r="AF439" i="10"/>
  <c r="AS439" i="10" s="1"/>
  <c r="AF437" i="10"/>
  <c r="AF433" i="10"/>
  <c r="AF427" i="10"/>
  <c r="AF423" i="10"/>
  <c r="AF419" i="10"/>
  <c r="AF415" i="10"/>
  <c r="AF411" i="10"/>
  <c r="AF407" i="10"/>
  <c r="AF403" i="10"/>
  <c r="AF399" i="10"/>
  <c r="AS399" i="10" s="1"/>
  <c r="AF395" i="10"/>
  <c r="AF391" i="10"/>
  <c r="AF387" i="10"/>
  <c r="AF430" i="10"/>
  <c r="AF426" i="10"/>
  <c r="AS426" i="10" s="1"/>
  <c r="AF422" i="10"/>
  <c r="AF418" i="10"/>
  <c r="AF414" i="10"/>
  <c r="AF410" i="10"/>
  <c r="AS410" i="10" s="1"/>
  <c r="AF406" i="10"/>
  <c r="AS406" i="10" s="1"/>
  <c r="AF402" i="10"/>
  <c r="AF398" i="10"/>
  <c r="AF394" i="10"/>
  <c r="AF390" i="10"/>
  <c r="AF434" i="10"/>
  <c r="AF428" i="10"/>
  <c r="AF424" i="10"/>
  <c r="AF420" i="10"/>
  <c r="AF416" i="10"/>
  <c r="AF412" i="10"/>
  <c r="AF408" i="10"/>
  <c r="AF404" i="10"/>
  <c r="AF400" i="10"/>
  <c r="AF396" i="10"/>
  <c r="AF392" i="10"/>
  <c r="AF388" i="10"/>
  <c r="AS388" i="10" s="1"/>
  <c r="AF386" i="10"/>
  <c r="AF366" i="10"/>
  <c r="AF362" i="10"/>
  <c r="AS362" i="10" s="1"/>
  <c r="AF358" i="10"/>
  <c r="AF354" i="10"/>
  <c r="AS354" i="10" s="1"/>
  <c r="AF350" i="10"/>
  <c r="AF346" i="10"/>
  <c r="AF342" i="10"/>
  <c r="AS342" i="10" s="1"/>
  <c r="AF338" i="10"/>
  <c r="AF334" i="10"/>
  <c r="AF330" i="10"/>
  <c r="AF326" i="10"/>
  <c r="AF322" i="10"/>
  <c r="AF318" i="10"/>
  <c r="AF314" i="10"/>
  <c r="AF310" i="10"/>
  <c r="AF306" i="10"/>
  <c r="AF302" i="10"/>
  <c r="AF298" i="10"/>
  <c r="AF294" i="10"/>
  <c r="AF290" i="10"/>
  <c r="AF286" i="10"/>
  <c r="AS286" i="10" s="1"/>
  <c r="AF282" i="10"/>
  <c r="AF278" i="10"/>
  <c r="AF274" i="10"/>
  <c r="AF270" i="10"/>
  <c r="AF266" i="10"/>
  <c r="AF262" i="10"/>
  <c r="AF258" i="10"/>
  <c r="AF254" i="10"/>
  <c r="AF250" i="10"/>
  <c r="AS250" i="10" s="1"/>
  <c r="AF246" i="10"/>
  <c r="AF382" i="10"/>
  <c r="AF378" i="10"/>
  <c r="AS378" i="10" s="1"/>
  <c r="AF374" i="10"/>
  <c r="AF370" i="10"/>
  <c r="AF357" i="10"/>
  <c r="AF353" i="10"/>
  <c r="AF349" i="10"/>
  <c r="AF345" i="10"/>
  <c r="AS345" i="10" s="1"/>
  <c r="AF341" i="10"/>
  <c r="AF337" i="10"/>
  <c r="AF333" i="10"/>
  <c r="AF329" i="10"/>
  <c r="AF325" i="10"/>
  <c r="AS325" i="10" s="1"/>
  <c r="AF321" i="10"/>
  <c r="AF317" i="10"/>
  <c r="AF313" i="10"/>
  <c r="AF309" i="10"/>
  <c r="AF384" i="10"/>
  <c r="AF356" i="10"/>
  <c r="AF352" i="10"/>
  <c r="AF348" i="10"/>
  <c r="AF344" i="10"/>
  <c r="AF340" i="10"/>
  <c r="AF336" i="10"/>
  <c r="AF332" i="10"/>
  <c r="AF328" i="10"/>
  <c r="AF324" i="10"/>
  <c r="AF320" i="10"/>
  <c r="AF316" i="10"/>
  <c r="AF312" i="10"/>
  <c r="AF308" i="10"/>
  <c r="AF383" i="10"/>
  <c r="AF379" i="10"/>
  <c r="AF375" i="10"/>
  <c r="AF371" i="10"/>
  <c r="AS371" i="10" s="1"/>
  <c r="AF359" i="10"/>
  <c r="AS359" i="10" s="1"/>
  <c r="AF355" i="10"/>
  <c r="AF351" i="10"/>
  <c r="AF347" i="10"/>
  <c r="AF343" i="10"/>
  <c r="AF339" i="10"/>
  <c r="AF335" i="10"/>
  <c r="AS335" i="10" s="1"/>
  <c r="AF331" i="10"/>
  <c r="AF327" i="10"/>
  <c r="AF323" i="10"/>
  <c r="AS323" i="10" s="1"/>
  <c r="AF319" i="10"/>
  <c r="AF315" i="10"/>
  <c r="AF311" i="10"/>
  <c r="AF307" i="10"/>
  <c r="AF305" i="10"/>
  <c r="AF301" i="10"/>
  <c r="AF297" i="10"/>
  <c r="AF293" i="10"/>
  <c r="AF289" i="10"/>
  <c r="AF285" i="10"/>
  <c r="AF281" i="10"/>
  <c r="AF277" i="10"/>
  <c r="AF273" i="10"/>
  <c r="AF269" i="10"/>
  <c r="AF265" i="10"/>
  <c r="AF261" i="10"/>
  <c r="AF257" i="10"/>
  <c r="AF253" i="10"/>
  <c r="AF249" i="10"/>
  <c r="AF245" i="10"/>
  <c r="AF242" i="10"/>
  <c r="AF238" i="10"/>
  <c r="AF234" i="10"/>
  <c r="AF230" i="10"/>
  <c r="AF226" i="10"/>
  <c r="AF222" i="10"/>
  <c r="AF218" i="10"/>
  <c r="AF214" i="10"/>
  <c r="AF210" i="10"/>
  <c r="AF206" i="10"/>
  <c r="AF202" i="10"/>
  <c r="AF198" i="10"/>
  <c r="AF194" i="10"/>
  <c r="AF190" i="10"/>
  <c r="AF186" i="10"/>
  <c r="AS186" i="10" s="1"/>
  <c r="AF182" i="10"/>
  <c r="AF178" i="10"/>
  <c r="AF174" i="10"/>
  <c r="AS174" i="10" s="1"/>
  <c r="AF170" i="10"/>
  <c r="AF166" i="10"/>
  <c r="AF304" i="10"/>
  <c r="AF244" i="10"/>
  <c r="AF240" i="10"/>
  <c r="AF236" i="10"/>
  <c r="AF232" i="10"/>
  <c r="AF228" i="10"/>
  <c r="AF224" i="10"/>
  <c r="AF220" i="10"/>
  <c r="AF216" i="10"/>
  <c r="AF212" i="10"/>
  <c r="AF208" i="10"/>
  <c r="AF204" i="10"/>
  <c r="AF200" i="10"/>
  <c r="AS200" i="10" s="1"/>
  <c r="AF196" i="10"/>
  <c r="AS196" i="10" s="1"/>
  <c r="AF380" i="10"/>
  <c r="AF372" i="10"/>
  <c r="AF368" i="10"/>
  <c r="AF367" i="10"/>
  <c r="AF364" i="10"/>
  <c r="AF363" i="10"/>
  <c r="AS363" i="10" s="1"/>
  <c r="AF360" i="10"/>
  <c r="AF303" i="10"/>
  <c r="AF299" i="10"/>
  <c r="AF295" i="10"/>
  <c r="AF291" i="10"/>
  <c r="AF287" i="10"/>
  <c r="AF283" i="10"/>
  <c r="AF279" i="10"/>
  <c r="AS279" i="10" s="1"/>
  <c r="AF275" i="10"/>
  <c r="AF271" i="10"/>
  <c r="AF267" i="10"/>
  <c r="AF263" i="10"/>
  <c r="AF259" i="10"/>
  <c r="AF255" i="10"/>
  <c r="AF251" i="10"/>
  <c r="AS251" i="10" s="1"/>
  <c r="AF247" i="10"/>
  <c r="AF241" i="10"/>
  <c r="AF237" i="10"/>
  <c r="AF233" i="10"/>
  <c r="AF229" i="10"/>
  <c r="AF225" i="10"/>
  <c r="AF221" i="10"/>
  <c r="AF217" i="10"/>
  <c r="AF213" i="10"/>
  <c r="AF209" i="10"/>
  <c r="AF207" i="10"/>
  <c r="AF203" i="10"/>
  <c r="AF199" i="10"/>
  <c r="AS199" i="10" s="1"/>
  <c r="AF195" i="10"/>
  <c r="AS195" i="10" s="1"/>
  <c r="AF192" i="10"/>
  <c r="AS192" i="10" s="1"/>
  <c r="AF188" i="10"/>
  <c r="AF184" i="10"/>
  <c r="AS184" i="10" s="1"/>
  <c r="AF180" i="10"/>
  <c r="AS180" i="10" s="1"/>
  <c r="AF176" i="10"/>
  <c r="AS176" i="10" s="1"/>
  <c r="AF172" i="10"/>
  <c r="AS172" i="10" s="1"/>
  <c r="AF168" i="10"/>
  <c r="AF164" i="10"/>
  <c r="AF160" i="10"/>
  <c r="AF156" i="10"/>
  <c r="AF152" i="10"/>
  <c r="AS152" i="10" s="1"/>
  <c r="AF148" i="10"/>
  <c r="AF144" i="10"/>
  <c r="AF140" i="10"/>
  <c r="AF136" i="10"/>
  <c r="AF132" i="10"/>
  <c r="AF128" i="10"/>
  <c r="AF124" i="10"/>
  <c r="AF120" i="10"/>
  <c r="AS120" i="10" s="1"/>
  <c r="AF116" i="10"/>
  <c r="AF112" i="10"/>
  <c r="AF108" i="10"/>
  <c r="AF104" i="10"/>
  <c r="AF100" i="10"/>
  <c r="AS100" i="10" s="1"/>
  <c r="AF96" i="10"/>
  <c r="AF92" i="10"/>
  <c r="AF88" i="10"/>
  <c r="AF84" i="10"/>
  <c r="AS84" i="10" s="1"/>
  <c r="AF80" i="10"/>
  <c r="AS80" i="10" s="1"/>
  <c r="AF76" i="10"/>
  <c r="AF72" i="10"/>
  <c r="AS72" i="10" s="1"/>
  <c r="AF70" i="10"/>
  <c r="AF68" i="10"/>
  <c r="AF296" i="10"/>
  <c r="AF292" i="10"/>
  <c r="AF288" i="10"/>
  <c r="AF284" i="10"/>
  <c r="AS284" i="10" s="1"/>
  <c r="AF280" i="10"/>
  <c r="AF276" i="10"/>
  <c r="AF272" i="10"/>
  <c r="AF268" i="10"/>
  <c r="AF264" i="10"/>
  <c r="AF260" i="10"/>
  <c r="AF256" i="10"/>
  <c r="AF252" i="10"/>
  <c r="AS252" i="10" s="1"/>
  <c r="AF248" i="10"/>
  <c r="AF191" i="10"/>
  <c r="AF187" i="10"/>
  <c r="AF183" i="10"/>
  <c r="AF179" i="10"/>
  <c r="AF175" i="10"/>
  <c r="AF171" i="10"/>
  <c r="AF167" i="10"/>
  <c r="AS167" i="10" s="1"/>
  <c r="AF163" i="10"/>
  <c r="AS163" i="10" s="1"/>
  <c r="AF159" i="10"/>
  <c r="AF155" i="10"/>
  <c r="AF151" i="10"/>
  <c r="AS151" i="10" s="1"/>
  <c r="AF147" i="10"/>
  <c r="AF143" i="10"/>
  <c r="AS143" i="10" s="1"/>
  <c r="AF139" i="10"/>
  <c r="AS139" i="10" s="1"/>
  <c r="AF135" i="10"/>
  <c r="AF131" i="10"/>
  <c r="AF127" i="10"/>
  <c r="AS127" i="10" s="1"/>
  <c r="AF123" i="10"/>
  <c r="AF119" i="10"/>
  <c r="AF115" i="10"/>
  <c r="AF111" i="10"/>
  <c r="AF107" i="10"/>
  <c r="AF103" i="10"/>
  <c r="AS103" i="10" s="1"/>
  <c r="AF243" i="10"/>
  <c r="AS243" i="10" s="1"/>
  <c r="AF239" i="10"/>
  <c r="AF235" i="10"/>
  <c r="AF231" i="10"/>
  <c r="AS231" i="10" s="1"/>
  <c r="AF227" i="10"/>
  <c r="AF223" i="10"/>
  <c r="AF219" i="10"/>
  <c r="AF215" i="10"/>
  <c r="AF211" i="10"/>
  <c r="AF205" i="10"/>
  <c r="AF201" i="10"/>
  <c r="AF197" i="10"/>
  <c r="AF162" i="10"/>
  <c r="AS162" i="10" s="1"/>
  <c r="AF158" i="10"/>
  <c r="AF154" i="10"/>
  <c r="AF150" i="10"/>
  <c r="AF146" i="10"/>
  <c r="AF142" i="10"/>
  <c r="AF138" i="10"/>
  <c r="AF134" i="10"/>
  <c r="AS134" i="10" s="1"/>
  <c r="AF130" i="10"/>
  <c r="AF126" i="10"/>
  <c r="AF122" i="10"/>
  <c r="AF118" i="10"/>
  <c r="AF114" i="10"/>
  <c r="AF110" i="10"/>
  <c r="AF106" i="10"/>
  <c r="AF102" i="10"/>
  <c r="AF98" i="10"/>
  <c r="AF94" i="10"/>
  <c r="AF90" i="10"/>
  <c r="AF86" i="10"/>
  <c r="AF82" i="10"/>
  <c r="AF78" i="10"/>
  <c r="AF74" i="10"/>
  <c r="AS74" i="10" s="1"/>
  <c r="AF71" i="10"/>
  <c r="AF69" i="10"/>
  <c r="AF193" i="10"/>
  <c r="AF189" i="10"/>
  <c r="AF185" i="10"/>
  <c r="AF181" i="10"/>
  <c r="AF177" i="10"/>
  <c r="AF173" i="10"/>
  <c r="AF169" i="10"/>
  <c r="AF165" i="10"/>
  <c r="AF99" i="10"/>
  <c r="AF95" i="10"/>
  <c r="AF91" i="10"/>
  <c r="AS91" i="10" s="1"/>
  <c r="AF87" i="10"/>
  <c r="AF83" i="10"/>
  <c r="AF79" i="10"/>
  <c r="AF75" i="10"/>
  <c r="AF67" i="10"/>
  <c r="AS67" i="10" s="1"/>
  <c r="AF65" i="10"/>
  <c r="AS65" i="10" s="1"/>
  <c r="AF63" i="10"/>
  <c r="AF60" i="10"/>
  <c r="AF58" i="10"/>
  <c r="AF48" i="10"/>
  <c r="AF43" i="10"/>
  <c r="AS43" i="10" s="1"/>
  <c r="AF41" i="10"/>
  <c r="AF39" i="10"/>
  <c r="AS39" i="10" s="1"/>
  <c r="AF33" i="10"/>
  <c r="AF31" i="10"/>
  <c r="AF23" i="10"/>
  <c r="AF38" i="10"/>
  <c r="AF35" i="10"/>
  <c r="AF25" i="10"/>
  <c r="AF22" i="10"/>
  <c r="AF42" i="10"/>
  <c r="AF37" i="10"/>
  <c r="AS37" i="10" s="1"/>
  <c r="AF34" i="10"/>
  <c r="AF32" i="10"/>
  <c r="AF61" i="10"/>
  <c r="AF46" i="10"/>
  <c r="AF376" i="10"/>
  <c r="AS376" i="10" s="1"/>
  <c r="AF161" i="10"/>
  <c r="AS161" i="10" s="1"/>
  <c r="AF157" i="10"/>
  <c r="AF153" i="10"/>
  <c r="AF149" i="10"/>
  <c r="AF145" i="10"/>
  <c r="AF141" i="10"/>
  <c r="AF137" i="10"/>
  <c r="AF133" i="10"/>
  <c r="AF129" i="10"/>
  <c r="AF125" i="10"/>
  <c r="AF121" i="10"/>
  <c r="AS121" i="10" s="1"/>
  <c r="AF117" i="10"/>
  <c r="AF113" i="10"/>
  <c r="AF109" i="10"/>
  <c r="AS109" i="10" s="1"/>
  <c r="AF105" i="10"/>
  <c r="AF101" i="10"/>
  <c r="AF57" i="10"/>
  <c r="AF54" i="10"/>
  <c r="AS54" i="10" s="1"/>
  <c r="AF52" i="10"/>
  <c r="AF50" i="10"/>
  <c r="AF45" i="10"/>
  <c r="AF28" i="10"/>
  <c r="AF40" i="10"/>
  <c r="AF30" i="10"/>
  <c r="AF59" i="10"/>
  <c r="AS59" i="10" s="1"/>
  <c r="AF53" i="10"/>
  <c r="AF44" i="10"/>
  <c r="AF300" i="10"/>
  <c r="AF97" i="10"/>
  <c r="AF93" i="10"/>
  <c r="AF89" i="10"/>
  <c r="AF85" i="10"/>
  <c r="AF81" i="10"/>
  <c r="AF77" i="10"/>
  <c r="AF73" i="10"/>
  <c r="AS73" i="10" s="1"/>
  <c r="AF66" i="10"/>
  <c r="AF64" i="10"/>
  <c r="AS64" i="10" s="1"/>
  <c r="AF62" i="10"/>
  <c r="AF56" i="10"/>
  <c r="AF49" i="10"/>
  <c r="AF47" i="10"/>
  <c r="AF27" i="10"/>
  <c r="AS27" i="10" s="1"/>
  <c r="AF21" i="10"/>
  <c r="AF55" i="10"/>
  <c r="AF51" i="10"/>
  <c r="AF36" i="10"/>
  <c r="AF29" i="10"/>
  <c r="AS29" i="10" s="1"/>
  <c r="AF26" i="10"/>
  <c r="AF24" i="10"/>
  <c r="AF20" i="10"/>
  <c r="B48" i="5"/>
  <c r="B49" i="5" s="1"/>
  <c r="AG8" i="5"/>
  <c r="AI8" i="5" s="1"/>
  <c r="AG7" i="5"/>
  <c r="AN7" i="5"/>
  <c r="AO7" i="5"/>
  <c r="AK7" i="5"/>
  <c r="AL7" i="5"/>
  <c r="O12" i="5"/>
  <c r="AM8" i="5"/>
  <c r="AO8" i="5" s="1"/>
  <c r="O13" i="5"/>
  <c r="AJ8" i="5"/>
  <c r="AL8" i="5" s="1"/>
  <c r="AF9" i="5"/>
  <c r="AF10" i="5"/>
  <c r="AF12" i="5"/>
  <c r="AF13" i="5"/>
  <c r="AF11" i="5"/>
  <c r="AF31" i="5"/>
  <c r="AF8" i="5"/>
  <c r="AF539" i="5"/>
  <c r="AF430" i="5"/>
  <c r="AF522" i="5"/>
  <c r="AF471" i="5"/>
  <c r="AF537" i="5"/>
  <c r="AF534" i="5"/>
  <c r="AF466" i="5"/>
  <c r="AF482" i="5"/>
  <c r="AF448" i="5"/>
  <c r="AF362" i="5"/>
  <c r="AF245" i="5"/>
  <c r="AF243" i="5"/>
  <c r="AF540" i="5"/>
  <c r="AF531" i="5"/>
  <c r="AF445" i="5"/>
  <c r="AF521" i="5"/>
  <c r="AF467" i="5"/>
  <c r="AF514" i="5"/>
  <c r="AF453" i="5"/>
  <c r="AF517" i="5"/>
  <c r="AF415" i="5"/>
  <c r="AF337" i="5"/>
  <c r="AF273" i="5"/>
  <c r="AF287" i="5"/>
  <c r="AF256" i="5"/>
  <c r="AF316" i="5"/>
  <c r="AF196" i="5"/>
  <c r="AF199" i="5"/>
  <c r="AF151" i="5"/>
  <c r="AF494" i="5"/>
  <c r="AF487" i="5"/>
  <c r="AF427" i="5"/>
  <c r="AF511" i="5"/>
  <c r="AF461" i="5"/>
  <c r="AF505" i="5"/>
  <c r="AF437" i="5"/>
  <c r="AF501" i="5"/>
  <c r="AF382" i="5"/>
  <c r="AF417" i="5"/>
  <c r="AF438" i="5"/>
  <c r="AF248" i="5"/>
  <c r="AF318" i="5"/>
  <c r="AF289" i="5"/>
  <c r="AF235" i="5"/>
  <c r="AF180" i="5"/>
  <c r="AF89" i="5"/>
  <c r="AF379" i="5"/>
  <c r="AF339" i="5"/>
  <c r="AF298" i="5"/>
  <c r="AF228" i="5"/>
  <c r="AF90" i="5"/>
  <c r="AF510" i="5"/>
  <c r="AF547" i="5"/>
  <c r="AF551" i="5"/>
  <c r="AF555" i="5"/>
  <c r="AF495" i="5"/>
  <c r="AF444" i="5"/>
  <c r="AF478" i="5"/>
  <c r="AF366" i="5"/>
  <c r="AF483" i="5"/>
  <c r="AF408" i="5"/>
  <c r="AF373" i="5"/>
  <c r="AF387" i="5"/>
  <c r="AF329" i="5"/>
  <c r="AF281" i="5"/>
  <c r="AF250" i="5"/>
  <c r="AF206" i="5"/>
  <c r="AF146" i="5"/>
  <c r="AF24" i="5"/>
  <c r="AF553" i="5"/>
  <c r="AF450" i="5"/>
  <c r="AF481" i="5"/>
  <c r="AF398" i="5"/>
  <c r="AF513" i="5"/>
  <c r="AF543" i="5"/>
  <c r="AF559" i="5"/>
  <c r="AF548" i="5"/>
  <c r="AF552" i="5"/>
  <c r="AF469" i="5"/>
  <c r="AF556" i="5"/>
  <c r="AF523" i="5"/>
  <c r="AF500" i="5"/>
  <c r="AF470" i="5"/>
  <c r="AF446" i="5"/>
  <c r="AF223" i="5"/>
  <c r="AF480" i="5"/>
  <c r="AF457" i="5"/>
  <c r="AF378" i="5"/>
  <c r="AF526" i="5"/>
  <c r="AF485" i="5"/>
  <c r="AF422" i="5"/>
  <c r="AF412" i="5"/>
  <c r="AF338" i="5"/>
  <c r="AF375" i="5"/>
  <c r="AF280" i="5"/>
  <c r="AF391" i="5"/>
  <c r="AF293" i="5"/>
  <c r="AF330" i="5"/>
  <c r="AF262" i="5"/>
  <c r="AF285" i="5"/>
  <c r="AF319" i="5"/>
  <c r="AF258" i="5"/>
  <c r="AF197" i="5"/>
  <c r="AF212" i="5"/>
  <c r="AF207" i="5"/>
  <c r="AF157" i="5"/>
  <c r="AF113" i="5"/>
  <c r="AF91" i="5"/>
  <c r="AF92" i="5"/>
  <c r="AF23" i="5"/>
  <c r="AF165" i="5"/>
  <c r="AF129" i="5"/>
  <c r="AF81" i="5"/>
  <c r="AF70" i="5"/>
  <c r="AF19" i="5"/>
  <c r="AF560" i="5"/>
  <c r="AF502" i="5"/>
  <c r="AF535" i="5"/>
  <c r="AF509" i="5"/>
  <c r="AF479" i="5"/>
  <c r="AF455" i="5"/>
  <c r="AF426" i="5"/>
  <c r="AF504" i="5"/>
  <c r="AF468" i="5"/>
  <c r="AF424" i="5"/>
  <c r="AF533" i="5"/>
  <c r="AF497" i="5"/>
  <c r="AF447" i="5"/>
  <c r="AF364" i="5"/>
  <c r="AF377" i="5"/>
  <c r="AF414" i="5"/>
  <c r="AF332" i="5"/>
  <c r="AF428" i="5"/>
  <c r="AF355" i="5"/>
  <c r="AF360" i="5"/>
  <c r="AF294" i="5"/>
  <c r="AF313" i="5"/>
  <c r="AF227" i="5"/>
  <c r="AF286" i="5"/>
  <c r="AF226" i="5"/>
  <c r="AF233" i="5"/>
  <c r="AF242" i="5"/>
  <c r="AF176" i="5"/>
  <c r="AF161" i="5"/>
  <c r="AF128" i="5"/>
  <c r="AF54" i="5"/>
  <c r="AF68" i="5"/>
  <c r="AF55" i="5"/>
  <c r="AF67" i="5"/>
  <c r="AF20" i="5"/>
  <c r="AF524" i="5"/>
  <c r="AF489" i="5"/>
  <c r="AF544" i="5"/>
  <c r="AF518" i="5"/>
  <c r="AF401" i="5"/>
  <c r="AF541" i="5"/>
  <c r="AF557" i="5"/>
  <c r="AF508" i="5"/>
  <c r="AF356" i="5"/>
  <c r="AF530" i="5"/>
  <c r="AF488" i="5"/>
  <c r="AF429" i="5"/>
  <c r="AF322" i="5"/>
  <c r="AF545" i="5"/>
  <c r="AF528" i="5"/>
  <c r="AF519" i="5"/>
  <c r="AF503" i="5"/>
  <c r="AF484" i="5"/>
  <c r="AF473" i="5"/>
  <c r="AF463" i="5"/>
  <c r="AF449" i="5"/>
  <c r="AF432" i="5"/>
  <c r="AF345" i="5"/>
  <c r="AF507" i="5"/>
  <c r="AF486" i="5"/>
  <c r="AF474" i="5"/>
  <c r="AF459" i="5"/>
  <c r="AF439" i="5"/>
  <c r="AF421" i="5"/>
  <c r="AF536" i="5"/>
  <c r="AF527" i="5"/>
  <c r="AF515" i="5"/>
  <c r="AF491" i="5"/>
  <c r="AF460" i="5"/>
  <c r="AF434" i="5"/>
  <c r="AF397" i="5"/>
  <c r="AF419" i="5"/>
  <c r="AF389" i="5"/>
  <c r="AF363" i="5"/>
  <c r="AF314" i="5"/>
  <c r="AF390" i="5"/>
  <c r="AF351" i="5"/>
  <c r="AF306" i="5"/>
  <c r="AF208" i="5"/>
  <c r="AF405" i="5"/>
  <c r="AF372" i="5"/>
  <c r="AF340" i="5"/>
  <c r="AF260" i="5"/>
  <c r="AF344" i="5"/>
  <c r="AF310" i="5"/>
  <c r="AF272" i="5"/>
  <c r="AF215" i="5"/>
  <c r="AF296" i="5"/>
  <c r="AF261" i="5"/>
  <c r="AF328" i="5"/>
  <c r="AF299" i="5"/>
  <c r="AF276" i="5"/>
  <c r="AF241" i="5"/>
  <c r="AF205" i="5"/>
  <c r="AF240" i="5"/>
  <c r="AF221" i="5"/>
  <c r="AF187" i="5"/>
  <c r="AF220" i="5"/>
  <c r="AF82" i="5"/>
  <c r="AF185" i="5"/>
  <c r="AF188" i="5"/>
  <c r="AF132" i="5"/>
  <c r="AF144" i="5"/>
  <c r="AF110" i="5"/>
  <c r="AF109" i="5"/>
  <c r="AF98" i="5"/>
  <c r="AF29" i="5"/>
  <c r="AF59" i="5"/>
  <c r="AF50" i="5"/>
  <c r="AF27" i="5"/>
  <c r="AF550" i="5"/>
  <c r="AF493" i="5"/>
  <c r="AF549" i="5"/>
  <c r="AF538" i="5"/>
  <c r="AF443" i="5"/>
  <c r="AF542" i="5"/>
  <c r="AF558" i="5"/>
  <c r="AF525" i="5"/>
  <c r="AF451" i="5"/>
  <c r="AF546" i="5"/>
  <c r="AF499" i="5"/>
  <c r="AF431" i="5"/>
  <c r="AF374" i="5"/>
  <c r="AF554" i="5"/>
  <c r="AF529" i="5"/>
  <c r="AF520" i="5"/>
  <c r="AF506" i="5"/>
  <c r="AF492" i="5"/>
  <c r="AF476" i="5"/>
  <c r="AF465" i="5"/>
  <c r="AF454" i="5"/>
  <c r="AF440" i="5"/>
  <c r="AF420" i="5"/>
  <c r="AF512" i="5"/>
  <c r="AF498" i="5"/>
  <c r="AF477" i="5"/>
  <c r="AF462" i="5"/>
  <c r="AF452" i="5"/>
  <c r="AF423" i="5"/>
  <c r="AF359" i="5"/>
  <c r="AF532" i="5"/>
  <c r="AF516" i="5"/>
  <c r="AF496" i="5"/>
  <c r="AF464" i="5"/>
  <c r="AF435" i="5"/>
  <c r="AF400" i="5"/>
  <c r="AF263" i="5"/>
  <c r="AF392" i="5"/>
  <c r="AF365" i="5"/>
  <c r="AF320" i="5"/>
  <c r="AF402" i="5"/>
  <c r="AF353" i="5"/>
  <c r="AF309" i="5"/>
  <c r="AF239" i="5"/>
  <c r="AF407" i="5"/>
  <c r="AF376" i="5"/>
  <c r="AF342" i="5"/>
  <c r="AF265" i="5"/>
  <c r="AF350" i="5"/>
  <c r="AF317" i="5"/>
  <c r="AF275" i="5"/>
  <c r="AF218" i="5"/>
  <c r="AF300" i="5"/>
  <c r="AF264" i="5"/>
  <c r="AF333" i="5"/>
  <c r="AF304" i="5"/>
  <c r="AF278" i="5"/>
  <c r="AF244" i="5"/>
  <c r="AF210" i="5"/>
  <c r="AF139" i="5"/>
  <c r="AF222" i="5"/>
  <c r="AF190" i="5"/>
  <c r="AF224" i="5"/>
  <c r="AF173" i="5"/>
  <c r="AF159" i="5"/>
  <c r="AF108" i="5"/>
  <c r="AF136" i="5"/>
  <c r="AF150" i="5"/>
  <c r="AF111" i="5"/>
  <c r="AF101" i="5"/>
  <c r="AF80" i="5"/>
  <c r="AF64" i="5"/>
  <c r="AF63" i="5"/>
  <c r="AF51" i="5"/>
  <c r="AF28" i="5"/>
  <c r="AF32" i="5"/>
  <c r="AF34" i="5"/>
  <c r="AF26" i="5"/>
  <c r="AF56" i="5"/>
  <c r="AF46" i="5"/>
  <c r="AF33" i="5"/>
  <c r="AF73" i="5"/>
  <c r="AF71" i="5"/>
  <c r="AF87" i="5"/>
  <c r="AF84" i="5"/>
  <c r="AF94" i="5"/>
  <c r="AF126" i="5"/>
  <c r="AF93" i="5"/>
  <c r="AF116" i="5"/>
  <c r="AF135" i="5"/>
  <c r="AF153" i="5"/>
  <c r="AF114" i="5"/>
  <c r="AF145" i="5"/>
  <c r="AF170" i="5"/>
  <c r="AF119" i="5"/>
  <c r="AF167" i="5"/>
  <c r="AF164" i="5"/>
  <c r="AF200" i="5"/>
  <c r="AF179" i="5"/>
  <c r="AF209" i="5"/>
  <c r="AF229" i="5"/>
  <c r="AF251" i="5"/>
  <c r="AF191" i="5"/>
  <c r="AF213" i="5"/>
  <c r="AF225" i="5"/>
  <c r="AF236" i="5"/>
  <c r="AF177" i="5"/>
  <c r="AF202" i="5"/>
  <c r="AF214" i="5"/>
  <c r="AF231" i="5"/>
  <c r="AF201" i="5"/>
  <c r="AF266" i="5"/>
  <c r="AF279" i="5"/>
  <c r="AF292" i="5"/>
  <c r="AF308" i="5"/>
  <c r="AF325" i="5"/>
  <c r="AF171" i="5"/>
  <c r="AF253" i="5"/>
  <c r="AF269" i="5"/>
  <c r="AF288" i="5"/>
  <c r="AF303" i="5"/>
  <c r="AF323" i="5"/>
  <c r="AF234" i="5"/>
  <c r="AF267" i="5"/>
  <c r="AF284" i="5"/>
  <c r="AF302" i="5"/>
  <c r="AF321" i="5"/>
  <c r="AF331" i="5"/>
  <c r="AF352" i="5"/>
  <c r="AF252" i="5"/>
  <c r="AF274" i="5"/>
  <c r="AF301" i="5"/>
  <c r="AF349" i="5"/>
  <c r="AF367" i="5"/>
  <c r="AF381" i="5"/>
  <c r="AF393" i="5"/>
  <c r="AF409" i="5"/>
  <c r="AF441" i="5"/>
  <c r="AF254" i="5"/>
  <c r="AF283" i="5"/>
  <c r="AF312" i="5"/>
  <c r="AF343" i="5"/>
  <c r="AF361" i="5"/>
  <c r="AF383" i="5"/>
  <c r="AF404" i="5"/>
  <c r="AF418" i="5"/>
  <c r="AF334" i="5"/>
  <c r="AF346" i="5"/>
  <c r="AF370" i="5"/>
  <c r="AF380" i="5"/>
  <c r="AF395" i="5"/>
  <c r="AF413" i="5"/>
  <c r="AF336" i="5"/>
  <c r="AF388" i="5"/>
  <c r="AF403" i="5"/>
  <c r="AF425" i="5"/>
  <c r="AF436" i="5"/>
  <c r="AF456" i="5"/>
  <c r="AF472" i="5"/>
  <c r="AF490" i="5"/>
  <c r="AF39" i="5"/>
  <c r="AF43" i="5"/>
  <c r="AF41" i="5"/>
  <c r="AF60" i="5"/>
  <c r="AF49" i="5"/>
  <c r="AF38" i="5"/>
  <c r="AF77" i="5"/>
  <c r="AF79" i="5"/>
  <c r="AF96" i="5"/>
  <c r="AF86" i="5"/>
  <c r="AF106" i="5"/>
  <c r="AF148" i="5"/>
  <c r="AF102" i="5"/>
  <c r="AF123" i="5"/>
  <c r="AF140" i="5"/>
  <c r="AF155" i="5"/>
  <c r="AF127" i="5"/>
  <c r="AF120" i="5"/>
  <c r="AF181" i="5"/>
  <c r="AF137" i="5"/>
  <c r="AF175" i="5"/>
  <c r="AF166" i="5"/>
  <c r="AF204" i="5"/>
  <c r="AF186" i="5"/>
  <c r="AF216" i="5"/>
  <c r="AF232" i="5"/>
  <c r="AF178" i="5"/>
  <c r="AF195" i="5"/>
  <c r="AF217" i="5"/>
  <c r="AF230" i="5"/>
  <c r="AF238" i="5"/>
  <c r="AF194" i="5"/>
  <c r="AF203" i="5"/>
  <c r="AF219" i="5"/>
  <c r="AF237" i="5"/>
  <c r="AF246" i="5"/>
  <c r="AF270" i="5"/>
  <c r="AF282" i="5"/>
  <c r="AF297" i="5"/>
  <c r="AF311" i="5"/>
  <c r="AF327" i="5"/>
  <c r="AF183" i="5"/>
  <c r="AF259" i="5"/>
  <c r="AF271" i="5"/>
  <c r="AF291" i="5"/>
  <c r="AF307" i="5"/>
  <c r="AF198" i="5"/>
  <c r="AF247" i="5"/>
  <c r="AF268" i="5"/>
  <c r="AF290" i="5"/>
  <c r="AF305" i="5"/>
  <c r="AF326" i="5"/>
  <c r="AF341" i="5"/>
  <c r="AF358" i="5"/>
  <c r="AF255" i="5"/>
  <c r="AF277" i="5"/>
  <c r="AF324" i="5"/>
  <c r="AF354" i="5"/>
  <c r="AF368" i="5"/>
  <c r="AF386" i="5"/>
  <c r="AF396" i="5"/>
  <c r="AF410" i="5"/>
  <c r="AF193" i="5"/>
  <c r="AF257" i="5"/>
  <c r="AF295" i="5"/>
  <c r="AF315" i="5"/>
  <c r="AF347" i="5"/>
  <c r="AF369" i="5"/>
  <c r="AF385" i="5"/>
  <c r="AF411" i="5"/>
  <c r="AF249" i="5"/>
  <c r="AF335" i="5"/>
  <c r="AF357" i="5"/>
  <c r="AF371" i="5"/>
  <c r="AF384" i="5"/>
  <c r="AF399" i="5"/>
  <c r="AF416" i="5"/>
  <c r="AF348" i="5"/>
  <c r="AF394" i="5"/>
  <c r="AF406" i="5"/>
  <c r="AF433" i="5"/>
  <c r="AF442" i="5"/>
  <c r="AF458" i="5"/>
  <c r="AF475" i="5"/>
  <c r="AF174" i="5"/>
  <c r="AF118" i="5"/>
  <c r="AF162" i="5"/>
  <c r="AF134" i="5"/>
  <c r="AF182" i="5"/>
  <c r="AF163" i="5"/>
  <c r="AF143" i="5"/>
  <c r="AF115" i="5"/>
  <c r="AF88" i="5"/>
  <c r="AF149" i="5"/>
  <c r="AF131" i="5"/>
  <c r="AF117" i="5"/>
  <c r="AF107" i="5"/>
  <c r="AF156" i="5"/>
  <c r="AF124" i="5"/>
  <c r="AF104" i="5"/>
  <c r="AF95" i="5"/>
  <c r="AF57" i="5"/>
  <c r="AF61" i="5"/>
  <c r="AF74" i="5"/>
  <c r="AF78" i="5"/>
  <c r="AF69" i="5"/>
  <c r="AF66" i="5"/>
  <c r="AF47" i="5"/>
  <c r="AF65" i="5"/>
  <c r="AF52" i="5"/>
  <c r="AF25" i="5"/>
  <c r="AF40" i="5"/>
  <c r="AF42" i="5"/>
  <c r="AF21" i="5"/>
  <c r="AF211" i="5"/>
  <c r="AF189" i="5"/>
  <c r="AF158" i="5"/>
  <c r="AF192" i="5"/>
  <c r="AF168" i="5"/>
  <c r="AF130" i="5"/>
  <c r="AF172" i="5"/>
  <c r="AF152" i="5"/>
  <c r="AF122" i="5"/>
  <c r="AF184" i="5"/>
  <c r="AF169" i="5"/>
  <c r="AF138" i="5"/>
  <c r="AF141" i="5"/>
  <c r="AF121" i="5"/>
  <c r="AF103" i="5"/>
  <c r="AF154" i="5"/>
  <c r="AF147" i="5"/>
  <c r="AF133" i="5"/>
  <c r="AF125" i="5"/>
  <c r="AF112" i="5"/>
  <c r="AF105" i="5"/>
  <c r="AF160" i="5"/>
  <c r="AF142" i="5"/>
  <c r="AF85" i="5"/>
  <c r="AF99" i="5"/>
  <c r="AF100" i="5"/>
  <c r="AF83" i="5"/>
  <c r="AF97" i="5"/>
  <c r="AF48" i="5"/>
  <c r="AF75" i="5"/>
  <c r="AF35" i="5"/>
  <c r="AF76" i="5"/>
  <c r="AF53" i="5"/>
  <c r="AF30" i="5"/>
  <c r="AF58" i="5"/>
  <c r="AF72" i="5"/>
  <c r="AF62" i="5"/>
  <c r="AF44" i="5"/>
  <c r="AF37" i="5"/>
  <c r="AF22" i="5"/>
  <c r="AF36" i="5"/>
  <c r="AF45" i="5"/>
  <c r="AM29" i="5"/>
  <c r="AM34" i="5"/>
  <c r="AM36" i="5"/>
  <c r="AM40" i="5"/>
  <c r="AM45" i="5"/>
  <c r="AM22" i="5"/>
  <c r="AM25" i="5"/>
  <c r="AM26" i="5"/>
  <c r="AM27" i="5"/>
  <c r="AM31" i="5"/>
  <c r="AM37" i="5"/>
  <c r="AM43" i="5"/>
  <c r="AM20" i="5"/>
  <c r="AM30" i="5"/>
  <c r="AM33" i="5"/>
  <c r="AM38" i="5"/>
  <c r="AM41" i="5"/>
  <c r="AM44" i="5"/>
  <c r="AM46" i="5"/>
  <c r="AM50" i="5"/>
  <c r="AM32" i="5"/>
  <c r="AM35" i="5"/>
  <c r="AM42" i="5"/>
  <c r="AM56" i="5"/>
  <c r="AM60" i="5"/>
  <c r="AM64" i="5"/>
  <c r="AM67" i="5"/>
  <c r="AM68" i="5"/>
  <c r="AM73" i="5"/>
  <c r="AM21" i="5"/>
  <c r="AM28" i="5"/>
  <c r="AM39" i="5"/>
  <c r="AM48" i="5"/>
  <c r="AM52" i="5"/>
  <c r="AM63" i="5"/>
  <c r="AM24" i="5"/>
  <c r="AM51" i="5"/>
  <c r="AM55" i="5"/>
  <c r="AM58" i="5"/>
  <c r="AM61" i="5"/>
  <c r="AM66" i="5"/>
  <c r="AM54" i="5"/>
  <c r="AM57" i="5"/>
  <c r="AM70" i="5"/>
  <c r="AM72" i="5"/>
  <c r="AM78" i="5"/>
  <c r="AM49" i="5"/>
  <c r="AM53" i="5"/>
  <c r="AM71" i="5"/>
  <c r="AM75" i="5"/>
  <c r="AM79" i="5"/>
  <c r="AM23" i="5"/>
  <c r="AM47" i="5"/>
  <c r="AM59" i="5"/>
  <c r="AM62" i="5"/>
  <c r="AM65" i="5"/>
  <c r="AM69" i="5"/>
  <c r="AM76" i="5"/>
  <c r="AM77" i="5"/>
  <c r="AM80" i="5"/>
  <c r="AM82" i="5"/>
  <c r="AM84" i="5"/>
  <c r="AM93" i="5"/>
  <c r="AM83" i="5"/>
  <c r="AM88" i="5"/>
  <c r="AM89" i="5"/>
  <c r="AM90" i="5"/>
  <c r="AM91" i="5"/>
  <c r="AM92" i="5"/>
  <c r="AM95" i="5"/>
  <c r="AM96" i="5"/>
  <c r="AM97" i="5"/>
  <c r="AM98" i="5"/>
  <c r="AM74" i="5"/>
  <c r="AM102" i="5"/>
  <c r="AM105" i="5"/>
  <c r="AM108" i="5"/>
  <c r="AM86" i="5"/>
  <c r="AM87" i="5"/>
  <c r="AM103" i="5"/>
  <c r="AM109" i="5"/>
  <c r="AM94" i="5"/>
  <c r="AM99" i="5"/>
  <c r="AM110" i="5"/>
  <c r="AM114" i="5"/>
  <c r="AM121" i="5"/>
  <c r="AM129" i="5"/>
  <c r="AM131" i="5"/>
  <c r="AM140" i="5"/>
  <c r="AM144" i="5"/>
  <c r="AM151" i="5"/>
  <c r="AM81" i="5"/>
  <c r="AM85" i="5"/>
  <c r="AM100" i="5"/>
  <c r="AM106" i="5"/>
  <c r="AM111" i="5"/>
  <c r="AM112" i="5"/>
  <c r="AM117" i="5"/>
  <c r="AM120" i="5"/>
  <c r="AM123" i="5"/>
  <c r="AM125" i="5"/>
  <c r="AM126" i="5"/>
  <c r="AM128" i="5"/>
  <c r="AM133" i="5"/>
  <c r="AM135" i="5"/>
  <c r="AM138" i="5"/>
  <c r="AM146" i="5"/>
  <c r="AM147" i="5"/>
  <c r="AM149" i="5"/>
  <c r="AM154" i="5"/>
  <c r="AM155" i="5"/>
  <c r="AM107" i="5"/>
  <c r="AM113" i="5"/>
  <c r="AM119" i="5"/>
  <c r="AM124" i="5"/>
  <c r="AM127" i="5"/>
  <c r="AM137" i="5"/>
  <c r="AM139" i="5"/>
  <c r="AM142" i="5"/>
  <c r="AM145" i="5"/>
  <c r="AM148" i="5"/>
  <c r="AM101" i="5"/>
  <c r="AM104" i="5"/>
  <c r="AM132" i="5"/>
  <c r="AM160" i="5"/>
  <c r="AM163" i="5"/>
  <c r="AM167" i="5"/>
  <c r="AM169" i="5"/>
  <c r="AM175" i="5"/>
  <c r="AM177" i="5"/>
  <c r="AM181" i="5"/>
  <c r="AM116" i="5"/>
  <c r="AM141" i="5"/>
  <c r="AM150" i="5"/>
  <c r="AM153" i="5"/>
  <c r="AM159" i="5"/>
  <c r="AM164" i="5"/>
  <c r="AM166" i="5"/>
  <c r="AM170" i="5"/>
  <c r="AM172" i="5"/>
  <c r="AM176" i="5"/>
  <c r="AM180" i="5"/>
  <c r="AM185" i="5"/>
  <c r="AM115" i="5"/>
  <c r="AM122" i="5"/>
  <c r="AM134" i="5"/>
  <c r="AM143" i="5"/>
  <c r="AM152" i="5"/>
  <c r="AM156" i="5"/>
  <c r="AM158" i="5"/>
  <c r="AM162" i="5"/>
  <c r="AM168" i="5"/>
  <c r="AM173" i="5"/>
  <c r="AM183" i="5"/>
  <c r="AM187" i="5"/>
  <c r="AM197" i="5"/>
  <c r="AM198" i="5"/>
  <c r="AM201" i="5"/>
  <c r="AM203" i="5"/>
  <c r="AM118" i="5"/>
  <c r="AM130" i="5"/>
  <c r="AM136" i="5"/>
  <c r="AM165" i="5"/>
  <c r="AM171" i="5"/>
  <c r="AM174" i="5"/>
  <c r="AM190" i="5"/>
  <c r="AM205" i="5"/>
  <c r="AM208" i="5"/>
  <c r="AM211" i="5"/>
  <c r="AM213" i="5"/>
  <c r="AM216" i="5"/>
  <c r="AM221" i="5"/>
  <c r="AM225" i="5"/>
  <c r="AM230" i="5"/>
  <c r="AM233" i="5"/>
  <c r="AM236" i="5"/>
  <c r="AM243" i="5"/>
  <c r="AM179" i="5"/>
  <c r="AM182" i="5"/>
  <c r="AM194" i="5"/>
  <c r="AM195" i="5"/>
  <c r="AM196" i="5"/>
  <c r="AM204" i="5"/>
  <c r="AM210" i="5"/>
  <c r="AM212" i="5"/>
  <c r="AM214" i="5"/>
  <c r="AM217" i="5"/>
  <c r="AM219" i="5"/>
  <c r="AM222" i="5"/>
  <c r="AM226" i="5"/>
  <c r="AM228" i="5"/>
  <c r="AM235" i="5"/>
  <c r="AM238" i="5"/>
  <c r="AM242" i="5"/>
  <c r="AM244" i="5"/>
  <c r="AM161" i="5"/>
  <c r="AM178" i="5"/>
  <c r="AM184" i="5"/>
  <c r="AM186" i="5"/>
  <c r="AM199" i="5"/>
  <c r="AM200" i="5"/>
  <c r="AM202" i="5"/>
  <c r="AM215" i="5"/>
  <c r="AM231" i="5"/>
  <c r="AM234" i="5"/>
  <c r="AM237" i="5"/>
  <c r="AM239" i="5"/>
  <c r="AM240" i="5"/>
  <c r="AM189" i="5"/>
  <c r="AM191" i="5"/>
  <c r="AM193" i="5"/>
  <c r="AM220" i="5"/>
  <c r="AM223" i="5"/>
  <c r="AM246" i="5"/>
  <c r="AM259" i="5"/>
  <c r="AM261" i="5"/>
  <c r="AM264" i="5"/>
  <c r="AM266" i="5"/>
  <c r="AM271" i="5"/>
  <c r="AM274" i="5"/>
  <c r="AM276" i="5"/>
  <c r="AM279" i="5"/>
  <c r="AM281" i="5"/>
  <c r="AM282" i="5"/>
  <c r="AM285" i="5"/>
  <c r="AM288" i="5"/>
  <c r="AM291" i="5"/>
  <c r="AM296" i="5"/>
  <c r="AM300" i="5"/>
  <c r="AM303" i="5"/>
  <c r="AM307" i="5"/>
  <c r="AM313" i="5"/>
  <c r="AM318" i="5"/>
  <c r="AM323" i="5"/>
  <c r="AM327" i="5"/>
  <c r="AM157" i="5"/>
  <c r="AM207" i="5"/>
  <c r="AM247" i="5"/>
  <c r="AM253" i="5"/>
  <c r="AM256" i="5"/>
  <c r="AM262" i="5"/>
  <c r="AM269" i="5"/>
  <c r="AM272" i="5"/>
  <c r="AM278" i="5"/>
  <c r="AM284" i="5"/>
  <c r="AM290" i="5"/>
  <c r="AM294" i="5"/>
  <c r="AM298" i="5"/>
  <c r="AM305" i="5"/>
  <c r="AM317" i="5"/>
  <c r="AM321" i="5"/>
  <c r="AM326" i="5"/>
  <c r="AM331" i="5"/>
  <c r="AM188" i="5"/>
  <c r="AM192" i="5"/>
  <c r="AM227" i="5"/>
  <c r="AM232" i="5"/>
  <c r="AM241" i="5"/>
  <c r="AM248" i="5"/>
  <c r="AM249" i="5"/>
  <c r="AM251" i="5"/>
  <c r="AM255" i="5"/>
  <c r="AM257" i="5"/>
  <c r="AM263" i="5"/>
  <c r="AM265" i="5"/>
  <c r="AM268" i="5"/>
  <c r="AM275" i="5"/>
  <c r="AM283" i="5"/>
  <c r="AM287" i="5"/>
  <c r="AM295" i="5"/>
  <c r="AM301" i="5"/>
  <c r="AM302" i="5"/>
  <c r="AM306" i="5"/>
  <c r="AM309" i="5"/>
  <c r="AM310" i="5"/>
  <c r="AM312" i="5"/>
  <c r="AM314" i="5"/>
  <c r="AM315" i="5"/>
  <c r="AM320" i="5"/>
  <c r="AM322" i="5"/>
  <c r="AM324" i="5"/>
  <c r="AM329" i="5"/>
  <c r="AM330" i="5"/>
  <c r="AM332" i="5"/>
  <c r="AM337" i="5"/>
  <c r="AM339" i="5"/>
  <c r="AM343" i="5"/>
  <c r="AM344" i="5"/>
  <c r="AM346" i="5"/>
  <c r="AM351" i="5"/>
  <c r="AM357" i="5"/>
  <c r="AM358" i="5"/>
  <c r="AM206" i="5"/>
  <c r="AM218" i="5"/>
  <c r="AM224" i="5"/>
  <c r="AM258" i="5"/>
  <c r="AM299" i="5"/>
  <c r="AM316" i="5"/>
  <c r="AM319" i="5"/>
  <c r="AM335" i="5"/>
  <c r="AM338" i="5"/>
  <c r="AM352" i="5"/>
  <c r="AM360" i="5"/>
  <c r="AM367" i="5"/>
  <c r="AM369" i="5"/>
  <c r="AM373" i="5"/>
  <c r="AM376" i="5"/>
  <c r="AM383" i="5"/>
  <c r="AM385" i="5"/>
  <c r="AM393" i="5"/>
  <c r="AM404" i="5"/>
  <c r="AM409" i="5"/>
  <c r="AM410" i="5"/>
  <c r="AM411" i="5"/>
  <c r="AM414" i="5"/>
  <c r="AM420" i="5"/>
  <c r="AM423" i="5"/>
  <c r="AM428" i="5"/>
  <c r="AM431" i="5"/>
  <c r="AM435" i="5"/>
  <c r="AM436" i="5"/>
  <c r="AM440" i="5"/>
  <c r="AM250" i="5"/>
  <c r="AM252" i="5"/>
  <c r="AM260" i="5"/>
  <c r="AM277" i="5"/>
  <c r="AM293" i="5"/>
  <c r="AM304" i="5"/>
  <c r="AM334" i="5"/>
  <c r="AM345" i="5"/>
  <c r="AM350" i="5"/>
  <c r="AM356" i="5"/>
  <c r="AM359" i="5"/>
  <c r="AM361" i="5"/>
  <c r="AM363" i="5"/>
  <c r="AM365" i="5"/>
  <c r="AM370" i="5"/>
  <c r="AM375" i="5"/>
  <c r="AM377" i="5"/>
  <c r="AM380" i="5"/>
  <c r="AM384" i="5"/>
  <c r="AM386" i="5"/>
  <c r="AM389" i="5"/>
  <c r="AM390" i="5"/>
  <c r="AM392" i="5"/>
  <c r="AM399" i="5"/>
  <c r="AM402" i="5"/>
  <c r="AM408" i="5"/>
  <c r="AM413" i="5"/>
  <c r="AM417" i="5"/>
  <c r="AM418" i="5"/>
  <c r="AM419" i="5"/>
  <c r="AM209" i="5"/>
  <c r="AM245" i="5"/>
  <c r="AM254" i="5"/>
  <c r="AM267" i="5"/>
  <c r="AM273" i="5"/>
  <c r="AM280" i="5"/>
  <c r="AM286" i="5"/>
  <c r="AM289" i="5"/>
  <c r="AM292" i="5"/>
  <c r="AM333" i="5"/>
  <c r="AM336" i="5"/>
  <c r="AM340" i="5"/>
  <c r="AM341" i="5"/>
  <c r="AM342" i="5"/>
  <c r="AM348" i="5"/>
  <c r="AM349" i="5"/>
  <c r="AM355" i="5"/>
  <c r="AM364" i="5"/>
  <c r="AM366" i="5"/>
  <c r="AM371" i="5"/>
  <c r="AM374" i="5"/>
  <c r="AM378" i="5"/>
  <c r="AM379" i="5"/>
  <c r="AM388" i="5"/>
  <c r="AM395" i="5"/>
  <c r="AM398" i="5"/>
  <c r="AM400" i="5"/>
  <c r="AM406" i="5"/>
  <c r="AM415" i="5"/>
  <c r="AM416" i="5"/>
  <c r="AM311" i="5"/>
  <c r="AM354" i="5"/>
  <c r="AM362" i="5"/>
  <c r="AM368" i="5"/>
  <c r="AM401" i="5"/>
  <c r="AM422" i="5"/>
  <c r="AM442" i="5"/>
  <c r="AM452" i="5"/>
  <c r="AM457" i="5"/>
  <c r="AM458" i="5"/>
  <c r="AM459" i="5"/>
  <c r="AM460" i="5"/>
  <c r="AM471" i="5"/>
  <c r="AM472" i="5"/>
  <c r="AM475" i="5"/>
  <c r="AM478" i="5"/>
  <c r="AM490" i="5"/>
  <c r="AM496" i="5"/>
  <c r="AM497" i="5"/>
  <c r="AM504" i="5"/>
  <c r="AM515" i="5"/>
  <c r="AM525" i="5"/>
  <c r="AM526" i="5"/>
  <c r="AM531" i="5"/>
  <c r="AM532" i="5"/>
  <c r="AM270" i="5"/>
  <c r="AM325" i="5"/>
  <c r="AM382" i="5"/>
  <c r="AM391" i="5"/>
  <c r="AM394" i="5"/>
  <c r="AM397" i="5"/>
  <c r="AM403" i="5"/>
  <c r="AM412" i="5"/>
  <c r="AM426" i="5"/>
  <c r="AM427" i="5"/>
  <c r="AM429" i="5"/>
  <c r="AM439" i="5"/>
  <c r="AM446" i="5"/>
  <c r="AM447" i="5"/>
  <c r="AM461" i="5"/>
  <c r="AM462" i="5"/>
  <c r="AM465" i="5"/>
  <c r="AM467" i="5"/>
  <c r="AM468" i="5"/>
  <c r="AM470" i="5"/>
  <c r="AM474" i="5"/>
  <c r="AM477" i="5"/>
  <c r="AM480" i="5"/>
  <c r="AM484" i="5"/>
  <c r="AM498" i="5"/>
  <c r="AM506" i="5"/>
  <c r="AM507" i="5"/>
  <c r="AM511" i="5"/>
  <c r="AM512" i="5"/>
  <c r="AM514" i="5"/>
  <c r="AM516" i="5"/>
  <c r="AM519" i="5"/>
  <c r="AM308" i="5"/>
  <c r="AM347" i="5"/>
  <c r="AM353" i="5"/>
  <c r="AM381" i="5"/>
  <c r="AM387" i="5"/>
  <c r="AM396" i="5"/>
  <c r="AM405" i="5"/>
  <c r="AM430" i="5"/>
  <c r="AM432" i="5"/>
  <c r="AM434" i="5"/>
  <c r="AM441" i="5"/>
  <c r="AM443" i="5"/>
  <c r="AM444" i="5"/>
  <c r="AM451" i="5"/>
  <c r="AM453" i="5"/>
  <c r="AM454" i="5"/>
  <c r="AM455" i="5"/>
  <c r="AM463" i="5"/>
  <c r="AM466" i="5"/>
  <c r="AM469" i="5"/>
  <c r="AM473" i="5"/>
  <c r="AM476" i="5"/>
  <c r="AM479" i="5"/>
  <c r="AM482" i="5"/>
  <c r="AM486" i="5"/>
  <c r="AM487" i="5"/>
  <c r="AM488" i="5"/>
  <c r="AM489" i="5"/>
  <c r="AM492" i="5"/>
  <c r="AM493" i="5"/>
  <c r="AM494" i="5"/>
  <c r="AM495" i="5"/>
  <c r="AM499" i="5"/>
  <c r="AM500" i="5"/>
  <c r="AM502" i="5"/>
  <c r="AM503" i="5"/>
  <c r="AM505" i="5"/>
  <c r="AM508" i="5"/>
  <c r="AM509" i="5"/>
  <c r="AM510" i="5"/>
  <c r="AM518" i="5"/>
  <c r="AM520" i="5"/>
  <c r="AM522" i="5"/>
  <c r="AM523" i="5"/>
  <c r="AM530" i="5"/>
  <c r="AM539" i="5"/>
  <c r="AM545" i="5"/>
  <c r="AM554" i="5"/>
  <c r="AM555" i="5"/>
  <c r="AM556" i="5"/>
  <c r="AM229" i="5"/>
  <c r="AM297" i="5"/>
  <c r="AM328" i="5"/>
  <c r="AM421" i="5"/>
  <c r="AM425" i="5"/>
  <c r="AM449" i="5"/>
  <c r="AM456" i="5"/>
  <c r="AM485" i="5"/>
  <c r="AM513" i="5"/>
  <c r="AM517" i="5"/>
  <c r="AM521" i="5"/>
  <c r="AM527" i="5"/>
  <c r="AM529" i="5"/>
  <c r="AM534" i="5"/>
  <c r="AM536" i="5"/>
  <c r="AM540" i="5"/>
  <c r="AM548" i="5"/>
  <c r="AM553" i="5"/>
  <c r="AM557" i="5"/>
  <c r="AM560" i="5"/>
  <c r="AM558" i="5"/>
  <c r="AM433" i="5"/>
  <c r="AM437" i="5"/>
  <c r="AM445" i="5"/>
  <c r="AM448" i="5"/>
  <c r="AM524" i="5"/>
  <c r="AM538" i="5"/>
  <c r="AM543" i="5"/>
  <c r="AM544" i="5"/>
  <c r="AM549" i="5"/>
  <c r="AM550" i="5"/>
  <c r="AM551" i="5"/>
  <c r="AM407" i="5"/>
  <c r="AM424" i="5"/>
  <c r="AM481" i="5"/>
  <c r="AM491" i="5"/>
  <c r="AM501" i="5"/>
  <c r="AM528" i="5"/>
  <c r="AM533" i="5"/>
  <c r="AM535" i="5"/>
  <c r="AM541" i="5"/>
  <c r="AM542" i="5"/>
  <c r="AM547" i="5"/>
  <c r="AM552" i="5"/>
  <c r="AM559" i="5"/>
  <c r="AM372" i="5"/>
  <c r="AM438" i="5"/>
  <c r="AM450" i="5"/>
  <c r="AM464" i="5"/>
  <c r="AM483" i="5"/>
  <c r="AM537" i="5"/>
  <c r="AM546" i="5"/>
  <c r="AM19" i="5"/>
  <c r="B32" i="5"/>
  <c r="AG29" i="5"/>
  <c r="AG30" i="5"/>
  <c r="AG33" i="5"/>
  <c r="AG35" i="5"/>
  <c r="AG38" i="5"/>
  <c r="AG44" i="5"/>
  <c r="AG46" i="5"/>
  <c r="AG21" i="5"/>
  <c r="AG24" i="5"/>
  <c r="AG28" i="5"/>
  <c r="AG32" i="5"/>
  <c r="AG39" i="5"/>
  <c r="AG42" i="5"/>
  <c r="AG45" i="5"/>
  <c r="AG27" i="5"/>
  <c r="AG31" i="5"/>
  <c r="AG34" i="5"/>
  <c r="AG36" i="5"/>
  <c r="AG40" i="5"/>
  <c r="AG43" i="5"/>
  <c r="AG47" i="5"/>
  <c r="AG48" i="5"/>
  <c r="AG49" i="5"/>
  <c r="AG51" i="5"/>
  <c r="AG25" i="5"/>
  <c r="AG37" i="5"/>
  <c r="AG50" i="5"/>
  <c r="AG53" i="5"/>
  <c r="AG54" i="5"/>
  <c r="AG57" i="5"/>
  <c r="AG61" i="5"/>
  <c r="AG64" i="5"/>
  <c r="AG41" i="5"/>
  <c r="AG56" i="5"/>
  <c r="AG60" i="5"/>
  <c r="AG62" i="5"/>
  <c r="AG65" i="5"/>
  <c r="AG67" i="5"/>
  <c r="AG68" i="5"/>
  <c r="AG20" i="5"/>
  <c r="AG23" i="5"/>
  <c r="AG58" i="5"/>
  <c r="AG59" i="5"/>
  <c r="AG63" i="5"/>
  <c r="AG66" i="5"/>
  <c r="AG26" i="5"/>
  <c r="AG80" i="5"/>
  <c r="AG22" i="5"/>
  <c r="AG69" i="5"/>
  <c r="AG70" i="5"/>
  <c r="AG73" i="5"/>
  <c r="AG52" i="5"/>
  <c r="AG55" i="5"/>
  <c r="AG72" i="5"/>
  <c r="AG76" i="5"/>
  <c r="AG77" i="5"/>
  <c r="AG78" i="5"/>
  <c r="AG81" i="5"/>
  <c r="AG86" i="5"/>
  <c r="AG90" i="5"/>
  <c r="AG93" i="5"/>
  <c r="AG94" i="5"/>
  <c r="AG74" i="5"/>
  <c r="AG87" i="5"/>
  <c r="AG96" i="5"/>
  <c r="AG97" i="5"/>
  <c r="AG98" i="5"/>
  <c r="AG102" i="5"/>
  <c r="AG103" i="5"/>
  <c r="AG105" i="5"/>
  <c r="AG107" i="5"/>
  <c r="AG75" i="5"/>
  <c r="AG79" i="5"/>
  <c r="AG82" i="5"/>
  <c r="AG85" i="5"/>
  <c r="AG88" i="5"/>
  <c r="AG91" i="5"/>
  <c r="AG101" i="5"/>
  <c r="AG108" i="5"/>
  <c r="AG83" i="5"/>
  <c r="AG100" i="5"/>
  <c r="AG113" i="5"/>
  <c r="AG114" i="5"/>
  <c r="AG115" i="5"/>
  <c r="AG121" i="5"/>
  <c r="AG127" i="5"/>
  <c r="AG132" i="5"/>
  <c r="AG136" i="5"/>
  <c r="AG141" i="5"/>
  <c r="AG143" i="5"/>
  <c r="AG145" i="5"/>
  <c r="AG71" i="5"/>
  <c r="AG89" i="5"/>
  <c r="AG104" i="5"/>
  <c r="AG124" i="5"/>
  <c r="AG126" i="5"/>
  <c r="AG142" i="5"/>
  <c r="AG148" i="5"/>
  <c r="AG151" i="5"/>
  <c r="AG156" i="5"/>
  <c r="AG92" i="5"/>
  <c r="AG99" i="5"/>
  <c r="AG106" i="5"/>
  <c r="AG109" i="5"/>
  <c r="AG118" i="5"/>
  <c r="AG119" i="5"/>
  <c r="AG120" i="5"/>
  <c r="AG122" i="5"/>
  <c r="AG130" i="5"/>
  <c r="AG134" i="5"/>
  <c r="AG137" i="5"/>
  <c r="AG138" i="5"/>
  <c r="AG139" i="5"/>
  <c r="AG146" i="5"/>
  <c r="AG152" i="5"/>
  <c r="AG84" i="5"/>
  <c r="AG110" i="5"/>
  <c r="AG116" i="5"/>
  <c r="AG123" i="5"/>
  <c r="AG129" i="5"/>
  <c r="AG135" i="5"/>
  <c r="AG144" i="5"/>
  <c r="AG147" i="5"/>
  <c r="AG150" i="5"/>
  <c r="AG153" i="5"/>
  <c r="AG158" i="5"/>
  <c r="AG171" i="5"/>
  <c r="AG173" i="5"/>
  <c r="AG177" i="5"/>
  <c r="AG178" i="5"/>
  <c r="AG179" i="5"/>
  <c r="AG183" i="5"/>
  <c r="AG187" i="5"/>
  <c r="AG112" i="5"/>
  <c r="AG125" i="5"/>
  <c r="AG128" i="5"/>
  <c r="AG131" i="5"/>
  <c r="AG149" i="5"/>
  <c r="AG161" i="5"/>
  <c r="AG163" i="5"/>
  <c r="AG165" i="5"/>
  <c r="AG169" i="5"/>
  <c r="AG170" i="5"/>
  <c r="AG181" i="5"/>
  <c r="AG182" i="5"/>
  <c r="AG184" i="5"/>
  <c r="AG95" i="5"/>
  <c r="AG111" i="5"/>
  <c r="AG133" i="5"/>
  <c r="AG140" i="5"/>
  <c r="AG155" i="5"/>
  <c r="AG157" i="5"/>
  <c r="AG160" i="5"/>
  <c r="AG162" i="5"/>
  <c r="AG167" i="5"/>
  <c r="AG172" i="5"/>
  <c r="AG175" i="5"/>
  <c r="AG185" i="5"/>
  <c r="AG186" i="5"/>
  <c r="AG189" i="5"/>
  <c r="AG190" i="5"/>
  <c r="AG194" i="5"/>
  <c r="AG197" i="5"/>
  <c r="AG198" i="5"/>
  <c r="AG199" i="5"/>
  <c r="AG201" i="5"/>
  <c r="AG206" i="5"/>
  <c r="AG154" i="5"/>
  <c r="AG176" i="5"/>
  <c r="AG193" i="5"/>
  <c r="AG208" i="5"/>
  <c r="AG215" i="5"/>
  <c r="AG218" i="5"/>
  <c r="AG223" i="5"/>
  <c r="AG227" i="5"/>
  <c r="AG234" i="5"/>
  <c r="AG239" i="5"/>
  <c r="AG245" i="5"/>
  <c r="AG247" i="5"/>
  <c r="AG248" i="5"/>
  <c r="AG164" i="5"/>
  <c r="AG192" i="5"/>
  <c r="AG207" i="5"/>
  <c r="AG209" i="5"/>
  <c r="AG211" i="5"/>
  <c r="AG216" i="5"/>
  <c r="AG220" i="5"/>
  <c r="AG224" i="5"/>
  <c r="AG229" i="5"/>
  <c r="AG232" i="5"/>
  <c r="AG242" i="5"/>
  <c r="AG243" i="5"/>
  <c r="AG159" i="5"/>
  <c r="AG166" i="5"/>
  <c r="AG188" i="5"/>
  <c r="AG191" i="5"/>
  <c r="AG195" i="5"/>
  <c r="AG212" i="5"/>
  <c r="AG213" i="5"/>
  <c r="AG217" i="5"/>
  <c r="AG221" i="5"/>
  <c r="AG222" i="5"/>
  <c r="AG225" i="5"/>
  <c r="AG230" i="5"/>
  <c r="AG233" i="5"/>
  <c r="AG235" i="5"/>
  <c r="AG236" i="5"/>
  <c r="AG238" i="5"/>
  <c r="AG240" i="5"/>
  <c r="AG214" i="5"/>
  <c r="AG228" i="5"/>
  <c r="AG249" i="5"/>
  <c r="AG251" i="5"/>
  <c r="AG252" i="5"/>
  <c r="AG254" i="5"/>
  <c r="AG255" i="5"/>
  <c r="AG257" i="5"/>
  <c r="AG260" i="5"/>
  <c r="AG263" i="5"/>
  <c r="AG265" i="5"/>
  <c r="AG273" i="5"/>
  <c r="AG274" i="5"/>
  <c r="AG277" i="5"/>
  <c r="AG280" i="5"/>
  <c r="AG283" i="5"/>
  <c r="AG287" i="5"/>
  <c r="AG293" i="5"/>
  <c r="AG295" i="5"/>
  <c r="AG301" i="5"/>
  <c r="AG306" i="5"/>
  <c r="AG309" i="5"/>
  <c r="AG312" i="5"/>
  <c r="AG314" i="5"/>
  <c r="AG315" i="5"/>
  <c r="AG320" i="5"/>
  <c r="AG322" i="5"/>
  <c r="AG324" i="5"/>
  <c r="AG332" i="5"/>
  <c r="AG203" i="5"/>
  <c r="AG205" i="5"/>
  <c r="AG210" i="5"/>
  <c r="AG219" i="5"/>
  <c r="AG241" i="5"/>
  <c r="AG246" i="5"/>
  <c r="AG250" i="5"/>
  <c r="AG258" i="5"/>
  <c r="AG266" i="5"/>
  <c r="AG270" i="5"/>
  <c r="AG276" i="5"/>
  <c r="AG278" i="5"/>
  <c r="AG279" i="5"/>
  <c r="AG282" i="5"/>
  <c r="AG286" i="5"/>
  <c r="AG289" i="5"/>
  <c r="AG292" i="5"/>
  <c r="AG297" i="5"/>
  <c r="AG299" i="5"/>
  <c r="AG304" i="5"/>
  <c r="AG308" i="5"/>
  <c r="AG311" i="5"/>
  <c r="AG316" i="5"/>
  <c r="AG319" i="5"/>
  <c r="AG325" i="5"/>
  <c r="AG327" i="5"/>
  <c r="AG328" i="5"/>
  <c r="AG117" i="5"/>
  <c r="AG196" i="5"/>
  <c r="AG200" i="5"/>
  <c r="AG237" i="5"/>
  <c r="AG244" i="5"/>
  <c r="AG253" i="5"/>
  <c r="AG259" i="5"/>
  <c r="AG261" i="5"/>
  <c r="AG264" i="5"/>
  <c r="AG269" i="5"/>
  <c r="AG271" i="5"/>
  <c r="AG281" i="5"/>
  <c r="AG285" i="5"/>
  <c r="AG288" i="5"/>
  <c r="AG291" i="5"/>
  <c r="AG296" i="5"/>
  <c r="AG300" i="5"/>
  <c r="AG303" i="5"/>
  <c r="AG307" i="5"/>
  <c r="AG313" i="5"/>
  <c r="AG318" i="5"/>
  <c r="AG323" i="5"/>
  <c r="AG335" i="5"/>
  <c r="AG336" i="5"/>
  <c r="AG338" i="5"/>
  <c r="AG342" i="5"/>
  <c r="AG343" i="5"/>
  <c r="AG345" i="5"/>
  <c r="AG348" i="5"/>
  <c r="AG349" i="5"/>
  <c r="AG354" i="5"/>
  <c r="AG356" i="5"/>
  <c r="AG359" i="5"/>
  <c r="AG174" i="5"/>
  <c r="AG231" i="5"/>
  <c r="AG284" i="5"/>
  <c r="AG290" i="5"/>
  <c r="AG310" i="5"/>
  <c r="AG330" i="5"/>
  <c r="AG341" i="5"/>
  <c r="AG364" i="5"/>
  <c r="AG366" i="5"/>
  <c r="AG374" i="5"/>
  <c r="AG378" i="5"/>
  <c r="AG382" i="5"/>
  <c r="AG388" i="5"/>
  <c r="AG394" i="5"/>
  <c r="AG397" i="5"/>
  <c r="AG398" i="5"/>
  <c r="AG400" i="5"/>
  <c r="AG401" i="5"/>
  <c r="AG403" i="5"/>
  <c r="AG406" i="5"/>
  <c r="AG415" i="5"/>
  <c r="AG420" i="5"/>
  <c r="AG421" i="5"/>
  <c r="AG424" i="5"/>
  <c r="AG429" i="5"/>
  <c r="AG433" i="5"/>
  <c r="AG436" i="5"/>
  <c r="AG437" i="5"/>
  <c r="AG180" i="5"/>
  <c r="AG226" i="5"/>
  <c r="AG262" i="5"/>
  <c r="AG267" i="5"/>
  <c r="AG268" i="5"/>
  <c r="AG298" i="5"/>
  <c r="AG321" i="5"/>
  <c r="AG326" i="5"/>
  <c r="AG329" i="5"/>
  <c r="AG333" i="5"/>
  <c r="AG340" i="5"/>
  <c r="AG355" i="5"/>
  <c r="AG362" i="5"/>
  <c r="AG367" i="5"/>
  <c r="AG368" i="5"/>
  <c r="AG372" i="5"/>
  <c r="AG376" i="5"/>
  <c r="AG381" i="5"/>
  <c r="AG386" i="5"/>
  <c r="AG387" i="5"/>
  <c r="AG391" i="5"/>
  <c r="AG393" i="5"/>
  <c r="AG396" i="5"/>
  <c r="AG405" i="5"/>
  <c r="AG407" i="5"/>
  <c r="AG409" i="5"/>
  <c r="AG410" i="5"/>
  <c r="AG202" i="5"/>
  <c r="AG317" i="5"/>
  <c r="AG339" i="5"/>
  <c r="AG347" i="5"/>
  <c r="AG351" i="5"/>
  <c r="AG352" i="5"/>
  <c r="AG353" i="5"/>
  <c r="AG360" i="5"/>
  <c r="AG361" i="5"/>
  <c r="AG369" i="5"/>
  <c r="AG373" i="5"/>
  <c r="AG375" i="5"/>
  <c r="AG383" i="5"/>
  <c r="AG385" i="5"/>
  <c r="AG390" i="5"/>
  <c r="AG402" i="5"/>
  <c r="AG404" i="5"/>
  <c r="AG411" i="5"/>
  <c r="AG414" i="5"/>
  <c r="AG417" i="5"/>
  <c r="AG418" i="5"/>
  <c r="AG168" i="5"/>
  <c r="AG256" i="5"/>
  <c r="AG275" i="5"/>
  <c r="AG305" i="5"/>
  <c r="AG334" i="5"/>
  <c r="AG344" i="5"/>
  <c r="AG346" i="5"/>
  <c r="AG350" i="5"/>
  <c r="AG371" i="5"/>
  <c r="AG379" i="5"/>
  <c r="AG412" i="5"/>
  <c r="AG419" i="5"/>
  <c r="AG427" i="5"/>
  <c r="AG431" i="5"/>
  <c r="AG438" i="5"/>
  <c r="AG443" i="5"/>
  <c r="AG445" i="5"/>
  <c r="AG450" i="5"/>
  <c r="AG451" i="5"/>
  <c r="AG466" i="5"/>
  <c r="AG469" i="5"/>
  <c r="AG481" i="5"/>
  <c r="AG487" i="5"/>
  <c r="AG488" i="5"/>
  <c r="AG489" i="5"/>
  <c r="AG493" i="5"/>
  <c r="AG494" i="5"/>
  <c r="AG499" i="5"/>
  <c r="AG502" i="5"/>
  <c r="AG508" i="5"/>
  <c r="AG510" i="5"/>
  <c r="AG513" i="5"/>
  <c r="AG518" i="5"/>
  <c r="AG522" i="5"/>
  <c r="AG530" i="5"/>
  <c r="AG294" i="5"/>
  <c r="AG331" i="5"/>
  <c r="AG357" i="5"/>
  <c r="AG370" i="5"/>
  <c r="AG384" i="5"/>
  <c r="AG408" i="5"/>
  <c r="AG422" i="5"/>
  <c r="AG425" i="5"/>
  <c r="AG434" i="5"/>
  <c r="AG435" i="5"/>
  <c r="AG442" i="5"/>
  <c r="AG447" i="5"/>
  <c r="AG448" i="5"/>
  <c r="AG456" i="5"/>
  <c r="AG458" i="5"/>
  <c r="AG460" i="5"/>
  <c r="AG464" i="5"/>
  <c r="AG472" i="5"/>
  <c r="AG475" i="5"/>
  <c r="AG483" i="5"/>
  <c r="AG485" i="5"/>
  <c r="AG490" i="5"/>
  <c r="AG491" i="5"/>
  <c r="AG496" i="5"/>
  <c r="AG497" i="5"/>
  <c r="AG501" i="5"/>
  <c r="AG515" i="5"/>
  <c r="AG516" i="5"/>
  <c r="AG517" i="5"/>
  <c r="AG272" i="5"/>
  <c r="AG302" i="5"/>
  <c r="AG337" i="5"/>
  <c r="AG363" i="5"/>
  <c r="AG399" i="5"/>
  <c r="AG423" i="5"/>
  <c r="AG439" i="5"/>
  <c r="AG452" i="5"/>
  <c r="AG453" i="5"/>
  <c r="AG457" i="5"/>
  <c r="AG459" i="5"/>
  <c r="AG462" i="5"/>
  <c r="AG468" i="5"/>
  <c r="AG471" i="5"/>
  <c r="AG474" i="5"/>
  <c r="AG477" i="5"/>
  <c r="AG478" i="5"/>
  <c r="AG480" i="5"/>
  <c r="AG486" i="5"/>
  <c r="AG498" i="5"/>
  <c r="AG504" i="5"/>
  <c r="AG505" i="5"/>
  <c r="AG507" i="5"/>
  <c r="AG512" i="5"/>
  <c r="AG514" i="5"/>
  <c r="AG524" i="5"/>
  <c r="AG525" i="5"/>
  <c r="AG531" i="5"/>
  <c r="AG543" i="5"/>
  <c r="AG546" i="5"/>
  <c r="AG548" i="5"/>
  <c r="AG549" i="5"/>
  <c r="AG550" i="5"/>
  <c r="AG551" i="5"/>
  <c r="AG553" i="5"/>
  <c r="AG557" i="5"/>
  <c r="AG559" i="5"/>
  <c r="AG204" i="5"/>
  <c r="AG380" i="5"/>
  <c r="AG392" i="5"/>
  <c r="AG416" i="5"/>
  <c r="AG463" i="5"/>
  <c r="AG473" i="5"/>
  <c r="AG476" i="5"/>
  <c r="AG479" i="5"/>
  <c r="AG482" i="5"/>
  <c r="AG492" i="5"/>
  <c r="AG506" i="5"/>
  <c r="AG509" i="5"/>
  <c r="AG520" i="5"/>
  <c r="AG528" i="5"/>
  <c r="AG535" i="5"/>
  <c r="AG539" i="5"/>
  <c r="AG541" i="5"/>
  <c r="AG542" i="5"/>
  <c r="AG547" i="5"/>
  <c r="AG554" i="5"/>
  <c r="AG441" i="5"/>
  <c r="AG444" i="5"/>
  <c r="AG455" i="5"/>
  <c r="AG465" i="5"/>
  <c r="AG484" i="5"/>
  <c r="AG495" i="5"/>
  <c r="AG519" i="5"/>
  <c r="AG526" i="5"/>
  <c r="AG533" i="5"/>
  <c r="AG545" i="5"/>
  <c r="AG552" i="5"/>
  <c r="AG555" i="5"/>
  <c r="AG532" i="5"/>
  <c r="AG536" i="5"/>
  <c r="AG540" i="5"/>
  <c r="AG358" i="5"/>
  <c r="AG365" i="5"/>
  <c r="AG377" i="5"/>
  <c r="AG389" i="5"/>
  <c r="AG395" i="5"/>
  <c r="AG413" i="5"/>
  <c r="AG426" i="5"/>
  <c r="AG428" i="5"/>
  <c r="AG430" i="5"/>
  <c r="AG432" i="5"/>
  <c r="AG454" i="5"/>
  <c r="AG461" i="5"/>
  <c r="AG467" i="5"/>
  <c r="AG511" i="5"/>
  <c r="AG523" i="5"/>
  <c r="AG529" i="5"/>
  <c r="AG537" i="5"/>
  <c r="AG556" i="5"/>
  <c r="AG558" i="5"/>
  <c r="AG560" i="5"/>
  <c r="AG440" i="5"/>
  <c r="AG446" i="5"/>
  <c r="AG449" i="5"/>
  <c r="AG470" i="5"/>
  <c r="AG500" i="5"/>
  <c r="AG503" i="5"/>
  <c r="AG521" i="5"/>
  <c r="AG527" i="5"/>
  <c r="AG534" i="5"/>
  <c r="AG538" i="5"/>
  <c r="AG544" i="5"/>
  <c r="AG19" i="5"/>
  <c r="B31" i="5"/>
  <c r="AJ22" i="5"/>
  <c r="AJ23" i="5"/>
  <c r="AJ25" i="5"/>
  <c r="AJ26" i="5"/>
  <c r="AJ31" i="5"/>
  <c r="AJ37" i="5"/>
  <c r="AJ43" i="5"/>
  <c r="AJ48" i="5"/>
  <c r="AJ20" i="5"/>
  <c r="AJ29" i="5"/>
  <c r="AJ30" i="5"/>
  <c r="AJ33" i="5"/>
  <c r="AJ38" i="5"/>
  <c r="AJ41" i="5"/>
  <c r="AJ44" i="5"/>
  <c r="AJ46" i="5"/>
  <c r="AJ21" i="5"/>
  <c r="AJ24" i="5"/>
  <c r="AJ28" i="5"/>
  <c r="AJ32" i="5"/>
  <c r="AJ35" i="5"/>
  <c r="AJ39" i="5"/>
  <c r="AJ42" i="5"/>
  <c r="AJ45" i="5"/>
  <c r="AJ52" i="5"/>
  <c r="AJ63" i="5"/>
  <c r="AJ69" i="5"/>
  <c r="AJ34" i="5"/>
  <c r="AJ51" i="5"/>
  <c r="AJ53" i="5"/>
  <c r="AJ55" i="5"/>
  <c r="AJ59" i="5"/>
  <c r="AJ61" i="5"/>
  <c r="AJ66" i="5"/>
  <c r="AJ27" i="5"/>
  <c r="AJ36" i="5"/>
  <c r="AJ47" i="5"/>
  <c r="AJ49" i="5"/>
  <c r="AJ50" i="5"/>
  <c r="AJ54" i="5"/>
  <c r="AJ56" i="5"/>
  <c r="AJ57" i="5"/>
  <c r="AJ62" i="5"/>
  <c r="AJ65" i="5"/>
  <c r="AJ71" i="5"/>
  <c r="AJ75" i="5"/>
  <c r="AJ79" i="5"/>
  <c r="AJ40" i="5"/>
  <c r="AJ60" i="5"/>
  <c r="AJ76" i="5"/>
  <c r="AJ77" i="5"/>
  <c r="AJ58" i="5"/>
  <c r="AJ68" i="5"/>
  <c r="AJ73" i="5"/>
  <c r="AJ74" i="5"/>
  <c r="AJ83" i="5"/>
  <c r="AJ88" i="5"/>
  <c r="AJ91" i="5"/>
  <c r="AJ67" i="5"/>
  <c r="AJ70" i="5"/>
  <c r="AJ72" i="5"/>
  <c r="AJ82" i="5"/>
  <c r="AJ78" i="5"/>
  <c r="AJ81" i="5"/>
  <c r="AJ85" i="5"/>
  <c r="AJ93" i="5"/>
  <c r="AJ94" i="5"/>
  <c r="AJ99" i="5"/>
  <c r="AJ101" i="5"/>
  <c r="AJ104" i="5"/>
  <c r="AJ109" i="5"/>
  <c r="AJ84" i="5"/>
  <c r="AJ89" i="5"/>
  <c r="AJ90" i="5"/>
  <c r="AJ92" i="5"/>
  <c r="AJ95" i="5"/>
  <c r="AJ96" i="5"/>
  <c r="AJ98" i="5"/>
  <c r="AJ100" i="5"/>
  <c r="AJ107" i="5"/>
  <c r="AJ97" i="5"/>
  <c r="AJ103" i="5"/>
  <c r="AJ106" i="5"/>
  <c r="AJ111" i="5"/>
  <c r="AJ112" i="5"/>
  <c r="AJ117" i="5"/>
  <c r="AJ118" i="5"/>
  <c r="AJ120" i="5"/>
  <c r="AJ125" i="5"/>
  <c r="AJ126" i="5"/>
  <c r="AJ128" i="5"/>
  <c r="AJ135" i="5"/>
  <c r="AJ138" i="5"/>
  <c r="AJ146" i="5"/>
  <c r="AJ149" i="5"/>
  <c r="AJ152" i="5"/>
  <c r="AJ158" i="5"/>
  <c r="AJ161" i="5"/>
  <c r="AJ87" i="5"/>
  <c r="AJ115" i="5"/>
  <c r="AJ116" i="5"/>
  <c r="AJ122" i="5"/>
  <c r="AJ127" i="5"/>
  <c r="AJ130" i="5"/>
  <c r="AJ132" i="5"/>
  <c r="AJ134" i="5"/>
  <c r="AJ136" i="5"/>
  <c r="AJ141" i="5"/>
  <c r="AJ143" i="5"/>
  <c r="AJ145" i="5"/>
  <c r="AJ153" i="5"/>
  <c r="AJ157" i="5"/>
  <c r="AJ64" i="5"/>
  <c r="AJ80" i="5"/>
  <c r="AJ86" i="5"/>
  <c r="AJ102" i="5"/>
  <c r="AJ105" i="5"/>
  <c r="AJ108" i="5"/>
  <c r="AJ110" i="5"/>
  <c r="AJ114" i="5"/>
  <c r="AJ121" i="5"/>
  <c r="AJ123" i="5"/>
  <c r="AJ129" i="5"/>
  <c r="AJ131" i="5"/>
  <c r="AJ133" i="5"/>
  <c r="AJ140" i="5"/>
  <c r="AJ144" i="5"/>
  <c r="AJ147" i="5"/>
  <c r="AJ150" i="5"/>
  <c r="AJ151" i="5"/>
  <c r="AJ154" i="5"/>
  <c r="AJ155" i="5"/>
  <c r="AJ113" i="5"/>
  <c r="AJ139" i="5"/>
  <c r="AJ159" i="5"/>
  <c r="AJ164" i="5"/>
  <c r="AJ166" i="5"/>
  <c r="AJ168" i="5"/>
  <c r="AJ174" i="5"/>
  <c r="AJ176" i="5"/>
  <c r="AJ180" i="5"/>
  <c r="AJ185" i="5"/>
  <c r="AJ186" i="5"/>
  <c r="AJ156" i="5"/>
  <c r="AJ173" i="5"/>
  <c r="AJ178" i="5"/>
  <c r="AJ179" i="5"/>
  <c r="AJ183" i="5"/>
  <c r="AJ119" i="5"/>
  <c r="AJ137" i="5"/>
  <c r="AJ165" i="5"/>
  <c r="AJ170" i="5"/>
  <c r="AJ171" i="5"/>
  <c r="AJ182" i="5"/>
  <c r="AJ184" i="5"/>
  <c r="AJ188" i="5"/>
  <c r="AJ191" i="5"/>
  <c r="AJ196" i="5"/>
  <c r="AJ200" i="5"/>
  <c r="AJ205" i="5"/>
  <c r="AJ207" i="5"/>
  <c r="AJ124" i="5"/>
  <c r="AJ142" i="5"/>
  <c r="AJ148" i="5"/>
  <c r="AJ160" i="5"/>
  <c r="AJ162" i="5"/>
  <c r="AJ194" i="5"/>
  <c r="AJ195" i="5"/>
  <c r="AJ203" i="5"/>
  <c r="AJ204" i="5"/>
  <c r="AJ210" i="5"/>
  <c r="AJ214" i="5"/>
  <c r="AJ217" i="5"/>
  <c r="AJ219" i="5"/>
  <c r="AJ222" i="5"/>
  <c r="AJ226" i="5"/>
  <c r="AJ228" i="5"/>
  <c r="AJ235" i="5"/>
  <c r="AJ238" i="5"/>
  <c r="AJ240" i="5"/>
  <c r="AJ242" i="5"/>
  <c r="AJ244" i="5"/>
  <c r="AJ167" i="5"/>
  <c r="AJ197" i="5"/>
  <c r="AJ199" i="5"/>
  <c r="AJ202" i="5"/>
  <c r="AJ215" i="5"/>
  <c r="AJ231" i="5"/>
  <c r="AJ234" i="5"/>
  <c r="AJ237" i="5"/>
  <c r="AJ239" i="5"/>
  <c r="AJ169" i="5"/>
  <c r="AJ172" i="5"/>
  <c r="AJ175" i="5"/>
  <c r="AJ181" i="5"/>
  <c r="AJ187" i="5"/>
  <c r="AJ189" i="5"/>
  <c r="AJ192" i="5"/>
  <c r="AJ193" i="5"/>
  <c r="AJ198" i="5"/>
  <c r="AJ201" i="5"/>
  <c r="AJ206" i="5"/>
  <c r="AJ209" i="5"/>
  <c r="AJ216" i="5"/>
  <c r="AJ218" i="5"/>
  <c r="AJ220" i="5"/>
  <c r="AJ223" i="5"/>
  <c r="AJ224" i="5"/>
  <c r="AJ227" i="5"/>
  <c r="AJ229" i="5"/>
  <c r="AJ232" i="5"/>
  <c r="AJ241" i="5"/>
  <c r="AJ163" i="5"/>
  <c r="AJ208" i="5"/>
  <c r="AJ211" i="5"/>
  <c r="AJ233" i="5"/>
  <c r="AJ236" i="5"/>
  <c r="AJ243" i="5"/>
  <c r="AJ247" i="5"/>
  <c r="AJ253" i="5"/>
  <c r="AJ256" i="5"/>
  <c r="AJ262" i="5"/>
  <c r="AJ269" i="5"/>
  <c r="AJ272" i="5"/>
  <c r="AJ278" i="5"/>
  <c r="AJ284" i="5"/>
  <c r="AJ290" i="5"/>
  <c r="AJ294" i="5"/>
  <c r="AJ298" i="5"/>
  <c r="AJ302" i="5"/>
  <c r="AJ305" i="5"/>
  <c r="AJ310" i="5"/>
  <c r="AJ317" i="5"/>
  <c r="AJ321" i="5"/>
  <c r="AJ326" i="5"/>
  <c r="AJ329" i="5"/>
  <c r="AJ330" i="5"/>
  <c r="AJ331" i="5"/>
  <c r="AJ177" i="5"/>
  <c r="AJ225" i="5"/>
  <c r="AJ230" i="5"/>
  <c r="AJ248" i="5"/>
  <c r="AJ249" i="5"/>
  <c r="AJ251" i="5"/>
  <c r="AJ254" i="5"/>
  <c r="AJ255" i="5"/>
  <c r="AJ257" i="5"/>
  <c r="AJ263" i="5"/>
  <c r="AJ265" i="5"/>
  <c r="AJ268" i="5"/>
  <c r="AJ275" i="5"/>
  <c r="AJ280" i="5"/>
  <c r="AJ283" i="5"/>
  <c r="AJ287" i="5"/>
  <c r="AJ293" i="5"/>
  <c r="AJ295" i="5"/>
  <c r="AJ301" i="5"/>
  <c r="AJ306" i="5"/>
  <c r="AJ309" i="5"/>
  <c r="AJ312" i="5"/>
  <c r="AJ314" i="5"/>
  <c r="AJ315" i="5"/>
  <c r="AJ320" i="5"/>
  <c r="AJ322" i="5"/>
  <c r="AJ324" i="5"/>
  <c r="AJ332" i="5"/>
  <c r="AJ190" i="5"/>
  <c r="AJ213" i="5"/>
  <c r="AJ221" i="5"/>
  <c r="AJ245" i="5"/>
  <c r="AJ250" i="5"/>
  <c r="AJ252" i="5"/>
  <c r="AJ258" i="5"/>
  <c r="AJ260" i="5"/>
  <c r="AJ267" i="5"/>
  <c r="AJ270" i="5"/>
  <c r="AJ273" i="5"/>
  <c r="AJ276" i="5"/>
  <c r="AJ277" i="5"/>
  <c r="AJ282" i="5"/>
  <c r="AJ286" i="5"/>
  <c r="AJ289" i="5"/>
  <c r="AJ292" i="5"/>
  <c r="AJ297" i="5"/>
  <c r="AJ299" i="5"/>
  <c r="AJ304" i="5"/>
  <c r="AJ308" i="5"/>
  <c r="AJ311" i="5"/>
  <c r="AJ316" i="5"/>
  <c r="AJ319" i="5"/>
  <c r="AJ325" i="5"/>
  <c r="AJ328" i="5"/>
  <c r="AJ333" i="5"/>
  <c r="AJ334" i="5"/>
  <c r="AJ340" i="5"/>
  <c r="AJ347" i="5"/>
  <c r="AJ353" i="5"/>
  <c r="AJ355" i="5"/>
  <c r="AJ212" i="5"/>
  <c r="AJ246" i="5"/>
  <c r="AJ281" i="5"/>
  <c r="AJ296" i="5"/>
  <c r="AJ307" i="5"/>
  <c r="AJ313" i="5"/>
  <c r="AJ327" i="5"/>
  <c r="AJ337" i="5"/>
  <c r="AJ344" i="5"/>
  <c r="AJ345" i="5"/>
  <c r="AJ346" i="5"/>
  <c r="AJ350" i="5"/>
  <c r="AJ356" i="5"/>
  <c r="AJ357" i="5"/>
  <c r="AJ359" i="5"/>
  <c r="AJ363" i="5"/>
  <c r="AJ365" i="5"/>
  <c r="AJ370" i="5"/>
  <c r="AJ371" i="5"/>
  <c r="AJ377" i="5"/>
  <c r="AJ379" i="5"/>
  <c r="AJ380" i="5"/>
  <c r="AJ384" i="5"/>
  <c r="AJ389" i="5"/>
  <c r="AJ390" i="5"/>
  <c r="AJ392" i="5"/>
  <c r="AJ399" i="5"/>
  <c r="AJ408" i="5"/>
  <c r="AJ412" i="5"/>
  <c r="AJ413" i="5"/>
  <c r="AJ416" i="5"/>
  <c r="AJ419" i="5"/>
  <c r="AJ426" i="5"/>
  <c r="AJ427" i="5"/>
  <c r="AJ432" i="5"/>
  <c r="AJ434" i="5"/>
  <c r="AJ439" i="5"/>
  <c r="AJ271" i="5"/>
  <c r="AJ274" i="5"/>
  <c r="AJ318" i="5"/>
  <c r="AJ336" i="5"/>
  <c r="AJ341" i="5"/>
  <c r="AJ342" i="5"/>
  <c r="AJ348" i="5"/>
  <c r="AJ349" i="5"/>
  <c r="AJ354" i="5"/>
  <c r="AJ358" i="5"/>
  <c r="AJ364" i="5"/>
  <c r="AJ366" i="5"/>
  <c r="AJ374" i="5"/>
  <c r="AJ378" i="5"/>
  <c r="AJ388" i="5"/>
  <c r="AJ394" i="5"/>
  <c r="AJ395" i="5"/>
  <c r="AJ398" i="5"/>
  <c r="AJ400" i="5"/>
  <c r="AJ406" i="5"/>
  <c r="AJ415" i="5"/>
  <c r="AJ420" i="5"/>
  <c r="AJ259" i="5"/>
  <c r="AJ264" i="5"/>
  <c r="AJ300" i="5"/>
  <c r="AJ303" i="5"/>
  <c r="AJ323" i="5"/>
  <c r="AJ343" i="5"/>
  <c r="AJ362" i="5"/>
  <c r="AJ368" i="5"/>
  <c r="AJ372" i="5"/>
  <c r="AJ376" i="5"/>
  <c r="AJ381" i="5"/>
  <c r="AJ382" i="5"/>
  <c r="AJ386" i="5"/>
  <c r="AJ387" i="5"/>
  <c r="AJ391" i="5"/>
  <c r="AJ396" i="5"/>
  <c r="AJ397" i="5"/>
  <c r="AJ401" i="5"/>
  <c r="AJ403" i="5"/>
  <c r="AJ405" i="5"/>
  <c r="AJ407" i="5"/>
  <c r="AJ409" i="5"/>
  <c r="AJ410" i="5"/>
  <c r="AJ338" i="5"/>
  <c r="AJ352" i="5"/>
  <c r="AJ385" i="5"/>
  <c r="AJ428" i="5"/>
  <c r="AJ429" i="5"/>
  <c r="AJ430" i="5"/>
  <c r="AJ440" i="5"/>
  <c r="AJ444" i="5"/>
  <c r="AJ446" i="5"/>
  <c r="AJ453" i="5"/>
  <c r="AJ461" i="5"/>
  <c r="AJ465" i="5"/>
  <c r="AJ467" i="5"/>
  <c r="AJ470" i="5"/>
  <c r="AJ476" i="5"/>
  <c r="AJ477" i="5"/>
  <c r="AJ479" i="5"/>
  <c r="AJ480" i="5"/>
  <c r="AJ482" i="5"/>
  <c r="AJ484" i="5"/>
  <c r="AJ492" i="5"/>
  <c r="AJ495" i="5"/>
  <c r="AJ500" i="5"/>
  <c r="AJ505" i="5"/>
  <c r="AJ506" i="5"/>
  <c r="AJ511" i="5"/>
  <c r="AJ512" i="5"/>
  <c r="AJ519" i="5"/>
  <c r="AJ523" i="5"/>
  <c r="AJ537" i="5"/>
  <c r="AJ288" i="5"/>
  <c r="AJ361" i="5"/>
  <c r="AJ367" i="5"/>
  <c r="AJ373" i="5"/>
  <c r="AJ418" i="5"/>
  <c r="AJ431" i="5"/>
  <c r="AJ436" i="5"/>
  <c r="AJ438" i="5"/>
  <c r="AJ441" i="5"/>
  <c r="AJ443" i="5"/>
  <c r="AJ449" i="5"/>
  <c r="AJ450" i="5"/>
  <c r="AJ451" i="5"/>
  <c r="AJ454" i="5"/>
  <c r="AJ455" i="5"/>
  <c r="AJ463" i="5"/>
  <c r="AJ466" i="5"/>
  <c r="AJ469" i="5"/>
  <c r="AJ473" i="5"/>
  <c r="AJ481" i="5"/>
  <c r="AJ487" i="5"/>
  <c r="AJ488" i="5"/>
  <c r="AJ489" i="5"/>
  <c r="AJ493" i="5"/>
  <c r="AJ494" i="5"/>
  <c r="AJ499" i="5"/>
  <c r="AJ502" i="5"/>
  <c r="AJ503" i="5"/>
  <c r="AJ508" i="5"/>
  <c r="AJ509" i="5"/>
  <c r="AJ510" i="5"/>
  <c r="AJ513" i="5"/>
  <c r="AJ518" i="5"/>
  <c r="AJ520" i="5"/>
  <c r="AJ521" i="5"/>
  <c r="AJ266" i="5"/>
  <c r="AJ335" i="5"/>
  <c r="AJ339" i="5"/>
  <c r="AJ351" i="5"/>
  <c r="AJ375" i="5"/>
  <c r="AJ393" i="5"/>
  <c r="AJ402" i="5"/>
  <c r="AJ411" i="5"/>
  <c r="AJ414" i="5"/>
  <c r="AJ417" i="5"/>
  <c r="AJ421" i="5"/>
  <c r="AJ422" i="5"/>
  <c r="AJ424" i="5"/>
  <c r="AJ425" i="5"/>
  <c r="AJ433" i="5"/>
  <c r="AJ435" i="5"/>
  <c r="AJ437" i="5"/>
  <c r="AJ442" i="5"/>
  <c r="AJ445" i="5"/>
  <c r="AJ448" i="5"/>
  <c r="AJ456" i="5"/>
  <c r="AJ458" i="5"/>
  <c r="AJ460" i="5"/>
  <c r="AJ464" i="5"/>
  <c r="AJ472" i="5"/>
  <c r="AJ483" i="5"/>
  <c r="AJ485" i="5"/>
  <c r="AJ490" i="5"/>
  <c r="AJ491" i="5"/>
  <c r="AJ496" i="5"/>
  <c r="AJ501" i="5"/>
  <c r="AJ517" i="5"/>
  <c r="AJ526" i="5"/>
  <c r="AJ527" i="5"/>
  <c r="AJ533" i="5"/>
  <c r="AJ534" i="5"/>
  <c r="AJ536" i="5"/>
  <c r="AJ538" i="5"/>
  <c r="AJ540" i="5"/>
  <c r="AJ542" i="5"/>
  <c r="AJ544" i="5"/>
  <c r="AJ547" i="5"/>
  <c r="AJ552" i="5"/>
  <c r="AJ558" i="5"/>
  <c r="AJ261" i="5"/>
  <c r="AJ279" i="5"/>
  <c r="AJ285" i="5"/>
  <c r="AJ291" i="5"/>
  <c r="AJ404" i="5"/>
  <c r="AJ423" i="5"/>
  <c r="AJ452" i="5"/>
  <c r="AJ459" i="5"/>
  <c r="AJ524" i="5"/>
  <c r="AJ532" i="5"/>
  <c r="AJ549" i="5"/>
  <c r="AJ550" i="5"/>
  <c r="AJ559" i="5"/>
  <c r="AJ556" i="5"/>
  <c r="AJ369" i="5"/>
  <c r="AJ462" i="5"/>
  <c r="AJ468" i="5"/>
  <c r="AJ516" i="5"/>
  <c r="AJ522" i="5"/>
  <c r="AJ528" i="5"/>
  <c r="AJ530" i="5"/>
  <c r="AJ535" i="5"/>
  <c r="AJ539" i="5"/>
  <c r="AJ541" i="5"/>
  <c r="AJ546" i="5"/>
  <c r="AJ551" i="5"/>
  <c r="AJ554" i="5"/>
  <c r="AJ548" i="5"/>
  <c r="AJ560" i="5"/>
  <c r="AJ383" i="5"/>
  <c r="AJ447" i="5"/>
  <c r="AJ457" i="5"/>
  <c r="AJ471" i="5"/>
  <c r="AJ475" i="5"/>
  <c r="AJ478" i="5"/>
  <c r="AJ486" i="5"/>
  <c r="AJ498" i="5"/>
  <c r="AJ504" i="5"/>
  <c r="AJ515" i="5"/>
  <c r="AJ525" i="5"/>
  <c r="AJ531" i="5"/>
  <c r="AJ555" i="5"/>
  <c r="AJ557" i="5"/>
  <c r="AJ360" i="5"/>
  <c r="AJ474" i="5"/>
  <c r="AJ497" i="5"/>
  <c r="AJ507" i="5"/>
  <c r="AJ514" i="5"/>
  <c r="AJ529" i="5"/>
  <c r="AJ543" i="5"/>
  <c r="AJ545" i="5"/>
  <c r="AJ553" i="5"/>
  <c r="AJ19" i="5"/>
  <c r="B76" i="2"/>
  <c r="AO2" i="4" s="1"/>
  <c r="B24" i="3"/>
  <c r="B74" i="2"/>
  <c r="B10" i="2"/>
  <c r="B16" i="3"/>
  <c r="B14" i="3"/>
  <c r="B12" i="3"/>
  <c r="B9" i="2"/>
  <c r="B12" i="10" s="1"/>
  <c r="B8" i="2"/>
  <c r="H59" i="1" s="1"/>
  <c r="B7" i="2"/>
  <c r="B10" i="10" s="1"/>
  <c r="AS247" i="10" l="1"/>
  <c r="AS402" i="10"/>
  <c r="AS484" i="10"/>
  <c r="AS394" i="10"/>
  <c r="AS357" i="10"/>
  <c r="AS258" i="10"/>
  <c r="AS348" i="10"/>
  <c r="AS83" i="10"/>
  <c r="AS191" i="10"/>
  <c r="AS168" i="10"/>
  <c r="AS400" i="10"/>
  <c r="AS538" i="10"/>
  <c r="AS42" i="10"/>
  <c r="AS69" i="10"/>
  <c r="AS188" i="10"/>
  <c r="AS283" i="10"/>
  <c r="AS313" i="10"/>
  <c r="AS310" i="10"/>
  <c r="AS420" i="10"/>
  <c r="AS391" i="10"/>
  <c r="AS456" i="10"/>
  <c r="AS457" i="10"/>
  <c r="AS535" i="10"/>
  <c r="AS347" i="10"/>
  <c r="AS314" i="10"/>
  <c r="AS492" i="10"/>
  <c r="AS542" i="10"/>
  <c r="AS101" i="10"/>
  <c r="AS272" i="10"/>
  <c r="AS132" i="10"/>
  <c r="AS164" i="10"/>
  <c r="AS254" i="10"/>
  <c r="AS414" i="10"/>
  <c r="AS436" i="10"/>
  <c r="AS497" i="10"/>
  <c r="AS499" i="10"/>
  <c r="AS530" i="10"/>
  <c r="B112" i="2"/>
  <c r="K112" i="2" s="1"/>
  <c r="B183" i="2"/>
  <c r="T7" i="5" s="1"/>
  <c r="V7" i="5" s="1"/>
  <c r="B18" i="5"/>
  <c r="B18" i="10"/>
  <c r="BV8" i="4"/>
  <c r="BV24" i="4"/>
  <c r="BV40" i="4"/>
  <c r="BV56" i="4"/>
  <c r="BV72" i="4"/>
  <c r="BV88" i="4"/>
  <c r="BV104" i="4"/>
  <c r="BV120" i="4"/>
  <c r="BV136" i="4"/>
  <c r="BV152" i="4"/>
  <c r="BV39" i="4"/>
  <c r="BV71" i="4"/>
  <c r="BV17" i="4"/>
  <c r="BV33" i="4"/>
  <c r="BV49" i="4"/>
  <c r="BV65" i="4"/>
  <c r="BV81" i="4"/>
  <c r="BV97" i="4"/>
  <c r="BV113" i="4"/>
  <c r="BV129" i="4"/>
  <c r="BV145" i="4"/>
  <c r="BV10" i="4"/>
  <c r="BV26" i="4"/>
  <c r="BV42" i="4"/>
  <c r="BV58" i="4"/>
  <c r="BV74" i="4"/>
  <c r="BV90" i="4"/>
  <c r="BV106" i="4"/>
  <c r="BV122" i="4"/>
  <c r="BV138" i="4"/>
  <c r="BV154" i="4"/>
  <c r="BV27" i="4"/>
  <c r="BV59" i="4"/>
  <c r="BV111" i="4"/>
  <c r="BV99" i="4"/>
  <c r="BV87" i="4"/>
  <c r="BV151" i="4"/>
  <c r="BV139" i="4"/>
  <c r="BV20" i="4"/>
  <c r="BV44" i="4"/>
  <c r="BV64" i="4"/>
  <c r="BV84" i="4"/>
  <c r="BV108" i="4"/>
  <c r="BV128" i="4"/>
  <c r="BV148" i="4"/>
  <c r="BV47" i="4"/>
  <c r="BV9" i="4"/>
  <c r="BV29" i="4"/>
  <c r="BV53" i="4"/>
  <c r="BV73" i="4"/>
  <c r="BV93" i="4"/>
  <c r="BV117" i="4"/>
  <c r="BV137" i="4"/>
  <c r="BV157" i="4"/>
  <c r="BV30" i="4"/>
  <c r="BV50" i="4"/>
  <c r="BV70" i="4"/>
  <c r="BV94" i="4"/>
  <c r="BV114" i="4"/>
  <c r="BV134" i="4"/>
  <c r="BV11" i="4"/>
  <c r="BV43" i="4"/>
  <c r="BV95" i="4"/>
  <c r="BV115" i="4"/>
  <c r="BV119" i="4"/>
  <c r="BV123" i="4"/>
  <c r="BV28" i="4"/>
  <c r="BV48" i="4"/>
  <c r="BV68" i="4"/>
  <c r="BV92" i="4"/>
  <c r="BV112" i="4"/>
  <c r="BV132" i="4"/>
  <c r="BV156" i="4"/>
  <c r="BV55" i="4"/>
  <c r="BV13" i="4"/>
  <c r="BV37" i="4"/>
  <c r="BV57" i="4"/>
  <c r="BV77" i="4"/>
  <c r="BV101" i="4"/>
  <c r="BV121" i="4"/>
  <c r="BV141" i="4"/>
  <c r="BV14" i="4"/>
  <c r="BV34" i="4"/>
  <c r="BV54" i="4"/>
  <c r="BV78" i="4"/>
  <c r="BV98" i="4"/>
  <c r="BV118" i="4"/>
  <c r="BV142" i="4"/>
  <c r="BV19" i="4"/>
  <c r="BV51" i="4"/>
  <c r="BV127" i="4"/>
  <c r="BV131" i="4"/>
  <c r="BV135" i="4"/>
  <c r="BV155" i="4"/>
  <c r="BV12" i="4"/>
  <c r="BV32" i="4"/>
  <c r="BV52" i="4"/>
  <c r="BV76" i="4"/>
  <c r="BV96" i="4"/>
  <c r="BV116" i="4"/>
  <c r="BV140" i="4"/>
  <c r="BV15" i="4"/>
  <c r="BV63" i="4"/>
  <c r="BV21" i="4"/>
  <c r="BV41" i="4"/>
  <c r="BV61" i="4"/>
  <c r="BV85" i="4"/>
  <c r="BV105" i="4"/>
  <c r="BV125" i="4"/>
  <c r="BV149" i="4"/>
  <c r="BV18" i="4"/>
  <c r="BV38" i="4"/>
  <c r="BV62" i="4"/>
  <c r="BV82" i="4"/>
  <c r="BV102" i="4"/>
  <c r="BV126" i="4"/>
  <c r="BV146" i="4"/>
  <c r="BV23" i="4"/>
  <c r="BV67" i="4"/>
  <c r="BV143" i="4"/>
  <c r="BV147" i="4"/>
  <c r="BV91" i="4"/>
  <c r="BV80" i="4"/>
  <c r="BV31" i="4"/>
  <c r="BV69" i="4"/>
  <c r="BV153" i="4"/>
  <c r="BV86" i="4"/>
  <c r="BV35" i="4"/>
  <c r="BV107" i="4"/>
  <c r="BV16" i="4"/>
  <c r="BV100" i="4"/>
  <c r="BV79" i="4"/>
  <c r="BV89" i="4"/>
  <c r="BV22" i="4"/>
  <c r="BV110" i="4"/>
  <c r="BV75" i="4"/>
  <c r="BV36" i="4"/>
  <c r="BV124" i="4"/>
  <c r="BV25" i="4"/>
  <c r="BV109" i="4"/>
  <c r="BV46" i="4"/>
  <c r="BV130" i="4"/>
  <c r="BV83" i="4"/>
  <c r="BV60" i="4"/>
  <c r="BV144" i="4"/>
  <c r="BV45" i="4"/>
  <c r="BV133" i="4"/>
  <c r="BV66" i="4"/>
  <c r="BV150" i="4"/>
  <c r="BV103" i="4"/>
  <c r="B29" i="10"/>
  <c r="AS24" i="10"/>
  <c r="AS51" i="10"/>
  <c r="AS97" i="10"/>
  <c r="AS45" i="10"/>
  <c r="AS145" i="10"/>
  <c r="AS32" i="10"/>
  <c r="AS60" i="10"/>
  <c r="AS75" i="10"/>
  <c r="AS150" i="10"/>
  <c r="AS197" i="10"/>
  <c r="AS135" i="10"/>
  <c r="AS128" i="10"/>
  <c r="AS160" i="10"/>
  <c r="AS207" i="10"/>
  <c r="AS255" i="10"/>
  <c r="AS287" i="10"/>
  <c r="AS212" i="10"/>
  <c r="AS228" i="10"/>
  <c r="AS331" i="10"/>
  <c r="AS356" i="10"/>
  <c r="AS333" i="10"/>
  <c r="AS374" i="10"/>
  <c r="AS408" i="10"/>
  <c r="AS365" i="10"/>
  <c r="AS432" i="10"/>
  <c r="AS482" i="10"/>
  <c r="AS475" i="10"/>
  <c r="AS494" i="10"/>
  <c r="AS496" i="10"/>
  <c r="AS537" i="10"/>
  <c r="AS81" i="10"/>
  <c r="AS57" i="10"/>
  <c r="AS129" i="10"/>
  <c r="AS22" i="10"/>
  <c r="AS23" i="10"/>
  <c r="AS41" i="10"/>
  <c r="AS169" i="10"/>
  <c r="AS185" i="10"/>
  <c r="AS86" i="10"/>
  <c r="AS118" i="10"/>
  <c r="AS268" i="10"/>
  <c r="AS68" i="10"/>
  <c r="AS221" i="10"/>
  <c r="AS237" i="10"/>
  <c r="AS244" i="10"/>
  <c r="AS190" i="10"/>
  <c r="AS206" i="10"/>
  <c r="AS301" i="10"/>
  <c r="AS315" i="10"/>
  <c r="AS324" i="10"/>
  <c r="AS340" i="10"/>
  <c r="AS282" i="10"/>
  <c r="AS298" i="10"/>
  <c r="AS346" i="10"/>
  <c r="AS424" i="10"/>
  <c r="AS427" i="10"/>
  <c r="AS460" i="10"/>
  <c r="AS397" i="10"/>
  <c r="AS413" i="10"/>
  <c r="AS429" i="10"/>
  <c r="AS448" i="10"/>
  <c r="AS446" i="10"/>
  <c r="AS463" i="10"/>
  <c r="AS490" i="10"/>
  <c r="AS461" i="10"/>
  <c r="AS477" i="10"/>
  <c r="AS508" i="10"/>
  <c r="AS543" i="10"/>
  <c r="AS548" i="10"/>
  <c r="AS85" i="10"/>
  <c r="AS149" i="10"/>
  <c r="AS95" i="10"/>
  <c r="AS138" i="10"/>
  <c r="AS154" i="10"/>
  <c r="AS201" i="10"/>
  <c r="AS187" i="10"/>
  <c r="AS259" i="10"/>
  <c r="AS291" i="10"/>
  <c r="AS368" i="10"/>
  <c r="AS216" i="10"/>
  <c r="AS232" i="10"/>
  <c r="AS304" i="10"/>
  <c r="AS194" i="10"/>
  <c r="AS319" i="10"/>
  <c r="AS344" i="10"/>
  <c r="AS321" i="10"/>
  <c r="AS353" i="10"/>
  <c r="AS318" i="10"/>
  <c r="AS350" i="10"/>
  <c r="AS366" i="10"/>
  <c r="AS396" i="10"/>
  <c r="AS428" i="10"/>
  <c r="AS398" i="10"/>
  <c r="AS464" i="10"/>
  <c r="AS479" i="10"/>
  <c r="AS493" i="10"/>
  <c r="AS498" i="10"/>
  <c r="AS516" i="10"/>
  <c r="AS534" i="10"/>
  <c r="AS532" i="10"/>
  <c r="AS553" i="10"/>
  <c r="AS551" i="10"/>
  <c r="AS20" i="10"/>
  <c r="AS62" i="10"/>
  <c r="AS77" i="10"/>
  <c r="AS93" i="10"/>
  <c r="AS125" i="10"/>
  <c r="AS87" i="10"/>
  <c r="AS115" i="10"/>
  <c r="AS131" i="10"/>
  <c r="AS179" i="10"/>
  <c r="AS264" i="10"/>
  <c r="AS296" i="10"/>
  <c r="AS124" i="10"/>
  <c r="AS156" i="10"/>
  <c r="AS380" i="10"/>
  <c r="AS218" i="10"/>
  <c r="AS234" i="10"/>
  <c r="AS249" i="10"/>
  <c r="AS265" i="10"/>
  <c r="AS281" i="10"/>
  <c r="AS297" i="10"/>
  <c r="AS311" i="10"/>
  <c r="AS320" i="10"/>
  <c r="AS262" i="10"/>
  <c r="AS294" i="10"/>
  <c r="AS422" i="10"/>
  <c r="AS407" i="10"/>
  <c r="AS486" i="10"/>
  <c r="AS488" i="10"/>
  <c r="AS491" i="10"/>
  <c r="AS507" i="10"/>
  <c r="AS541" i="10"/>
  <c r="AS554" i="10"/>
  <c r="AS55" i="10"/>
  <c r="AS300" i="10"/>
  <c r="AS30" i="10"/>
  <c r="AS50" i="10"/>
  <c r="AS117" i="10"/>
  <c r="AS63" i="10"/>
  <c r="AS90" i="10"/>
  <c r="AS275" i="10"/>
  <c r="AS178" i="10"/>
  <c r="AS210" i="10"/>
  <c r="AS242" i="10"/>
  <c r="AS273" i="10"/>
  <c r="AS375" i="10"/>
  <c r="AS312" i="10"/>
  <c r="AS337" i="10"/>
  <c r="AS412" i="10"/>
  <c r="AS433" i="10"/>
  <c r="AS512" i="10"/>
  <c r="AS44" i="10"/>
  <c r="AS40" i="10"/>
  <c r="AS52" i="10"/>
  <c r="AS137" i="10"/>
  <c r="AS153" i="10"/>
  <c r="AS46" i="10"/>
  <c r="AS33" i="10"/>
  <c r="AS99" i="10"/>
  <c r="AS177" i="10"/>
  <c r="AS193" i="10"/>
  <c r="AS78" i="10"/>
  <c r="AS94" i="10"/>
  <c r="AS110" i="10"/>
  <c r="AS126" i="10"/>
  <c r="AS158" i="10"/>
  <c r="AS223" i="10"/>
  <c r="AS239" i="10"/>
  <c r="AS159" i="10"/>
  <c r="AS276" i="10"/>
  <c r="AS88" i="10"/>
  <c r="AS104" i="10"/>
  <c r="AS136" i="10"/>
  <c r="AS213" i="10"/>
  <c r="AS229" i="10"/>
  <c r="AS263" i="10"/>
  <c r="AS295" i="10"/>
  <c r="AS204" i="10"/>
  <c r="AS166" i="10"/>
  <c r="AS198" i="10"/>
  <c r="AS214" i="10"/>
  <c r="AS230" i="10"/>
  <c r="AS245" i="10"/>
  <c r="AS261" i="10"/>
  <c r="AS277" i="10"/>
  <c r="AS293" i="10"/>
  <c r="AS307" i="10"/>
  <c r="AS339" i="10"/>
  <c r="AS355" i="10"/>
  <c r="AS379" i="10"/>
  <c r="AS316" i="10"/>
  <c r="AS309" i="10"/>
  <c r="AS341" i="10"/>
  <c r="AS274" i="10"/>
  <c r="AS416" i="10"/>
  <c r="AS418" i="10"/>
  <c r="AS387" i="10"/>
  <c r="AS403" i="10"/>
  <c r="AS419" i="10"/>
  <c r="AS437" i="10"/>
  <c r="AS451" i="10"/>
  <c r="AS373" i="10"/>
  <c r="AS389" i="10"/>
  <c r="AS405" i="10"/>
  <c r="AS421" i="10"/>
  <c r="AS435" i="10"/>
  <c r="AS440" i="10"/>
  <c r="AS474" i="10"/>
  <c r="AS458" i="10"/>
  <c r="AS489" i="10"/>
  <c r="AS455" i="10"/>
  <c r="AS483" i="10"/>
  <c r="AS501" i="10"/>
  <c r="AS485" i="10"/>
  <c r="AS509" i="10"/>
  <c r="AS533" i="10"/>
  <c r="AS531" i="10"/>
  <c r="AS520" i="10"/>
  <c r="AS550" i="10"/>
  <c r="AS536" i="10"/>
  <c r="AS34" i="10"/>
  <c r="AS25" i="10"/>
  <c r="AS219" i="10"/>
  <c r="AS107" i="10"/>
  <c r="AS155" i="10"/>
  <c r="AS226" i="10"/>
  <c r="AS257" i="10"/>
  <c r="AS289" i="10"/>
  <c r="AS384" i="10"/>
  <c r="AS334" i="10"/>
  <c r="AS430" i="10"/>
  <c r="AS415" i="10"/>
  <c r="AS369" i="10"/>
  <c r="AS385" i="10"/>
  <c r="AS450" i="10"/>
  <c r="AS500" i="10"/>
  <c r="AS546" i="10"/>
  <c r="AS36" i="10"/>
  <c r="AS53" i="10"/>
  <c r="AS28" i="10"/>
  <c r="AS141" i="10"/>
  <c r="AS157" i="10"/>
  <c r="AS61" i="10"/>
  <c r="AS38" i="10"/>
  <c r="AS58" i="10"/>
  <c r="AS165" i="10"/>
  <c r="AS181" i="10"/>
  <c r="AS82" i="10"/>
  <c r="AS98" i="10"/>
  <c r="AS114" i="10"/>
  <c r="AS130" i="10"/>
  <c r="AS146" i="10"/>
  <c r="AS211" i="10"/>
  <c r="AS227" i="10"/>
  <c r="AS147" i="10"/>
  <c r="AS248" i="10"/>
  <c r="AS280" i="10"/>
  <c r="AS76" i="10"/>
  <c r="AS92" i="10"/>
  <c r="AS108" i="10"/>
  <c r="AS140" i="10"/>
  <c r="AS203" i="10"/>
  <c r="AS217" i="10"/>
  <c r="AS233" i="10"/>
  <c r="AS267" i="10"/>
  <c r="AS299" i="10"/>
  <c r="AS364" i="10"/>
  <c r="AS208" i="10"/>
  <c r="AS224" i="10"/>
  <c r="AS240" i="10"/>
  <c r="AS170" i="10"/>
  <c r="AS202" i="10"/>
  <c r="AS327" i="10"/>
  <c r="AS343" i="10"/>
  <c r="AS383" i="10"/>
  <c r="AS336" i="10"/>
  <c r="AS352" i="10"/>
  <c r="AS329" i="10"/>
  <c r="AS370" i="10"/>
  <c r="AS246" i="10"/>
  <c r="AS278" i="10"/>
  <c r="AS326" i="10"/>
  <c r="AS358" i="10"/>
  <c r="AS404" i="10"/>
  <c r="AS390" i="10"/>
  <c r="AS423" i="10"/>
  <c r="AS361" i="10"/>
  <c r="AS377" i="10"/>
  <c r="AS393" i="10"/>
  <c r="AS409" i="10"/>
  <c r="AS425" i="10"/>
  <c r="AS438" i="10"/>
  <c r="AS444" i="10"/>
  <c r="AS478" i="10"/>
  <c r="AS462" i="10"/>
  <c r="AS442" i="10"/>
  <c r="AS459" i="10"/>
  <c r="AS471" i="10"/>
  <c r="AS472" i="10"/>
  <c r="AS505" i="10"/>
  <c r="AS519" i="10"/>
  <c r="AS513" i="10"/>
  <c r="AS510" i="10"/>
  <c r="AS523" i="10"/>
  <c r="AS539" i="10"/>
  <c r="AS557" i="10"/>
  <c r="AS544" i="10"/>
  <c r="AS559" i="10"/>
  <c r="B54" i="10"/>
  <c r="B13" i="10"/>
  <c r="AS21" i="10"/>
  <c r="AS56" i="10"/>
  <c r="AS89" i="10"/>
  <c r="AS105" i="10"/>
  <c r="AS35" i="10"/>
  <c r="AS48" i="10"/>
  <c r="AS142" i="10"/>
  <c r="AS205" i="10"/>
  <c r="AS111" i="10"/>
  <c r="AS175" i="10"/>
  <c r="AS260" i="10"/>
  <c r="AS292" i="10"/>
  <c r="AS372" i="10"/>
  <c r="AS220" i="10"/>
  <c r="AS236" i="10"/>
  <c r="AS182" i="10"/>
  <c r="AS332" i="10"/>
  <c r="AS382" i="10"/>
  <c r="AS290" i="10"/>
  <c r="AS306" i="10"/>
  <c r="AS322" i="10"/>
  <c r="AS338" i="10"/>
  <c r="AS386" i="10"/>
  <c r="AS434" i="10"/>
  <c r="AS445" i="10"/>
  <c r="AS487" i="10"/>
  <c r="AS502" i="10"/>
  <c r="AS515" i="10"/>
  <c r="AS506" i="10"/>
  <c r="AS521" i="10"/>
  <c r="AS503" i="10"/>
  <c r="AS552" i="10"/>
  <c r="AS540" i="10"/>
  <c r="AS560" i="10"/>
  <c r="AM12" i="10"/>
  <c r="AG12" i="10"/>
  <c r="AP12" i="10"/>
  <c r="AJ12" i="10"/>
  <c r="AS47" i="10"/>
  <c r="AS113" i="10"/>
  <c r="AS71" i="10"/>
  <c r="AS102" i="10"/>
  <c r="AS215" i="10"/>
  <c r="AS119" i="10"/>
  <c r="AS183" i="10"/>
  <c r="AS96" i="10"/>
  <c r="AS112" i="10"/>
  <c r="AS144" i="10"/>
  <c r="AS271" i="10"/>
  <c r="AS303" i="10"/>
  <c r="AS367" i="10"/>
  <c r="AS222" i="10"/>
  <c r="AS238" i="10"/>
  <c r="AS253" i="10"/>
  <c r="AS269" i="10"/>
  <c r="AS285" i="10"/>
  <c r="AS308" i="10"/>
  <c r="AS317" i="10"/>
  <c r="AS349" i="10"/>
  <c r="AS266" i="10"/>
  <c r="AS330" i="10"/>
  <c r="AS392" i="10"/>
  <c r="AS395" i="10"/>
  <c r="AS411" i="10"/>
  <c r="AS381" i="10"/>
  <c r="AS466" i="10"/>
  <c r="AS476" i="10"/>
  <c r="AS525" i="10"/>
  <c r="AS514" i="10"/>
  <c r="AS511" i="10"/>
  <c r="AS526" i="10"/>
  <c r="AS545" i="10"/>
  <c r="AS558" i="10"/>
  <c r="AG13" i="10"/>
  <c r="AM13" i="10"/>
  <c r="AP13" i="10"/>
  <c r="AJ13" i="10"/>
  <c r="B51" i="10"/>
  <c r="AS26" i="10"/>
  <c r="AS49" i="10"/>
  <c r="AS66" i="10"/>
  <c r="AS133" i="10"/>
  <c r="AS31" i="10"/>
  <c r="AS79" i="10"/>
  <c r="AS173" i="10"/>
  <c r="AS189" i="10"/>
  <c r="AS106" i="10"/>
  <c r="AS122" i="10"/>
  <c r="AS235" i="10"/>
  <c r="AS123" i="10"/>
  <c r="AS171" i="10"/>
  <c r="AS256" i="10"/>
  <c r="AS288" i="10"/>
  <c r="AS70" i="10"/>
  <c r="AS116" i="10"/>
  <c r="AS148" i="10"/>
  <c r="AS209" i="10"/>
  <c r="AS225" i="10"/>
  <c r="AS241" i="10"/>
  <c r="AS360" i="10"/>
  <c r="AS305" i="10"/>
  <c r="AS351" i="10"/>
  <c r="AS328" i="10"/>
  <c r="AS270" i="10"/>
  <c r="AS302" i="10"/>
  <c r="AS401" i="10"/>
  <c r="AS417" i="10"/>
  <c r="AS452" i="10"/>
  <c r="AS441" i="10"/>
  <c r="AS470" i="10"/>
  <c r="AS467" i="10"/>
  <c r="AS480" i="10"/>
  <c r="AS518" i="10"/>
  <c r="AS556" i="10"/>
  <c r="T8" i="10"/>
  <c r="T12" i="10"/>
  <c r="T13" i="10"/>
  <c r="T7" i="10"/>
  <c r="B16" i="10"/>
  <c r="P15" i="10" s="1"/>
  <c r="B11" i="10"/>
  <c r="B40" i="10"/>
  <c r="B52" i="10" s="1"/>
  <c r="AI537" i="10"/>
  <c r="AH537" i="10"/>
  <c r="AI502" i="10"/>
  <c r="AH502" i="10"/>
  <c r="AH385" i="10"/>
  <c r="AI385" i="10"/>
  <c r="AH336" i="10"/>
  <c r="AI336" i="10"/>
  <c r="AH305" i="10"/>
  <c r="AI305" i="10"/>
  <c r="AH269" i="10"/>
  <c r="AI269" i="10"/>
  <c r="AH245" i="10"/>
  <c r="AI245" i="10"/>
  <c r="AI226" i="10"/>
  <c r="AH226" i="10"/>
  <c r="AI155" i="10"/>
  <c r="AH155" i="10"/>
  <c r="AH118" i="10"/>
  <c r="AI118" i="10"/>
  <c r="AH200" i="10"/>
  <c r="AI200" i="10"/>
  <c r="AI22" i="10"/>
  <c r="AH22" i="10"/>
  <c r="AH558" i="10"/>
  <c r="AI558" i="10"/>
  <c r="AH497" i="10"/>
  <c r="AI497" i="10"/>
  <c r="AI490" i="10"/>
  <c r="AH490" i="10"/>
  <c r="AH429" i="10"/>
  <c r="AI429" i="10"/>
  <c r="AI396" i="10"/>
  <c r="AH396" i="10"/>
  <c r="AH348" i="10"/>
  <c r="AI348" i="10"/>
  <c r="AI193" i="10"/>
  <c r="AH193" i="10"/>
  <c r="AH276" i="10"/>
  <c r="AI276" i="10"/>
  <c r="AI238" i="10"/>
  <c r="AH238" i="10"/>
  <c r="AH208" i="10"/>
  <c r="AI208" i="10"/>
  <c r="AI174" i="10"/>
  <c r="AH174" i="10"/>
  <c r="AH130" i="10"/>
  <c r="AI130" i="10"/>
  <c r="AH42" i="10"/>
  <c r="AI42" i="10"/>
  <c r="AH40" i="10"/>
  <c r="AI40" i="10"/>
  <c r="AI535" i="10"/>
  <c r="AH535" i="10"/>
  <c r="AH471" i="10"/>
  <c r="AI471" i="10"/>
  <c r="AI400" i="10"/>
  <c r="AH400" i="10"/>
  <c r="AI321" i="10"/>
  <c r="AH321" i="10"/>
  <c r="AH281" i="10"/>
  <c r="AI281" i="10"/>
  <c r="AI519" i="10"/>
  <c r="AH519" i="10"/>
  <c r="AI506" i="10"/>
  <c r="AH506" i="10"/>
  <c r="AI456" i="10"/>
  <c r="AH456" i="10"/>
  <c r="AI426" i="10"/>
  <c r="AH426" i="10"/>
  <c r="AH393" i="10"/>
  <c r="AI393" i="10"/>
  <c r="AI392" i="10"/>
  <c r="AH392" i="10"/>
  <c r="AI349" i="10"/>
  <c r="AH349" i="10"/>
  <c r="AI317" i="10"/>
  <c r="AH317" i="10"/>
  <c r="AH312" i="10"/>
  <c r="AI312" i="10"/>
  <c r="AH387" i="10"/>
  <c r="AI387" i="10"/>
  <c r="AI218" i="10"/>
  <c r="AH218" i="10"/>
  <c r="AI117" i="10"/>
  <c r="AH117" i="10"/>
  <c r="AI101" i="10"/>
  <c r="AH101" i="10"/>
  <c r="AI147" i="10"/>
  <c r="AH147" i="10"/>
  <c r="AH142" i="10"/>
  <c r="AI142" i="10"/>
  <c r="AH78" i="10"/>
  <c r="AI78" i="10"/>
  <c r="AI64" i="10"/>
  <c r="AH64" i="10"/>
  <c r="AH30" i="10"/>
  <c r="AI30" i="10"/>
  <c r="AH530" i="10"/>
  <c r="AI530" i="10"/>
  <c r="AI329" i="10"/>
  <c r="AH329" i="10"/>
  <c r="AH261" i="10"/>
  <c r="AI261" i="10"/>
  <c r="AH538" i="10"/>
  <c r="AI538" i="10"/>
  <c r="AI514" i="10"/>
  <c r="AH514" i="10"/>
  <c r="AI494" i="10"/>
  <c r="AH494" i="10"/>
  <c r="AI451" i="10"/>
  <c r="AH451" i="10"/>
  <c r="AH444" i="10"/>
  <c r="AI444" i="10"/>
  <c r="AH405" i="10"/>
  <c r="AI405" i="10"/>
  <c r="AI388" i="10"/>
  <c r="AH388" i="10"/>
  <c r="AH356" i="10"/>
  <c r="AI356" i="10"/>
  <c r="AH241" i="10"/>
  <c r="AI241" i="10"/>
  <c r="AH373" i="10"/>
  <c r="AI373" i="10"/>
  <c r="AH288" i="10"/>
  <c r="AI288" i="10"/>
  <c r="AH256" i="10"/>
  <c r="AI256" i="10"/>
  <c r="AI85" i="10"/>
  <c r="AH85" i="10"/>
  <c r="AI194" i="10"/>
  <c r="AH194" i="10"/>
  <c r="AH154" i="10"/>
  <c r="AI154" i="10"/>
  <c r="AH98" i="10"/>
  <c r="AI98" i="10"/>
  <c r="AI19" i="10"/>
  <c r="AH19" i="10"/>
  <c r="AI39" i="10"/>
  <c r="AH39" i="10"/>
  <c r="AH88" i="10"/>
  <c r="AI88" i="10"/>
  <c r="AI44" i="10"/>
  <c r="AH44" i="10"/>
  <c r="AI55" i="10"/>
  <c r="AH55" i="10"/>
  <c r="AI104" i="10"/>
  <c r="AH104" i="10"/>
  <c r="AI120" i="10"/>
  <c r="AH120" i="10"/>
  <c r="AI136" i="10"/>
  <c r="AH136" i="10"/>
  <c r="AI152" i="10"/>
  <c r="AH152" i="10"/>
  <c r="AI48" i="10"/>
  <c r="AH48" i="10"/>
  <c r="AH76" i="10"/>
  <c r="AI76" i="10"/>
  <c r="AH164" i="10"/>
  <c r="AI164" i="10"/>
  <c r="AI206" i="10"/>
  <c r="AH206" i="10"/>
  <c r="AI202" i="10"/>
  <c r="AH202" i="10"/>
  <c r="AH172" i="10"/>
  <c r="AI172" i="10"/>
  <c r="AI26" i="10"/>
  <c r="AH26" i="10"/>
  <c r="AI149" i="10"/>
  <c r="AH149" i="10"/>
  <c r="AI247" i="10"/>
  <c r="AH247" i="10"/>
  <c r="AI263" i="10"/>
  <c r="AH263" i="10"/>
  <c r="AI279" i="10"/>
  <c r="AH279" i="10"/>
  <c r="AI295" i="10"/>
  <c r="AH295" i="10"/>
  <c r="AH224" i="10"/>
  <c r="AI224" i="10"/>
  <c r="AH240" i="10"/>
  <c r="AI240" i="10"/>
  <c r="AH254" i="10"/>
  <c r="AI254" i="10"/>
  <c r="AH270" i="10"/>
  <c r="AI270" i="10"/>
  <c r="AH286" i="10"/>
  <c r="AI286" i="10"/>
  <c r="AI67" i="10"/>
  <c r="AH67" i="10"/>
  <c r="AI87" i="10"/>
  <c r="AH87" i="10"/>
  <c r="AI103" i="10"/>
  <c r="AH103" i="10"/>
  <c r="AI119" i="10"/>
  <c r="AH119" i="10"/>
  <c r="AI171" i="10"/>
  <c r="AH171" i="10"/>
  <c r="AI187" i="10"/>
  <c r="AH187" i="10"/>
  <c r="AI318" i="10"/>
  <c r="AH318" i="10"/>
  <c r="AI334" i="10"/>
  <c r="AH334" i="10"/>
  <c r="AI350" i="10"/>
  <c r="AH350" i="10"/>
  <c r="AH302" i="10"/>
  <c r="AI302" i="10"/>
  <c r="AI203" i="10"/>
  <c r="AH203" i="10"/>
  <c r="AI219" i="10"/>
  <c r="AH219" i="10"/>
  <c r="AI235" i="10"/>
  <c r="AH235" i="10"/>
  <c r="AH367" i="10"/>
  <c r="AI367" i="10"/>
  <c r="AI315" i="10"/>
  <c r="AH315" i="10"/>
  <c r="AI331" i="10"/>
  <c r="AH331" i="10"/>
  <c r="AI347" i="10"/>
  <c r="AH347" i="10"/>
  <c r="AI362" i="10"/>
  <c r="AH362" i="10"/>
  <c r="AH436" i="10"/>
  <c r="AI436" i="10"/>
  <c r="AH379" i="10"/>
  <c r="AI379" i="10"/>
  <c r="AH399" i="10"/>
  <c r="AI399" i="10"/>
  <c r="AH415" i="10"/>
  <c r="AI415" i="10"/>
  <c r="AI370" i="10"/>
  <c r="AH370" i="10"/>
  <c r="AH455" i="10"/>
  <c r="AI455" i="10"/>
  <c r="AI450" i="10"/>
  <c r="AH450" i="10"/>
  <c r="AI398" i="10"/>
  <c r="AH398" i="10"/>
  <c r="AI414" i="10"/>
  <c r="AH414" i="10"/>
  <c r="AI481" i="10"/>
  <c r="AH481" i="10"/>
  <c r="AH467" i="10"/>
  <c r="AI467" i="10"/>
  <c r="AI445" i="10"/>
  <c r="AH445" i="10"/>
  <c r="AI458" i="10"/>
  <c r="AH458" i="10"/>
  <c r="AI488" i="10"/>
  <c r="AH488" i="10"/>
  <c r="AI478" i="10"/>
  <c r="AH478" i="10"/>
  <c r="AH495" i="10"/>
  <c r="AI495" i="10"/>
  <c r="AI528" i="10"/>
  <c r="AH528" i="10"/>
  <c r="AH518" i="10"/>
  <c r="AI518" i="10"/>
  <c r="AI521" i="10"/>
  <c r="AH521" i="10"/>
  <c r="AI540" i="10"/>
  <c r="AH540" i="10"/>
  <c r="AH544" i="10"/>
  <c r="AI544" i="10"/>
  <c r="AI545" i="10"/>
  <c r="AH545" i="10"/>
  <c r="AQ560" i="10"/>
  <c r="AR560" i="10"/>
  <c r="AR521" i="10"/>
  <c r="AQ521" i="10"/>
  <c r="AR441" i="10"/>
  <c r="AQ441" i="10"/>
  <c r="AQ330" i="10"/>
  <c r="AR330" i="10"/>
  <c r="AR308" i="10"/>
  <c r="AQ308" i="10"/>
  <c r="AR288" i="10"/>
  <c r="AQ288" i="10"/>
  <c r="AR256" i="10"/>
  <c r="AQ256" i="10"/>
  <c r="AR171" i="10"/>
  <c r="AQ171" i="10"/>
  <c r="AR123" i="10"/>
  <c r="AQ123" i="10"/>
  <c r="AQ31" i="10"/>
  <c r="AR31" i="10"/>
  <c r="AQ48" i="10"/>
  <c r="AR48" i="10"/>
  <c r="AR129" i="10"/>
  <c r="AQ129" i="10"/>
  <c r="AR77" i="10"/>
  <c r="AQ77" i="10"/>
  <c r="AR29" i="10"/>
  <c r="AQ29" i="10"/>
  <c r="AR552" i="10"/>
  <c r="AQ552" i="10"/>
  <c r="AR517" i="10"/>
  <c r="AQ517" i="10"/>
  <c r="AR497" i="10"/>
  <c r="AQ497" i="10"/>
  <c r="AR454" i="10"/>
  <c r="AQ454" i="10"/>
  <c r="AR408" i="10"/>
  <c r="AQ408" i="10"/>
  <c r="AQ423" i="10"/>
  <c r="AR423" i="10"/>
  <c r="AQ437" i="10"/>
  <c r="AR437" i="10"/>
  <c r="AR374" i="10"/>
  <c r="AQ374" i="10"/>
  <c r="AR447" i="10"/>
  <c r="AQ447" i="10"/>
  <c r="AR333" i="10"/>
  <c r="AQ333" i="10"/>
  <c r="AQ432" i="10"/>
  <c r="AR432" i="10"/>
  <c r="AR336" i="10"/>
  <c r="AQ336" i="10"/>
  <c r="AQ287" i="10"/>
  <c r="AR287" i="10"/>
  <c r="AQ255" i="10"/>
  <c r="AR255" i="10"/>
  <c r="AR331" i="10"/>
  <c r="AQ331" i="10"/>
  <c r="AR211" i="10"/>
  <c r="AQ211" i="10"/>
  <c r="AQ132" i="10"/>
  <c r="AR132" i="10"/>
  <c r="AQ100" i="10"/>
  <c r="AR100" i="10"/>
  <c r="AR159" i="10"/>
  <c r="AQ159" i="10"/>
  <c r="AQ84" i="10"/>
  <c r="AR84" i="10"/>
  <c r="AR204" i="10"/>
  <c r="AQ204" i="10"/>
  <c r="AQ170" i="10"/>
  <c r="AR170" i="10"/>
  <c r="AR60" i="10"/>
  <c r="AQ60" i="10"/>
  <c r="AR141" i="10"/>
  <c r="AQ141" i="10"/>
  <c r="AQ78" i="10"/>
  <c r="AR78" i="10"/>
  <c r="AR38" i="10"/>
  <c r="AQ38" i="10"/>
  <c r="AR53" i="10"/>
  <c r="AQ53" i="10"/>
  <c r="AR531" i="10"/>
  <c r="AQ531" i="10"/>
  <c r="AR474" i="10"/>
  <c r="AQ474" i="10"/>
  <c r="AR378" i="10"/>
  <c r="AQ378" i="10"/>
  <c r="AQ436" i="10"/>
  <c r="AR436" i="10"/>
  <c r="AQ548" i="10"/>
  <c r="AR548" i="10"/>
  <c r="AR549" i="10"/>
  <c r="AQ549" i="10"/>
  <c r="AQ520" i="10"/>
  <c r="AR520" i="10"/>
  <c r="AR483" i="10"/>
  <c r="AQ483" i="10"/>
  <c r="AR482" i="10"/>
  <c r="AQ482" i="10"/>
  <c r="AQ403" i="10"/>
  <c r="AR403" i="10"/>
  <c r="AR418" i="10"/>
  <c r="AQ418" i="10"/>
  <c r="AQ358" i="10"/>
  <c r="AR358" i="10"/>
  <c r="AQ326" i="10"/>
  <c r="AR326" i="10"/>
  <c r="AQ361" i="10"/>
  <c r="AR361" i="10"/>
  <c r="AQ377" i="10"/>
  <c r="AR377" i="10"/>
  <c r="AR327" i="10"/>
  <c r="AQ327" i="10"/>
  <c r="AR223" i="10"/>
  <c r="AQ223" i="10"/>
  <c r="AR276" i="10"/>
  <c r="AQ276" i="10"/>
  <c r="AQ195" i="10"/>
  <c r="AR195" i="10"/>
  <c r="AQ208" i="10"/>
  <c r="AR208" i="10"/>
  <c r="AQ33" i="10"/>
  <c r="AR33" i="10"/>
  <c r="AR196" i="10"/>
  <c r="AQ196" i="10"/>
  <c r="AQ58" i="10"/>
  <c r="AR58" i="10"/>
  <c r="AR153" i="10"/>
  <c r="AQ153" i="10"/>
  <c r="AQ90" i="10"/>
  <c r="AR90" i="10"/>
  <c r="AR44" i="10"/>
  <c r="AQ44" i="10"/>
  <c r="AR513" i="10"/>
  <c r="AQ513" i="10"/>
  <c r="AQ492" i="10"/>
  <c r="AR492" i="10"/>
  <c r="AR410" i="10"/>
  <c r="AQ410" i="10"/>
  <c r="AR300" i="10"/>
  <c r="AQ300" i="10"/>
  <c r="AQ559" i="10"/>
  <c r="AR559" i="10"/>
  <c r="AQ536" i="10"/>
  <c r="AR536" i="10"/>
  <c r="AQ528" i="10"/>
  <c r="AR528" i="10"/>
  <c r="AR510" i="10"/>
  <c r="AQ510" i="10"/>
  <c r="AQ485" i="10"/>
  <c r="AR485" i="10"/>
  <c r="AR501" i="10"/>
  <c r="AQ501" i="10"/>
  <c r="AR458" i="10"/>
  <c r="AQ458" i="10"/>
  <c r="AR412" i="10"/>
  <c r="AQ412" i="10"/>
  <c r="AQ415" i="10"/>
  <c r="AR415" i="10"/>
  <c r="AR430" i="10"/>
  <c r="AQ430" i="10"/>
  <c r="AR435" i="10"/>
  <c r="AQ435" i="10"/>
  <c r="AQ369" i="10"/>
  <c r="AR369" i="10"/>
  <c r="AR337" i="10"/>
  <c r="AQ337" i="10"/>
  <c r="AR307" i="10"/>
  <c r="AQ307" i="10"/>
  <c r="AR312" i="10"/>
  <c r="AQ312" i="10"/>
  <c r="AQ275" i="10"/>
  <c r="AR275" i="10"/>
  <c r="AR355" i="10"/>
  <c r="AQ355" i="10"/>
  <c r="AR219" i="10"/>
  <c r="AQ219" i="10"/>
  <c r="AQ136" i="10"/>
  <c r="AR136" i="10"/>
  <c r="AQ104" i="10"/>
  <c r="AR104" i="10"/>
  <c r="AR151" i="10"/>
  <c r="AQ151" i="10"/>
  <c r="AQ92" i="10"/>
  <c r="AR92" i="10"/>
  <c r="AR28" i="10"/>
  <c r="AQ28" i="10"/>
  <c r="AQ174" i="10"/>
  <c r="AR174" i="10"/>
  <c r="AR63" i="10"/>
  <c r="AQ63" i="10"/>
  <c r="AR117" i="10"/>
  <c r="AQ117" i="10"/>
  <c r="AR52" i="10"/>
  <c r="AQ52" i="10"/>
  <c r="AR46" i="10"/>
  <c r="AQ46" i="10"/>
  <c r="AR30" i="10"/>
  <c r="AQ30" i="10"/>
  <c r="AR34" i="10"/>
  <c r="AQ34" i="10"/>
  <c r="AQ250" i="10"/>
  <c r="AR250" i="10"/>
  <c r="AR61" i="10"/>
  <c r="AQ61" i="10"/>
  <c r="AR176" i="10"/>
  <c r="AQ176" i="10"/>
  <c r="AR192" i="10"/>
  <c r="AQ192" i="10"/>
  <c r="AR134" i="10"/>
  <c r="AQ134" i="10"/>
  <c r="AQ246" i="10"/>
  <c r="AR246" i="10"/>
  <c r="AQ278" i="10"/>
  <c r="AR278" i="10"/>
  <c r="AR110" i="10"/>
  <c r="AQ110" i="10"/>
  <c r="AR126" i="10"/>
  <c r="AQ126" i="10"/>
  <c r="AR146" i="10"/>
  <c r="AQ146" i="10"/>
  <c r="AQ202" i="10"/>
  <c r="AR202" i="10"/>
  <c r="AQ224" i="10"/>
  <c r="AR224" i="10"/>
  <c r="AQ240" i="10"/>
  <c r="AR240" i="10"/>
  <c r="AR177" i="10"/>
  <c r="AQ177" i="10"/>
  <c r="AR193" i="10"/>
  <c r="AQ193" i="10"/>
  <c r="AQ210" i="10"/>
  <c r="AR210" i="10"/>
  <c r="AQ226" i="10"/>
  <c r="AR226" i="10"/>
  <c r="AQ242" i="10"/>
  <c r="AR242" i="10"/>
  <c r="AR257" i="10"/>
  <c r="AQ257" i="10"/>
  <c r="AR273" i="10"/>
  <c r="AQ273" i="10"/>
  <c r="AR289" i="10"/>
  <c r="AQ289" i="10"/>
  <c r="AR213" i="10"/>
  <c r="AQ213" i="10"/>
  <c r="AR229" i="10"/>
  <c r="AQ229" i="10"/>
  <c r="AQ371" i="10"/>
  <c r="AR371" i="10"/>
  <c r="AQ389" i="10"/>
  <c r="AR389" i="10"/>
  <c r="AQ405" i="10"/>
  <c r="AR405" i="10"/>
  <c r="AQ421" i="10"/>
  <c r="AR421" i="10"/>
  <c r="AQ375" i="10"/>
  <c r="AR375" i="10"/>
  <c r="AQ385" i="10"/>
  <c r="AR385" i="10"/>
  <c r="AR440" i="10"/>
  <c r="AQ440" i="10"/>
  <c r="AR455" i="10"/>
  <c r="AQ455" i="10"/>
  <c r="AR471" i="10"/>
  <c r="AQ471" i="10"/>
  <c r="AR489" i="10"/>
  <c r="AQ489" i="10"/>
  <c r="AQ495" i="10"/>
  <c r="AR495" i="10"/>
  <c r="AR519" i="10"/>
  <c r="AQ519" i="10"/>
  <c r="AQ544" i="10"/>
  <c r="AR544" i="10"/>
  <c r="AI533" i="10"/>
  <c r="AH533" i="10"/>
  <c r="AI461" i="10"/>
  <c r="AH461" i="10"/>
  <c r="AI353" i="10"/>
  <c r="AH353" i="10"/>
  <c r="AH320" i="10"/>
  <c r="AI320" i="10"/>
  <c r="AH297" i="10"/>
  <c r="AI297" i="10"/>
  <c r="AH257" i="10"/>
  <c r="AI257" i="10"/>
  <c r="AI181" i="10"/>
  <c r="AH181" i="10"/>
  <c r="AI210" i="10"/>
  <c r="AH210" i="10"/>
  <c r="AI139" i="10"/>
  <c r="AH139" i="10"/>
  <c r="AH102" i="10"/>
  <c r="AI102" i="10"/>
  <c r="AI66" i="10"/>
  <c r="AH66" i="10"/>
  <c r="AH34" i="10"/>
  <c r="AI34" i="10"/>
  <c r="AH553" i="10"/>
  <c r="AI553" i="10"/>
  <c r="AH487" i="10"/>
  <c r="AI487" i="10"/>
  <c r="AH483" i="10"/>
  <c r="AI483" i="10"/>
  <c r="AH413" i="10"/>
  <c r="AI413" i="10"/>
  <c r="AH380" i="10"/>
  <c r="AI380" i="10"/>
  <c r="AH332" i="10"/>
  <c r="AI332" i="10"/>
  <c r="AH217" i="10"/>
  <c r="AI217" i="10"/>
  <c r="AI177" i="10"/>
  <c r="AH177" i="10"/>
  <c r="AH268" i="10"/>
  <c r="AI268" i="10"/>
  <c r="AI222" i="10"/>
  <c r="AH222" i="10"/>
  <c r="AI151" i="10"/>
  <c r="AH151" i="10"/>
  <c r="AI62" i="10"/>
  <c r="AH62" i="10"/>
  <c r="AI166" i="10"/>
  <c r="AH166" i="10"/>
  <c r="AH114" i="10"/>
  <c r="AI114" i="10"/>
  <c r="AI35" i="10"/>
  <c r="AH35" i="10"/>
  <c r="AH69" i="10"/>
  <c r="AI69" i="10"/>
  <c r="AI520" i="10"/>
  <c r="AH520" i="10"/>
  <c r="AH440" i="10"/>
  <c r="AI440" i="10"/>
  <c r="AI384" i="10"/>
  <c r="AH384" i="10"/>
  <c r="AI205" i="10"/>
  <c r="AH205" i="10"/>
  <c r="AH265" i="10"/>
  <c r="AI265" i="10"/>
  <c r="AI527" i="10"/>
  <c r="AH527" i="10"/>
  <c r="AI498" i="10"/>
  <c r="AH498" i="10"/>
  <c r="AI480" i="10"/>
  <c r="AH480" i="10"/>
  <c r="AI422" i="10"/>
  <c r="AH422" i="10"/>
  <c r="AI465" i="10"/>
  <c r="AH465" i="10"/>
  <c r="AH376" i="10"/>
  <c r="AI376" i="10"/>
  <c r="AI341" i="10"/>
  <c r="AH341" i="10"/>
  <c r="AI309" i="10"/>
  <c r="AH309" i="10"/>
  <c r="AH229" i="10"/>
  <c r="AI229" i="10"/>
  <c r="AI189" i="10"/>
  <c r="AH189" i="10"/>
  <c r="AI129" i="10"/>
  <c r="AH129" i="10"/>
  <c r="AI113" i="10"/>
  <c r="AH113" i="10"/>
  <c r="AI97" i="10"/>
  <c r="AH97" i="10"/>
  <c r="AI131" i="10"/>
  <c r="AH131" i="10"/>
  <c r="AH126" i="10"/>
  <c r="AI126" i="10"/>
  <c r="AH56" i="10"/>
  <c r="AI56" i="10"/>
  <c r="AI52" i="10"/>
  <c r="AH52" i="10"/>
  <c r="AH57" i="10"/>
  <c r="AI57" i="10"/>
  <c r="AI510" i="10"/>
  <c r="AH510" i="10"/>
  <c r="AH301" i="10"/>
  <c r="AI301" i="10"/>
  <c r="AI550" i="10"/>
  <c r="AH550" i="10"/>
  <c r="AI515" i="10"/>
  <c r="AH515" i="10"/>
  <c r="AH509" i="10"/>
  <c r="AI509" i="10"/>
  <c r="AI468" i="10"/>
  <c r="AH468" i="10"/>
  <c r="AI447" i="10"/>
  <c r="AH447" i="10"/>
  <c r="AI430" i="10"/>
  <c r="AH430" i="10"/>
  <c r="AH389" i="10"/>
  <c r="AI389" i="10"/>
  <c r="AH372" i="10"/>
  <c r="AI372" i="10"/>
  <c r="AH340" i="10"/>
  <c r="AI340" i="10"/>
  <c r="AH225" i="10"/>
  <c r="AI225" i="10"/>
  <c r="AI185" i="10"/>
  <c r="AH185" i="10"/>
  <c r="AH280" i="10"/>
  <c r="AI280" i="10"/>
  <c r="AH248" i="10"/>
  <c r="AI248" i="10"/>
  <c r="AI159" i="10"/>
  <c r="AH159" i="10"/>
  <c r="AI186" i="10"/>
  <c r="AH186" i="10"/>
  <c r="AH138" i="10"/>
  <c r="AI138" i="10"/>
  <c r="AH82" i="10"/>
  <c r="AI82" i="10"/>
  <c r="AH23" i="10"/>
  <c r="AI23" i="10"/>
  <c r="AH168" i="10"/>
  <c r="AI168" i="10"/>
  <c r="AI46" i="10"/>
  <c r="AH46" i="10"/>
  <c r="AI59" i="10"/>
  <c r="AH59" i="10"/>
  <c r="AI108" i="10"/>
  <c r="AH108" i="10"/>
  <c r="AI124" i="10"/>
  <c r="AH124" i="10"/>
  <c r="AI140" i="10"/>
  <c r="AH140" i="10"/>
  <c r="AI156" i="10"/>
  <c r="AH156" i="10"/>
  <c r="AI63" i="10"/>
  <c r="AH63" i="10"/>
  <c r="AH80" i="10"/>
  <c r="AI80" i="10"/>
  <c r="AH180" i="10"/>
  <c r="AI180" i="10"/>
  <c r="AI20" i="10"/>
  <c r="AH20" i="10"/>
  <c r="AI58" i="10"/>
  <c r="AH58" i="10"/>
  <c r="AH176" i="10"/>
  <c r="AI176" i="10"/>
  <c r="AI137" i="10"/>
  <c r="AH137" i="10"/>
  <c r="AI153" i="10"/>
  <c r="AH153" i="10"/>
  <c r="AI251" i="10"/>
  <c r="AH251" i="10"/>
  <c r="AI267" i="10"/>
  <c r="AH267" i="10"/>
  <c r="AI283" i="10"/>
  <c r="AH283" i="10"/>
  <c r="AH212" i="10"/>
  <c r="AI212" i="10"/>
  <c r="AH228" i="10"/>
  <c r="AI228" i="10"/>
  <c r="AH244" i="10"/>
  <c r="AI244" i="10"/>
  <c r="AH258" i="10"/>
  <c r="AI258" i="10"/>
  <c r="AH274" i="10"/>
  <c r="AI274" i="10"/>
  <c r="AH290" i="10"/>
  <c r="AI290" i="10"/>
  <c r="AI75" i="10"/>
  <c r="AH75" i="10"/>
  <c r="AI91" i="10"/>
  <c r="AH91" i="10"/>
  <c r="AI107" i="10"/>
  <c r="AH107" i="10"/>
  <c r="AI123" i="10"/>
  <c r="AH123" i="10"/>
  <c r="AI175" i="10"/>
  <c r="AH175" i="10"/>
  <c r="AI191" i="10"/>
  <c r="AH191" i="10"/>
  <c r="AI322" i="10"/>
  <c r="AH322" i="10"/>
  <c r="AI338" i="10"/>
  <c r="AH338" i="10"/>
  <c r="AI354" i="10"/>
  <c r="AH354" i="10"/>
  <c r="AI303" i="10"/>
  <c r="AH303" i="10"/>
  <c r="AI207" i="10"/>
  <c r="AH207" i="10"/>
  <c r="AI223" i="10"/>
  <c r="AH223" i="10"/>
  <c r="AI239" i="10"/>
  <c r="AH239" i="10"/>
  <c r="AI306" i="10"/>
  <c r="AH306" i="10"/>
  <c r="AI319" i="10"/>
  <c r="AH319" i="10"/>
  <c r="AI335" i="10"/>
  <c r="AH335" i="10"/>
  <c r="AI351" i="10"/>
  <c r="AH351" i="10"/>
  <c r="AI366" i="10"/>
  <c r="AH366" i="10"/>
  <c r="AI437" i="10"/>
  <c r="AH437" i="10"/>
  <c r="AH383" i="10"/>
  <c r="AI383" i="10"/>
  <c r="AH403" i="10"/>
  <c r="AI403" i="10"/>
  <c r="AH419" i="10"/>
  <c r="AI419" i="10"/>
  <c r="AI374" i="10"/>
  <c r="AH374" i="10"/>
  <c r="AI438" i="10"/>
  <c r="AH438" i="10"/>
  <c r="AI386" i="10"/>
  <c r="AH386" i="10"/>
  <c r="AI402" i="10"/>
  <c r="AH402" i="10"/>
  <c r="AI418" i="10"/>
  <c r="AH418" i="10"/>
  <c r="AI485" i="10"/>
  <c r="AH485" i="10"/>
  <c r="AI428" i="10"/>
  <c r="AH428" i="10"/>
  <c r="AI449" i="10"/>
  <c r="AH449" i="10"/>
  <c r="AI462" i="10"/>
  <c r="AH462" i="10"/>
  <c r="AI492" i="10"/>
  <c r="AH492" i="10"/>
  <c r="AI482" i="10"/>
  <c r="AH482" i="10"/>
  <c r="AI511" i="10"/>
  <c r="AH511" i="10"/>
  <c r="AH499" i="10"/>
  <c r="AI499" i="10"/>
  <c r="AI508" i="10"/>
  <c r="AH508" i="10"/>
  <c r="AI525" i="10"/>
  <c r="AH525" i="10"/>
  <c r="AI548" i="10"/>
  <c r="AH548" i="10"/>
  <c r="AI555" i="10"/>
  <c r="AH555" i="10"/>
  <c r="AI549" i="10"/>
  <c r="AH549" i="10"/>
  <c r="AR546" i="10"/>
  <c r="AQ546" i="10"/>
  <c r="AQ487" i="10"/>
  <c r="AR487" i="10"/>
  <c r="AR394" i="10"/>
  <c r="AQ394" i="10"/>
  <c r="AQ314" i="10"/>
  <c r="AR314" i="10"/>
  <c r="AQ387" i="10"/>
  <c r="AR387" i="10"/>
  <c r="AR280" i="10"/>
  <c r="AQ280" i="10"/>
  <c r="AR248" i="10"/>
  <c r="AQ248" i="10"/>
  <c r="AR155" i="10"/>
  <c r="AQ155" i="10"/>
  <c r="AR107" i="10"/>
  <c r="AQ107" i="10"/>
  <c r="AR91" i="10"/>
  <c r="AQ91" i="10"/>
  <c r="AQ19" i="10"/>
  <c r="AR19" i="10"/>
  <c r="AR113" i="10"/>
  <c r="AQ113" i="10"/>
  <c r="AR56" i="10"/>
  <c r="AQ56" i="10"/>
  <c r="AR538" i="10"/>
  <c r="AQ538" i="10"/>
  <c r="AR504" i="10"/>
  <c r="AQ504" i="10"/>
  <c r="AQ493" i="10"/>
  <c r="AR493" i="10"/>
  <c r="AQ446" i="10"/>
  <c r="AR446" i="10"/>
  <c r="AR400" i="10"/>
  <c r="AQ400" i="10"/>
  <c r="AQ407" i="10"/>
  <c r="AR407" i="10"/>
  <c r="AR422" i="10"/>
  <c r="AQ422" i="10"/>
  <c r="AR428" i="10"/>
  <c r="AQ428" i="10"/>
  <c r="AR357" i="10"/>
  <c r="AQ357" i="10"/>
  <c r="AR325" i="10"/>
  <c r="AQ325" i="10"/>
  <c r="AR368" i="10"/>
  <c r="AQ368" i="10"/>
  <c r="AR320" i="10"/>
  <c r="AQ320" i="10"/>
  <c r="AQ279" i="10"/>
  <c r="AR279" i="10"/>
  <c r="AQ247" i="10"/>
  <c r="AR247" i="10"/>
  <c r="AR315" i="10"/>
  <c r="AQ315" i="10"/>
  <c r="AQ156" i="10"/>
  <c r="AR156" i="10"/>
  <c r="AQ124" i="10"/>
  <c r="AR124" i="10"/>
  <c r="AQ199" i="10"/>
  <c r="AR199" i="10"/>
  <c r="AR143" i="10"/>
  <c r="AQ143" i="10"/>
  <c r="AQ41" i="10"/>
  <c r="AR41" i="10"/>
  <c r="AQ194" i="10"/>
  <c r="AR194" i="10"/>
  <c r="AR95" i="10"/>
  <c r="AQ95" i="10"/>
  <c r="AR22" i="10"/>
  <c r="AQ22" i="10"/>
  <c r="AR125" i="10"/>
  <c r="AQ125" i="10"/>
  <c r="AR57" i="10"/>
  <c r="AQ57" i="10"/>
  <c r="AR73" i="10"/>
  <c r="AQ73" i="10"/>
  <c r="AR62" i="10"/>
  <c r="AQ62" i="10"/>
  <c r="AR488" i="10"/>
  <c r="AQ488" i="10"/>
  <c r="AR424" i="10"/>
  <c r="AQ424" i="10"/>
  <c r="AR366" i="10"/>
  <c r="AQ366" i="10"/>
  <c r="AR324" i="10"/>
  <c r="AQ324" i="10"/>
  <c r="AR553" i="10"/>
  <c r="AQ553" i="10"/>
  <c r="AQ532" i="10"/>
  <c r="AR532" i="10"/>
  <c r="AR484" i="10"/>
  <c r="AQ484" i="10"/>
  <c r="AR508" i="10"/>
  <c r="AQ508" i="10"/>
  <c r="AR468" i="10"/>
  <c r="AQ468" i="10"/>
  <c r="AQ461" i="10"/>
  <c r="AR461" i="10"/>
  <c r="AR402" i="10"/>
  <c r="AQ402" i="10"/>
  <c r="AQ350" i="10"/>
  <c r="AR350" i="10"/>
  <c r="AQ318" i="10"/>
  <c r="AR318" i="10"/>
  <c r="AR348" i="10"/>
  <c r="AQ348" i="10"/>
  <c r="AQ304" i="10"/>
  <c r="AR304" i="10"/>
  <c r="AR311" i="10"/>
  <c r="AQ311" i="10"/>
  <c r="AR244" i="10"/>
  <c r="AQ244" i="10"/>
  <c r="AR268" i="10"/>
  <c r="AQ268" i="10"/>
  <c r="AR179" i="10"/>
  <c r="AQ179" i="10"/>
  <c r="AR115" i="10"/>
  <c r="AQ115" i="10"/>
  <c r="AQ23" i="10"/>
  <c r="AR23" i="10"/>
  <c r="AR99" i="10"/>
  <c r="AQ99" i="10"/>
  <c r="AQ43" i="10"/>
  <c r="AR43" i="10"/>
  <c r="AR137" i="10"/>
  <c r="AQ137" i="10"/>
  <c r="AQ74" i="10"/>
  <c r="AR74" i="10"/>
  <c r="AR24" i="10"/>
  <c r="AQ24" i="10"/>
  <c r="AR529" i="10"/>
  <c r="AQ529" i="10"/>
  <c r="AQ496" i="10"/>
  <c r="AR496" i="10"/>
  <c r="AR376" i="10"/>
  <c r="AQ376" i="10"/>
  <c r="AQ373" i="10"/>
  <c r="AR373" i="10"/>
  <c r="AR557" i="10"/>
  <c r="AQ557" i="10"/>
  <c r="AR550" i="10"/>
  <c r="AQ550" i="10"/>
  <c r="AR537" i="10"/>
  <c r="AQ537" i="10"/>
  <c r="AR509" i="10"/>
  <c r="AQ509" i="10"/>
  <c r="AQ481" i="10"/>
  <c r="AR481" i="10"/>
  <c r="AR494" i="10"/>
  <c r="AQ494" i="10"/>
  <c r="AR478" i="10"/>
  <c r="AQ478" i="10"/>
  <c r="AR404" i="10"/>
  <c r="AQ404" i="10"/>
  <c r="AQ399" i="10"/>
  <c r="AR399" i="10"/>
  <c r="AR414" i="10"/>
  <c r="AQ414" i="10"/>
  <c r="AQ438" i="10"/>
  <c r="AR438" i="10"/>
  <c r="AQ365" i="10"/>
  <c r="AR365" i="10"/>
  <c r="AR329" i="10"/>
  <c r="AQ329" i="10"/>
  <c r="AR364" i="10"/>
  <c r="AQ364" i="10"/>
  <c r="AQ299" i="10"/>
  <c r="AR299" i="10"/>
  <c r="AQ267" i="10"/>
  <c r="AR267" i="10"/>
  <c r="AR339" i="10"/>
  <c r="AQ339" i="10"/>
  <c r="AQ160" i="10"/>
  <c r="AR160" i="10"/>
  <c r="AQ128" i="10"/>
  <c r="AR128" i="10"/>
  <c r="AQ207" i="10"/>
  <c r="AR207" i="10"/>
  <c r="AR135" i="10"/>
  <c r="AQ135" i="10"/>
  <c r="AQ76" i="10"/>
  <c r="AR76" i="10"/>
  <c r="AR97" i="10"/>
  <c r="AQ97" i="10"/>
  <c r="AQ166" i="10"/>
  <c r="AR166" i="10"/>
  <c r="AR200" i="10"/>
  <c r="AQ200" i="10"/>
  <c r="AR101" i="10"/>
  <c r="AQ101" i="10"/>
  <c r="AR45" i="10"/>
  <c r="AQ45" i="10"/>
  <c r="AR36" i="10"/>
  <c r="AQ36" i="10"/>
  <c r="AQ32" i="10"/>
  <c r="AR32" i="10"/>
  <c r="AR40" i="10"/>
  <c r="AQ40" i="10"/>
  <c r="AQ274" i="10"/>
  <c r="AR274" i="10"/>
  <c r="AR164" i="10"/>
  <c r="AQ164" i="10"/>
  <c r="AR180" i="10"/>
  <c r="AQ180" i="10"/>
  <c r="AQ198" i="10"/>
  <c r="AR198" i="10"/>
  <c r="AR150" i="10"/>
  <c r="AQ150" i="10"/>
  <c r="AQ254" i="10"/>
  <c r="AR254" i="10"/>
  <c r="AQ286" i="10"/>
  <c r="AR286" i="10"/>
  <c r="AR114" i="10"/>
  <c r="AQ114" i="10"/>
  <c r="AR130" i="10"/>
  <c r="AQ130" i="10"/>
  <c r="AR158" i="10"/>
  <c r="AQ158" i="10"/>
  <c r="AQ212" i="10"/>
  <c r="AR212" i="10"/>
  <c r="AQ228" i="10"/>
  <c r="AR228" i="10"/>
  <c r="AR165" i="10"/>
  <c r="AQ165" i="10"/>
  <c r="AR181" i="10"/>
  <c r="AQ181" i="10"/>
  <c r="AR197" i="10"/>
  <c r="AQ197" i="10"/>
  <c r="AQ214" i="10"/>
  <c r="AR214" i="10"/>
  <c r="AQ230" i="10"/>
  <c r="AR230" i="10"/>
  <c r="AR245" i="10"/>
  <c r="AQ245" i="10"/>
  <c r="AR261" i="10"/>
  <c r="AQ261" i="10"/>
  <c r="AR277" i="10"/>
  <c r="AQ277" i="10"/>
  <c r="AR293" i="10"/>
  <c r="AQ293" i="10"/>
  <c r="AR217" i="10"/>
  <c r="AQ217" i="10"/>
  <c r="AR233" i="10"/>
  <c r="AQ233" i="10"/>
  <c r="AQ379" i="10"/>
  <c r="AR379" i="10"/>
  <c r="AQ393" i="10"/>
  <c r="AR393" i="10"/>
  <c r="AQ409" i="10"/>
  <c r="AR409" i="10"/>
  <c r="AQ425" i="10"/>
  <c r="AR425" i="10"/>
  <c r="AQ383" i="10"/>
  <c r="AR383" i="10"/>
  <c r="AR431" i="10"/>
  <c r="AQ431" i="10"/>
  <c r="AR444" i="10"/>
  <c r="AQ444" i="10"/>
  <c r="AR459" i="10"/>
  <c r="AQ459" i="10"/>
  <c r="AR475" i="10"/>
  <c r="AQ475" i="10"/>
  <c r="AR505" i="10"/>
  <c r="AQ505" i="10"/>
  <c r="AQ499" i="10"/>
  <c r="AR499" i="10"/>
  <c r="AR539" i="10"/>
  <c r="AQ539" i="10"/>
  <c r="AI77" i="10"/>
  <c r="AH77" i="10"/>
  <c r="AI551" i="10"/>
  <c r="AH551" i="10"/>
  <c r="AH417" i="10"/>
  <c r="AI417" i="10"/>
  <c r="AI313" i="10"/>
  <c r="AH313" i="10"/>
  <c r="AH237" i="10"/>
  <c r="AI237" i="10"/>
  <c r="AH285" i="10"/>
  <c r="AI285" i="10"/>
  <c r="AH253" i="10"/>
  <c r="AI253" i="10"/>
  <c r="AI165" i="10"/>
  <c r="AH165" i="10"/>
  <c r="AI89" i="10"/>
  <c r="AH89" i="10"/>
  <c r="AH150" i="10"/>
  <c r="AI150" i="10"/>
  <c r="AH86" i="10"/>
  <c r="AI86" i="10"/>
  <c r="AH45" i="10"/>
  <c r="AI45" i="10"/>
  <c r="AH21" i="10"/>
  <c r="AI21" i="10"/>
  <c r="AI543" i="10"/>
  <c r="AH543" i="10"/>
  <c r="AI460" i="10"/>
  <c r="AH460" i="10"/>
  <c r="AH452" i="10"/>
  <c r="AI452" i="10"/>
  <c r="AH397" i="10"/>
  <c r="AI397" i="10"/>
  <c r="AH365" i="10"/>
  <c r="AI365" i="10"/>
  <c r="AH316" i="10"/>
  <c r="AI316" i="10"/>
  <c r="AI201" i="10"/>
  <c r="AH201" i="10"/>
  <c r="AH292" i="10"/>
  <c r="AI292" i="10"/>
  <c r="AH260" i="10"/>
  <c r="AI260" i="10"/>
  <c r="AI133" i="10"/>
  <c r="AH133" i="10"/>
  <c r="AI135" i="10"/>
  <c r="AH135" i="10"/>
  <c r="AI190" i="10"/>
  <c r="AH190" i="10"/>
  <c r="AH162" i="10"/>
  <c r="AI162" i="10"/>
  <c r="AH90" i="10"/>
  <c r="AI90" i="10"/>
  <c r="AH32" i="10"/>
  <c r="AI32" i="10"/>
  <c r="AH557" i="10"/>
  <c r="AI557" i="10"/>
  <c r="AH493" i="10"/>
  <c r="AI493" i="10"/>
  <c r="AI457" i="10"/>
  <c r="AH457" i="10"/>
  <c r="AH361" i="10"/>
  <c r="AI361" i="10"/>
  <c r="AH381" i="10"/>
  <c r="AI381" i="10"/>
  <c r="AH542" i="10"/>
  <c r="AI542" i="10"/>
  <c r="AI516" i="10"/>
  <c r="AH516" i="10"/>
  <c r="AI486" i="10"/>
  <c r="AH486" i="10"/>
  <c r="AH479" i="10"/>
  <c r="AI479" i="10"/>
  <c r="AH425" i="10"/>
  <c r="AI425" i="10"/>
  <c r="AI424" i="10"/>
  <c r="AH424" i="10"/>
  <c r="AH369" i="10"/>
  <c r="AI369" i="10"/>
  <c r="AI333" i="10"/>
  <c r="AH333" i="10"/>
  <c r="AH344" i="10"/>
  <c r="AI344" i="10"/>
  <c r="AH213" i="10"/>
  <c r="AI213" i="10"/>
  <c r="AI173" i="10"/>
  <c r="AH173" i="10"/>
  <c r="AI125" i="10"/>
  <c r="AH125" i="10"/>
  <c r="AI109" i="10"/>
  <c r="AH109" i="10"/>
  <c r="AI81" i="10"/>
  <c r="AH81" i="10"/>
  <c r="AH204" i="10"/>
  <c r="AI204" i="10"/>
  <c r="AH110" i="10"/>
  <c r="AI110" i="10"/>
  <c r="AH49" i="10"/>
  <c r="AI49" i="10"/>
  <c r="AI28" i="10"/>
  <c r="AH28" i="10"/>
  <c r="AH50" i="10"/>
  <c r="AI50" i="10"/>
  <c r="AI435" i="10"/>
  <c r="AH435" i="10"/>
  <c r="AH289" i="10"/>
  <c r="AI289" i="10"/>
  <c r="AH546" i="10"/>
  <c r="AI546" i="10"/>
  <c r="AI523" i="10"/>
  <c r="AH523" i="10"/>
  <c r="AH501" i="10"/>
  <c r="AI501" i="10"/>
  <c r="AI476" i="10"/>
  <c r="AH476" i="10"/>
  <c r="AI443" i="10"/>
  <c r="AH443" i="10"/>
  <c r="AI431" i="10"/>
  <c r="AH431" i="10"/>
  <c r="AI420" i="10"/>
  <c r="AH420" i="10"/>
  <c r="AI368" i="10"/>
  <c r="AH368" i="10"/>
  <c r="AH324" i="10"/>
  <c r="AI324" i="10"/>
  <c r="AH209" i="10"/>
  <c r="AI209" i="10"/>
  <c r="AI169" i="10"/>
  <c r="AH169" i="10"/>
  <c r="AH272" i="10"/>
  <c r="AI272" i="10"/>
  <c r="AI230" i="10"/>
  <c r="AH230" i="10"/>
  <c r="AI143" i="10"/>
  <c r="AH143" i="10"/>
  <c r="AI178" i="10"/>
  <c r="AH178" i="10"/>
  <c r="AH122" i="10"/>
  <c r="AI122" i="10"/>
  <c r="AI25" i="10"/>
  <c r="AH25" i="10"/>
  <c r="AI31" i="10"/>
  <c r="AH31" i="10"/>
  <c r="AH41" i="10"/>
  <c r="AI41" i="10"/>
  <c r="AH192" i="10"/>
  <c r="AI192" i="10"/>
  <c r="AI51" i="10"/>
  <c r="AH51" i="10"/>
  <c r="AH61" i="10"/>
  <c r="AI61" i="10"/>
  <c r="AI112" i="10"/>
  <c r="AH112" i="10"/>
  <c r="AI128" i="10"/>
  <c r="AH128" i="10"/>
  <c r="AI144" i="10"/>
  <c r="AH144" i="10"/>
  <c r="AI160" i="10"/>
  <c r="AH160" i="10"/>
  <c r="AI65" i="10"/>
  <c r="AH65" i="10"/>
  <c r="AH92" i="10"/>
  <c r="AI92" i="10"/>
  <c r="AH184" i="10"/>
  <c r="AI184" i="10"/>
  <c r="AI29" i="10"/>
  <c r="AH29" i="10"/>
  <c r="AI60" i="10"/>
  <c r="AH60" i="10"/>
  <c r="AI141" i="10"/>
  <c r="AH141" i="10"/>
  <c r="AI157" i="10"/>
  <c r="AH157" i="10"/>
  <c r="AI255" i="10"/>
  <c r="AH255" i="10"/>
  <c r="AI271" i="10"/>
  <c r="AH271" i="10"/>
  <c r="AI287" i="10"/>
  <c r="AH287" i="10"/>
  <c r="AH216" i="10"/>
  <c r="AI216" i="10"/>
  <c r="AH232" i="10"/>
  <c r="AI232" i="10"/>
  <c r="AH246" i="10"/>
  <c r="AI246" i="10"/>
  <c r="AH262" i="10"/>
  <c r="AI262" i="10"/>
  <c r="AH278" i="10"/>
  <c r="AI278" i="10"/>
  <c r="AH294" i="10"/>
  <c r="AI294" i="10"/>
  <c r="AI79" i="10"/>
  <c r="AH79" i="10"/>
  <c r="AI95" i="10"/>
  <c r="AH95" i="10"/>
  <c r="AI111" i="10"/>
  <c r="AH111" i="10"/>
  <c r="AI127" i="10"/>
  <c r="AH127" i="10"/>
  <c r="AI179" i="10"/>
  <c r="AH179" i="10"/>
  <c r="AI310" i="10"/>
  <c r="AH310" i="10"/>
  <c r="AI326" i="10"/>
  <c r="AH326" i="10"/>
  <c r="AI342" i="10"/>
  <c r="AH342" i="10"/>
  <c r="AI358" i="10"/>
  <c r="AH358" i="10"/>
  <c r="AI195" i="10"/>
  <c r="AH195" i="10"/>
  <c r="AI211" i="10"/>
  <c r="AH211" i="10"/>
  <c r="AI227" i="10"/>
  <c r="AH227" i="10"/>
  <c r="AI243" i="10"/>
  <c r="AH243" i="10"/>
  <c r="AI307" i="10"/>
  <c r="AH307" i="10"/>
  <c r="AI323" i="10"/>
  <c r="AH323" i="10"/>
  <c r="AI339" i="10"/>
  <c r="AH339" i="10"/>
  <c r="AI355" i="10"/>
  <c r="AH355" i="10"/>
  <c r="AH432" i="10"/>
  <c r="AI432" i="10"/>
  <c r="AH371" i="10"/>
  <c r="AI371" i="10"/>
  <c r="AH391" i="10"/>
  <c r="AI391" i="10"/>
  <c r="AH407" i="10"/>
  <c r="AI407" i="10"/>
  <c r="AH423" i="10"/>
  <c r="AI423" i="10"/>
  <c r="AI378" i="10"/>
  <c r="AH378" i="10"/>
  <c r="AI442" i="10"/>
  <c r="AH442" i="10"/>
  <c r="AI390" i="10"/>
  <c r="AH390" i="10"/>
  <c r="AI406" i="10"/>
  <c r="AH406" i="10"/>
  <c r="AI473" i="10"/>
  <c r="AH473" i="10"/>
  <c r="AH459" i="10"/>
  <c r="AI459" i="10"/>
  <c r="AH434" i="10"/>
  <c r="AI434" i="10"/>
  <c r="AI453" i="10"/>
  <c r="AH453" i="10"/>
  <c r="AI466" i="10"/>
  <c r="AH466" i="10"/>
  <c r="AI496" i="10"/>
  <c r="AH496" i="10"/>
  <c r="AH489" i="10"/>
  <c r="AI489" i="10"/>
  <c r="AI504" i="10"/>
  <c r="AH504" i="10"/>
  <c r="AH503" i="10"/>
  <c r="AI503" i="10"/>
  <c r="AI512" i="10"/>
  <c r="AH512" i="10"/>
  <c r="AI529" i="10"/>
  <c r="AH529" i="10"/>
  <c r="AI531" i="10"/>
  <c r="AH531" i="10"/>
  <c r="AI556" i="10"/>
  <c r="AH556" i="10"/>
  <c r="AI552" i="10"/>
  <c r="AH552" i="10"/>
  <c r="AR530" i="10"/>
  <c r="AQ530" i="10"/>
  <c r="AR472" i="10"/>
  <c r="AQ472" i="10"/>
  <c r="AQ465" i="10"/>
  <c r="AR465" i="10"/>
  <c r="AR356" i="10"/>
  <c r="AQ356" i="10"/>
  <c r="AR335" i="10"/>
  <c r="AQ335" i="10"/>
  <c r="AR272" i="10"/>
  <c r="AQ272" i="10"/>
  <c r="AQ203" i="10"/>
  <c r="AR203" i="10"/>
  <c r="AR139" i="10"/>
  <c r="AQ139" i="10"/>
  <c r="AQ88" i="10"/>
  <c r="AR88" i="10"/>
  <c r="AR75" i="10"/>
  <c r="AQ75" i="10"/>
  <c r="AR161" i="10"/>
  <c r="AQ161" i="10"/>
  <c r="AQ98" i="10"/>
  <c r="AR98" i="10"/>
  <c r="AQ59" i="10"/>
  <c r="AR59" i="10"/>
  <c r="AR558" i="10"/>
  <c r="AQ558" i="10"/>
  <c r="AQ524" i="10"/>
  <c r="AR524" i="10"/>
  <c r="AR525" i="10"/>
  <c r="AQ525" i="10"/>
  <c r="AR470" i="10"/>
  <c r="AQ470" i="10"/>
  <c r="AR456" i="10"/>
  <c r="AQ456" i="10"/>
  <c r="AR392" i="10"/>
  <c r="AQ392" i="10"/>
  <c r="AQ391" i="10"/>
  <c r="AR391" i="10"/>
  <c r="AR406" i="10"/>
  <c r="AQ406" i="10"/>
  <c r="AR372" i="10"/>
  <c r="AQ372" i="10"/>
  <c r="AR349" i="10"/>
  <c r="AQ349" i="10"/>
  <c r="AR317" i="10"/>
  <c r="AQ317" i="10"/>
  <c r="AR360" i="10"/>
  <c r="AQ360" i="10"/>
  <c r="AQ303" i="10"/>
  <c r="AR303" i="10"/>
  <c r="AQ271" i="10"/>
  <c r="AR271" i="10"/>
  <c r="AQ381" i="10"/>
  <c r="AR381" i="10"/>
  <c r="AR243" i="10"/>
  <c r="AQ243" i="10"/>
  <c r="AQ148" i="10"/>
  <c r="AR148" i="10"/>
  <c r="AQ116" i="10"/>
  <c r="AR116" i="10"/>
  <c r="AR183" i="10"/>
  <c r="AQ183" i="10"/>
  <c r="AR119" i="10"/>
  <c r="AQ119" i="10"/>
  <c r="AR35" i="10"/>
  <c r="AQ35" i="10"/>
  <c r="AQ186" i="10"/>
  <c r="AR186" i="10"/>
  <c r="AR79" i="10"/>
  <c r="AQ79" i="10"/>
  <c r="AR89" i="10"/>
  <c r="AQ89" i="10"/>
  <c r="AR109" i="10"/>
  <c r="AQ109" i="10"/>
  <c r="AR54" i="10"/>
  <c r="AQ54" i="10"/>
  <c r="AR47" i="10"/>
  <c r="AQ47" i="10"/>
  <c r="AR26" i="10"/>
  <c r="AQ26" i="10"/>
  <c r="AR480" i="10"/>
  <c r="AQ480" i="10"/>
  <c r="AQ395" i="10"/>
  <c r="AR395" i="10"/>
  <c r="AQ338" i="10"/>
  <c r="AR338" i="10"/>
  <c r="AR351" i="10"/>
  <c r="AQ351" i="10"/>
  <c r="AR535" i="10"/>
  <c r="AQ535" i="10"/>
  <c r="AR527" i="10"/>
  <c r="AQ527" i="10"/>
  <c r="AR476" i="10"/>
  <c r="AQ476" i="10"/>
  <c r="AR502" i="10"/>
  <c r="AQ502" i="10"/>
  <c r="AQ457" i="10"/>
  <c r="AR457" i="10"/>
  <c r="AR449" i="10"/>
  <c r="AQ449" i="10"/>
  <c r="AR386" i="10"/>
  <c r="AQ386" i="10"/>
  <c r="AQ342" i="10"/>
  <c r="AR342" i="10"/>
  <c r="AQ310" i="10"/>
  <c r="AR310" i="10"/>
  <c r="AR332" i="10"/>
  <c r="AQ332" i="10"/>
  <c r="AR359" i="10"/>
  <c r="AQ359" i="10"/>
  <c r="AR305" i="10"/>
  <c r="AQ305" i="10"/>
  <c r="AR292" i="10"/>
  <c r="AQ292" i="10"/>
  <c r="AR260" i="10"/>
  <c r="AQ260" i="10"/>
  <c r="AR163" i="10"/>
  <c r="AQ163" i="10"/>
  <c r="AQ96" i="10"/>
  <c r="AR96" i="10"/>
  <c r="AR83" i="10"/>
  <c r="AQ83" i="10"/>
  <c r="AR85" i="10"/>
  <c r="AQ85" i="10"/>
  <c r="AR121" i="10"/>
  <c r="AQ121" i="10"/>
  <c r="AR93" i="10"/>
  <c r="AQ93" i="10"/>
  <c r="AR554" i="10"/>
  <c r="AQ554" i="10"/>
  <c r="AQ516" i="10"/>
  <c r="AR516" i="10"/>
  <c r="AQ427" i="10"/>
  <c r="AR427" i="10"/>
  <c r="AQ354" i="10"/>
  <c r="AR354" i="10"/>
  <c r="AR319" i="10"/>
  <c r="AQ319" i="10"/>
  <c r="AQ555" i="10"/>
  <c r="AR555" i="10"/>
  <c r="AQ551" i="10"/>
  <c r="AR551" i="10"/>
  <c r="AQ541" i="10"/>
  <c r="AR541" i="10"/>
  <c r="AQ491" i="10"/>
  <c r="AR491" i="10"/>
  <c r="AQ477" i="10"/>
  <c r="AR477" i="10"/>
  <c r="AR490" i="10"/>
  <c r="AQ490" i="10"/>
  <c r="AR464" i="10"/>
  <c r="AQ464" i="10"/>
  <c r="AR396" i="10"/>
  <c r="AQ396" i="10"/>
  <c r="AQ469" i="10"/>
  <c r="AR469" i="10"/>
  <c r="AR398" i="10"/>
  <c r="AQ398" i="10"/>
  <c r="AR380" i="10"/>
  <c r="AQ380" i="10"/>
  <c r="AR353" i="10"/>
  <c r="AQ353" i="10"/>
  <c r="AR321" i="10"/>
  <c r="AQ321" i="10"/>
  <c r="AR344" i="10"/>
  <c r="AQ344" i="10"/>
  <c r="AQ291" i="10"/>
  <c r="AR291" i="10"/>
  <c r="AQ259" i="10"/>
  <c r="AR259" i="10"/>
  <c r="AR323" i="10"/>
  <c r="AQ323" i="10"/>
  <c r="AQ152" i="10"/>
  <c r="AR152" i="10"/>
  <c r="AQ120" i="10"/>
  <c r="AR120" i="10"/>
  <c r="AR191" i="10"/>
  <c r="AQ191" i="10"/>
  <c r="AR127" i="10"/>
  <c r="AQ127" i="10"/>
  <c r="AQ68" i="10"/>
  <c r="AR68" i="10"/>
  <c r="AQ190" i="10"/>
  <c r="AR190" i="10"/>
  <c r="AR87" i="10"/>
  <c r="AQ87" i="10"/>
  <c r="AR149" i="10"/>
  <c r="AQ149" i="10"/>
  <c r="AQ86" i="10"/>
  <c r="AR86" i="10"/>
  <c r="AR81" i="10"/>
  <c r="AQ81" i="10"/>
  <c r="AR20" i="10"/>
  <c r="AQ20" i="10"/>
  <c r="AR37" i="10"/>
  <c r="AQ37" i="10"/>
  <c r="AR154" i="10"/>
  <c r="AQ154" i="10"/>
  <c r="AQ282" i="10"/>
  <c r="AR282" i="10"/>
  <c r="AR168" i="10"/>
  <c r="AQ168" i="10"/>
  <c r="AR184" i="10"/>
  <c r="AQ184" i="10"/>
  <c r="AQ206" i="10"/>
  <c r="AR206" i="10"/>
  <c r="AQ298" i="10"/>
  <c r="AR298" i="10"/>
  <c r="AQ262" i="10"/>
  <c r="AR262" i="10"/>
  <c r="AQ294" i="10"/>
  <c r="AR294" i="10"/>
  <c r="AR118" i="10"/>
  <c r="AQ118" i="10"/>
  <c r="AR138" i="10"/>
  <c r="AQ138" i="10"/>
  <c r="AQ258" i="10"/>
  <c r="AR258" i="10"/>
  <c r="AQ216" i="10"/>
  <c r="AR216" i="10"/>
  <c r="AQ232" i="10"/>
  <c r="AR232" i="10"/>
  <c r="AR169" i="10"/>
  <c r="AQ169" i="10"/>
  <c r="AR185" i="10"/>
  <c r="AQ185" i="10"/>
  <c r="AR201" i="10"/>
  <c r="AQ201" i="10"/>
  <c r="AQ218" i="10"/>
  <c r="AR218" i="10"/>
  <c r="AQ234" i="10"/>
  <c r="AR234" i="10"/>
  <c r="AR249" i="10"/>
  <c r="AQ249" i="10"/>
  <c r="AR265" i="10"/>
  <c r="AQ265" i="10"/>
  <c r="AR281" i="10"/>
  <c r="AQ281" i="10"/>
  <c r="AR297" i="10"/>
  <c r="AQ297" i="10"/>
  <c r="AR221" i="10"/>
  <c r="AQ221" i="10"/>
  <c r="AR237" i="10"/>
  <c r="AQ237" i="10"/>
  <c r="AR301" i="10"/>
  <c r="AQ301" i="10"/>
  <c r="AQ397" i="10"/>
  <c r="AR397" i="10"/>
  <c r="AQ413" i="10"/>
  <c r="AR413" i="10"/>
  <c r="AQ429" i="10"/>
  <c r="AR429" i="10"/>
  <c r="AR363" i="10"/>
  <c r="AQ363" i="10"/>
  <c r="AR498" i="10"/>
  <c r="AQ498" i="10"/>
  <c r="AR448" i="10"/>
  <c r="AQ448" i="10"/>
  <c r="AR463" i="10"/>
  <c r="AQ463" i="10"/>
  <c r="AR479" i="10"/>
  <c r="AQ479" i="10"/>
  <c r="AR486" i="10"/>
  <c r="AQ486" i="10"/>
  <c r="AQ534" i="10"/>
  <c r="AR534" i="10"/>
  <c r="AR543" i="10"/>
  <c r="AQ543" i="10"/>
  <c r="AH233" i="10"/>
  <c r="AI233" i="10"/>
  <c r="AI472" i="10"/>
  <c r="AH472" i="10"/>
  <c r="AH401" i="10"/>
  <c r="AI401" i="10"/>
  <c r="AH352" i="10"/>
  <c r="AI352" i="10"/>
  <c r="AH221" i="10"/>
  <c r="AI221" i="10"/>
  <c r="AH277" i="10"/>
  <c r="AI277" i="10"/>
  <c r="AH249" i="10"/>
  <c r="AI249" i="10"/>
  <c r="AI242" i="10"/>
  <c r="AH242" i="10"/>
  <c r="AI73" i="10"/>
  <c r="AH73" i="10"/>
  <c r="AH134" i="10"/>
  <c r="AI134" i="10"/>
  <c r="AH70" i="10"/>
  <c r="AI70" i="10"/>
  <c r="AI38" i="10"/>
  <c r="AH38" i="10"/>
  <c r="AH554" i="10"/>
  <c r="AI554" i="10"/>
  <c r="AH526" i="10"/>
  <c r="AI526" i="10"/>
  <c r="AI484" i="10"/>
  <c r="AH484" i="10"/>
  <c r="AI469" i="10"/>
  <c r="AH469" i="10"/>
  <c r="AI412" i="10"/>
  <c r="AH412" i="10"/>
  <c r="AI364" i="10"/>
  <c r="AH364" i="10"/>
  <c r="AH377" i="10"/>
  <c r="AI377" i="10"/>
  <c r="AH304" i="10"/>
  <c r="AI304" i="10"/>
  <c r="AH284" i="10"/>
  <c r="AI284" i="10"/>
  <c r="AH252" i="10"/>
  <c r="AI252" i="10"/>
  <c r="AI93" i="10"/>
  <c r="AH93" i="10"/>
  <c r="AH71" i="10"/>
  <c r="AI71" i="10"/>
  <c r="AI182" i="10"/>
  <c r="AH182" i="10"/>
  <c r="AH146" i="10"/>
  <c r="AI146" i="10"/>
  <c r="AH74" i="10"/>
  <c r="AI74" i="10"/>
  <c r="AH27" i="10"/>
  <c r="AI27" i="10"/>
  <c r="AI547" i="10"/>
  <c r="AH547" i="10"/>
  <c r="AI464" i="10"/>
  <c r="AH464" i="10"/>
  <c r="AI416" i="10"/>
  <c r="AH416" i="10"/>
  <c r="AI345" i="10"/>
  <c r="AH345" i="10"/>
  <c r="AH293" i="10"/>
  <c r="AI293" i="10"/>
  <c r="AI539" i="10"/>
  <c r="AH539" i="10"/>
  <c r="AH513" i="10"/>
  <c r="AI513" i="10"/>
  <c r="AH491" i="10"/>
  <c r="AI491" i="10"/>
  <c r="AH448" i="10"/>
  <c r="AI448" i="10"/>
  <c r="AH409" i="10"/>
  <c r="AI409" i="10"/>
  <c r="AI408" i="10"/>
  <c r="AH408" i="10"/>
  <c r="AI357" i="10"/>
  <c r="AH357" i="10"/>
  <c r="AI325" i="10"/>
  <c r="AH325" i="10"/>
  <c r="AH328" i="10"/>
  <c r="AI328" i="10"/>
  <c r="AI197" i="10"/>
  <c r="AH197" i="10"/>
  <c r="AI234" i="10"/>
  <c r="AH234" i="10"/>
  <c r="AI121" i="10"/>
  <c r="AH121" i="10"/>
  <c r="AI105" i="10"/>
  <c r="AH105" i="10"/>
  <c r="AI163" i="10"/>
  <c r="AH163" i="10"/>
  <c r="AH158" i="10"/>
  <c r="AI158" i="10"/>
  <c r="AH94" i="10"/>
  <c r="AI94" i="10"/>
  <c r="AH47" i="10"/>
  <c r="AI47" i="10"/>
  <c r="AH37" i="10"/>
  <c r="AI37" i="10"/>
  <c r="AH534" i="10"/>
  <c r="AI534" i="10"/>
  <c r="AI337" i="10"/>
  <c r="AH337" i="10"/>
  <c r="AH273" i="10"/>
  <c r="AI273" i="10"/>
  <c r="AH532" i="10"/>
  <c r="AI532" i="10"/>
  <c r="AH522" i="10"/>
  <c r="AI522" i="10"/>
  <c r="AH505" i="10"/>
  <c r="AI505" i="10"/>
  <c r="AH475" i="10"/>
  <c r="AI475" i="10"/>
  <c r="AI439" i="10"/>
  <c r="AH439" i="10"/>
  <c r="AH421" i="10"/>
  <c r="AI421" i="10"/>
  <c r="AI404" i="10"/>
  <c r="AH404" i="10"/>
  <c r="AI360" i="10"/>
  <c r="AH360" i="10"/>
  <c r="AH308" i="10"/>
  <c r="AI308" i="10"/>
  <c r="AH300" i="10"/>
  <c r="AI300" i="10"/>
  <c r="AH296" i="10"/>
  <c r="AI296" i="10"/>
  <c r="AH264" i="10"/>
  <c r="AI264" i="10"/>
  <c r="AI214" i="10"/>
  <c r="AH214" i="10"/>
  <c r="AH196" i="10"/>
  <c r="AI196" i="10"/>
  <c r="AI170" i="10"/>
  <c r="AH170" i="10"/>
  <c r="AH106" i="10"/>
  <c r="AI106" i="10"/>
  <c r="AH54" i="10"/>
  <c r="AI54" i="10"/>
  <c r="AI33" i="10"/>
  <c r="AH33" i="10"/>
  <c r="AH84" i="10"/>
  <c r="AI84" i="10"/>
  <c r="AI198" i="10"/>
  <c r="AH198" i="10"/>
  <c r="AI53" i="10"/>
  <c r="AH53" i="10"/>
  <c r="AI100" i="10"/>
  <c r="AH100" i="10"/>
  <c r="AI116" i="10"/>
  <c r="AH116" i="10"/>
  <c r="AI132" i="10"/>
  <c r="AH132" i="10"/>
  <c r="AI148" i="10"/>
  <c r="AH148" i="10"/>
  <c r="AI43" i="10"/>
  <c r="AH43" i="10"/>
  <c r="AH72" i="10"/>
  <c r="AI72" i="10"/>
  <c r="AH96" i="10"/>
  <c r="AI96" i="10"/>
  <c r="AH188" i="10"/>
  <c r="AI188" i="10"/>
  <c r="AI36" i="10"/>
  <c r="AH36" i="10"/>
  <c r="AH68" i="10"/>
  <c r="AI68" i="10"/>
  <c r="AI24" i="10"/>
  <c r="AH24" i="10"/>
  <c r="AI145" i="10"/>
  <c r="AH145" i="10"/>
  <c r="AI161" i="10"/>
  <c r="AH161" i="10"/>
  <c r="AI259" i="10"/>
  <c r="AH259" i="10"/>
  <c r="AI275" i="10"/>
  <c r="AH275" i="10"/>
  <c r="AI291" i="10"/>
  <c r="AH291" i="10"/>
  <c r="AH220" i="10"/>
  <c r="AI220" i="10"/>
  <c r="AH236" i="10"/>
  <c r="AI236" i="10"/>
  <c r="AH250" i="10"/>
  <c r="AI250" i="10"/>
  <c r="AH266" i="10"/>
  <c r="AI266" i="10"/>
  <c r="AH282" i="10"/>
  <c r="AI282" i="10"/>
  <c r="AH298" i="10"/>
  <c r="AI298" i="10"/>
  <c r="AI83" i="10"/>
  <c r="AH83" i="10"/>
  <c r="AI99" i="10"/>
  <c r="AH99" i="10"/>
  <c r="AI115" i="10"/>
  <c r="AH115" i="10"/>
  <c r="AI167" i="10"/>
  <c r="AH167" i="10"/>
  <c r="AI183" i="10"/>
  <c r="AH183" i="10"/>
  <c r="AI314" i="10"/>
  <c r="AH314" i="10"/>
  <c r="AI330" i="10"/>
  <c r="AH330" i="10"/>
  <c r="AI346" i="10"/>
  <c r="AH346" i="10"/>
  <c r="AI299" i="10"/>
  <c r="AH299" i="10"/>
  <c r="AI199" i="10"/>
  <c r="AH199" i="10"/>
  <c r="AI215" i="10"/>
  <c r="AH215" i="10"/>
  <c r="AI231" i="10"/>
  <c r="AH231" i="10"/>
  <c r="AH363" i="10"/>
  <c r="AI363" i="10"/>
  <c r="AI311" i="10"/>
  <c r="AH311" i="10"/>
  <c r="AI327" i="10"/>
  <c r="AH327" i="10"/>
  <c r="AI343" i="10"/>
  <c r="AH343" i="10"/>
  <c r="AI359" i="10"/>
  <c r="AH359" i="10"/>
  <c r="AI433" i="10"/>
  <c r="AH433" i="10"/>
  <c r="AH375" i="10"/>
  <c r="AI375" i="10"/>
  <c r="AH395" i="10"/>
  <c r="AI395" i="10"/>
  <c r="AH411" i="10"/>
  <c r="AI411" i="10"/>
  <c r="AH427" i="10"/>
  <c r="AI427" i="10"/>
  <c r="AI382" i="10"/>
  <c r="AH382" i="10"/>
  <c r="AI446" i="10"/>
  <c r="AH446" i="10"/>
  <c r="AI394" i="10"/>
  <c r="AH394" i="10"/>
  <c r="AI410" i="10"/>
  <c r="AH410" i="10"/>
  <c r="AI477" i="10"/>
  <c r="AH477" i="10"/>
  <c r="AH463" i="10"/>
  <c r="AI463" i="10"/>
  <c r="AI441" i="10"/>
  <c r="AH441" i="10"/>
  <c r="AI454" i="10"/>
  <c r="AH454" i="10"/>
  <c r="AI470" i="10"/>
  <c r="AH470" i="10"/>
  <c r="AI474" i="10"/>
  <c r="AH474" i="10"/>
  <c r="AI500" i="10"/>
  <c r="AH500" i="10"/>
  <c r="AI524" i="10"/>
  <c r="AH524" i="10"/>
  <c r="AI507" i="10"/>
  <c r="AH507" i="10"/>
  <c r="AI517" i="10"/>
  <c r="AH517" i="10"/>
  <c r="AI536" i="10"/>
  <c r="AH536" i="10"/>
  <c r="AI541" i="10"/>
  <c r="AH541" i="10"/>
  <c r="AI560" i="10"/>
  <c r="AH560" i="10"/>
  <c r="AI559" i="10"/>
  <c r="AH559" i="10"/>
  <c r="AQ507" i="10"/>
  <c r="AR507" i="10"/>
  <c r="AR460" i="10"/>
  <c r="AQ460" i="10"/>
  <c r="AQ346" i="10"/>
  <c r="AR346" i="10"/>
  <c r="AR340" i="10"/>
  <c r="AQ340" i="10"/>
  <c r="AR296" i="10"/>
  <c r="AQ296" i="10"/>
  <c r="AR264" i="10"/>
  <c r="AQ264" i="10"/>
  <c r="AR187" i="10"/>
  <c r="AQ187" i="10"/>
  <c r="AR131" i="10"/>
  <c r="AQ131" i="10"/>
  <c r="AQ72" i="10"/>
  <c r="AR72" i="10"/>
  <c r="AR65" i="10"/>
  <c r="AQ65" i="10"/>
  <c r="AR145" i="10"/>
  <c r="AQ145" i="10"/>
  <c r="AQ82" i="10"/>
  <c r="AR82" i="10"/>
  <c r="AQ51" i="10"/>
  <c r="AR51" i="10"/>
  <c r="AR542" i="10"/>
  <c r="AQ542" i="10"/>
  <c r="AR523" i="10"/>
  <c r="AQ523" i="10"/>
  <c r="AR506" i="10"/>
  <c r="AQ506" i="10"/>
  <c r="AR462" i="10"/>
  <c r="AQ462" i="10"/>
  <c r="AR416" i="10"/>
  <c r="AQ416" i="10"/>
  <c r="AR384" i="10"/>
  <c r="AQ384" i="10"/>
  <c r="AR453" i="10"/>
  <c r="AQ453" i="10"/>
  <c r="AR390" i="10"/>
  <c r="AQ390" i="10"/>
  <c r="AR362" i="10"/>
  <c r="AQ362" i="10"/>
  <c r="AR341" i="10"/>
  <c r="AQ341" i="10"/>
  <c r="AR309" i="10"/>
  <c r="AQ309" i="10"/>
  <c r="AR352" i="10"/>
  <c r="AQ352" i="10"/>
  <c r="AQ295" i="10"/>
  <c r="AR295" i="10"/>
  <c r="AQ263" i="10"/>
  <c r="AR263" i="10"/>
  <c r="AR347" i="10"/>
  <c r="AQ347" i="10"/>
  <c r="AR227" i="10"/>
  <c r="AQ227" i="10"/>
  <c r="AQ140" i="10"/>
  <c r="AR140" i="10"/>
  <c r="AQ108" i="10"/>
  <c r="AR108" i="10"/>
  <c r="AR167" i="10"/>
  <c r="AQ167" i="10"/>
  <c r="AR103" i="10"/>
  <c r="AQ103" i="10"/>
  <c r="AR25" i="10"/>
  <c r="AQ25" i="10"/>
  <c r="AQ178" i="10"/>
  <c r="AR178" i="10"/>
  <c r="AR64" i="10"/>
  <c r="AQ64" i="10"/>
  <c r="AR157" i="10"/>
  <c r="AQ157" i="10"/>
  <c r="AQ94" i="10"/>
  <c r="AR94" i="10"/>
  <c r="AR50" i="10"/>
  <c r="AQ50" i="10"/>
  <c r="AQ55" i="10"/>
  <c r="AR55" i="10"/>
  <c r="AR547" i="10"/>
  <c r="AQ547" i="10"/>
  <c r="AQ450" i="10"/>
  <c r="AR450" i="10"/>
  <c r="AR426" i="10"/>
  <c r="AQ426" i="10"/>
  <c r="AR451" i="10"/>
  <c r="AQ451" i="10"/>
  <c r="AR231" i="10"/>
  <c r="AQ231" i="10"/>
  <c r="AR533" i="10"/>
  <c r="AQ533" i="10"/>
  <c r="AR500" i="10"/>
  <c r="AQ500" i="10"/>
  <c r="AR512" i="10"/>
  <c r="AQ512" i="10"/>
  <c r="AQ442" i="10"/>
  <c r="AR442" i="10"/>
  <c r="AQ419" i="10"/>
  <c r="AR419" i="10"/>
  <c r="AQ433" i="10"/>
  <c r="AR433" i="10"/>
  <c r="AR370" i="10"/>
  <c r="AQ370" i="10"/>
  <c r="AQ334" i="10"/>
  <c r="AR334" i="10"/>
  <c r="AR443" i="10"/>
  <c r="AQ443" i="10"/>
  <c r="AR316" i="10"/>
  <c r="AQ316" i="10"/>
  <c r="AR343" i="10"/>
  <c r="AQ343" i="10"/>
  <c r="AR239" i="10"/>
  <c r="AQ239" i="10"/>
  <c r="AR284" i="10"/>
  <c r="AQ284" i="10"/>
  <c r="AR252" i="10"/>
  <c r="AQ252" i="10"/>
  <c r="AR147" i="10"/>
  <c r="AQ147" i="10"/>
  <c r="AQ80" i="10"/>
  <c r="AR80" i="10"/>
  <c r="AR49" i="10"/>
  <c r="AQ49" i="10"/>
  <c r="AR67" i="10"/>
  <c r="AQ67" i="10"/>
  <c r="AR66" i="10"/>
  <c r="AQ66" i="10"/>
  <c r="AR105" i="10"/>
  <c r="AQ105" i="10"/>
  <c r="AQ69" i="10"/>
  <c r="AR69" i="10"/>
  <c r="AQ511" i="10"/>
  <c r="AR511" i="10"/>
  <c r="AQ503" i="10"/>
  <c r="AR503" i="10"/>
  <c r="AQ411" i="10"/>
  <c r="AR411" i="10"/>
  <c r="AQ322" i="10"/>
  <c r="AR322" i="10"/>
  <c r="AR215" i="10"/>
  <c r="AQ215" i="10"/>
  <c r="AQ556" i="10"/>
  <c r="AR556" i="10"/>
  <c r="AR545" i="10"/>
  <c r="AQ545" i="10"/>
  <c r="AR526" i="10"/>
  <c r="AQ526" i="10"/>
  <c r="AQ522" i="10"/>
  <c r="AR522" i="10"/>
  <c r="AQ473" i="10"/>
  <c r="AR473" i="10"/>
  <c r="AR466" i="10"/>
  <c r="AQ466" i="10"/>
  <c r="AR420" i="10"/>
  <c r="AQ420" i="10"/>
  <c r="AR388" i="10"/>
  <c r="AQ388" i="10"/>
  <c r="AR445" i="10"/>
  <c r="AQ445" i="10"/>
  <c r="AR382" i="10"/>
  <c r="AQ382" i="10"/>
  <c r="AR439" i="10"/>
  <c r="AQ439" i="10"/>
  <c r="AR345" i="10"/>
  <c r="AQ345" i="10"/>
  <c r="AR313" i="10"/>
  <c r="AQ313" i="10"/>
  <c r="AR328" i="10"/>
  <c r="AQ328" i="10"/>
  <c r="AQ283" i="10"/>
  <c r="AR283" i="10"/>
  <c r="AQ251" i="10"/>
  <c r="AR251" i="10"/>
  <c r="AR235" i="10"/>
  <c r="AQ235" i="10"/>
  <c r="AQ144" i="10"/>
  <c r="AR144" i="10"/>
  <c r="AQ112" i="10"/>
  <c r="AR112" i="10"/>
  <c r="AR175" i="10"/>
  <c r="AQ175" i="10"/>
  <c r="AR111" i="10"/>
  <c r="AQ111" i="10"/>
  <c r="AQ39" i="10"/>
  <c r="AR39" i="10"/>
  <c r="AQ182" i="10"/>
  <c r="AR182" i="10"/>
  <c r="AQ71" i="10"/>
  <c r="AR71" i="10"/>
  <c r="AR133" i="10"/>
  <c r="AQ133" i="10"/>
  <c r="AQ70" i="10"/>
  <c r="AR70" i="10"/>
  <c r="AR42" i="10"/>
  <c r="AQ42" i="10"/>
  <c r="AR27" i="10"/>
  <c r="AQ27" i="10"/>
  <c r="AR21" i="10"/>
  <c r="AQ21" i="10"/>
  <c r="AR162" i="10"/>
  <c r="AQ162" i="10"/>
  <c r="AQ290" i="10"/>
  <c r="AR290" i="10"/>
  <c r="AR172" i="10"/>
  <c r="AQ172" i="10"/>
  <c r="AR188" i="10"/>
  <c r="AQ188" i="10"/>
  <c r="AR102" i="10"/>
  <c r="AQ102" i="10"/>
  <c r="AQ270" i="10"/>
  <c r="AR270" i="10"/>
  <c r="AR106" i="10"/>
  <c r="AQ106" i="10"/>
  <c r="AR122" i="10"/>
  <c r="AQ122" i="10"/>
  <c r="AR142" i="10"/>
  <c r="AQ142" i="10"/>
  <c r="AQ266" i="10"/>
  <c r="AR266" i="10"/>
  <c r="AQ220" i="10"/>
  <c r="AR220" i="10"/>
  <c r="AQ236" i="10"/>
  <c r="AR236" i="10"/>
  <c r="AR173" i="10"/>
  <c r="AQ173" i="10"/>
  <c r="AR189" i="10"/>
  <c r="AQ189" i="10"/>
  <c r="AR205" i="10"/>
  <c r="AQ205" i="10"/>
  <c r="AQ222" i="10"/>
  <c r="AR222" i="10"/>
  <c r="AQ238" i="10"/>
  <c r="AR238" i="10"/>
  <c r="AR253" i="10"/>
  <c r="AQ253" i="10"/>
  <c r="AR269" i="10"/>
  <c r="AQ269" i="10"/>
  <c r="AR285" i="10"/>
  <c r="AQ285" i="10"/>
  <c r="AR209" i="10"/>
  <c r="AQ209" i="10"/>
  <c r="AR225" i="10"/>
  <c r="AQ225" i="10"/>
  <c r="AR241" i="10"/>
  <c r="AQ241" i="10"/>
  <c r="AQ302" i="10"/>
  <c r="AR302" i="10"/>
  <c r="AQ401" i="10"/>
  <c r="AR401" i="10"/>
  <c r="AQ417" i="10"/>
  <c r="AR417" i="10"/>
  <c r="AQ306" i="10"/>
  <c r="AR306" i="10"/>
  <c r="AR367" i="10"/>
  <c r="AQ367" i="10"/>
  <c r="AR434" i="10"/>
  <c r="AQ434" i="10"/>
  <c r="AR452" i="10"/>
  <c r="AQ452" i="10"/>
  <c r="AR467" i="10"/>
  <c r="AQ467" i="10"/>
  <c r="AR514" i="10"/>
  <c r="AQ514" i="10"/>
  <c r="AR518" i="10"/>
  <c r="AQ518" i="10"/>
  <c r="AR515" i="10"/>
  <c r="AQ515" i="10"/>
  <c r="AQ540" i="10"/>
  <c r="AR540" i="10"/>
  <c r="T560" i="10"/>
  <c r="T556" i="10"/>
  <c r="T552" i="10"/>
  <c r="T557" i="10"/>
  <c r="T547" i="10"/>
  <c r="T553" i="10"/>
  <c r="T549" i="10"/>
  <c r="T545" i="10"/>
  <c r="T537" i="10"/>
  <c r="T533" i="10"/>
  <c r="T527" i="10"/>
  <c r="T541" i="10"/>
  <c r="T535" i="10"/>
  <c r="T531" i="10"/>
  <c r="T529" i="10"/>
  <c r="T525" i="10"/>
  <c r="T521" i="10"/>
  <c r="T517" i="10"/>
  <c r="T512" i="10"/>
  <c r="T508" i="10"/>
  <c r="T504" i="10"/>
  <c r="T500" i="10"/>
  <c r="T496" i="10"/>
  <c r="T492" i="10"/>
  <c r="T488" i="10"/>
  <c r="T523" i="10"/>
  <c r="T498" i="10"/>
  <c r="T493" i="10"/>
  <c r="T450" i="10"/>
  <c r="T446" i="10"/>
  <c r="T442" i="10"/>
  <c r="T486" i="10"/>
  <c r="T482" i="10"/>
  <c r="T478" i="10"/>
  <c r="T474" i="10"/>
  <c r="T453" i="10"/>
  <c r="T449" i="10"/>
  <c r="T445" i="10"/>
  <c r="T441" i="10"/>
  <c r="T466" i="10"/>
  <c r="T462" i="10"/>
  <c r="T458" i="10"/>
  <c r="T454" i="10"/>
  <c r="T438" i="10"/>
  <c r="T428" i="10"/>
  <c r="T424" i="10"/>
  <c r="T420" i="10"/>
  <c r="T416" i="10"/>
  <c r="T412" i="10"/>
  <c r="T408" i="10"/>
  <c r="T404" i="10"/>
  <c r="T400" i="10"/>
  <c r="T396" i="10"/>
  <c r="T392" i="10"/>
  <c r="T388" i="10"/>
  <c r="T382" i="10"/>
  <c r="T378" i="10"/>
  <c r="T374" i="10"/>
  <c r="T370" i="10"/>
  <c r="T470" i="10"/>
  <c r="T386" i="10"/>
  <c r="T451" i="10"/>
  <c r="T447" i="10"/>
  <c r="T443" i="10"/>
  <c r="T439" i="10"/>
  <c r="T430" i="10"/>
  <c r="T426" i="10"/>
  <c r="T422" i="10"/>
  <c r="T418" i="10"/>
  <c r="T414" i="10"/>
  <c r="T410" i="10"/>
  <c r="T406" i="10"/>
  <c r="T402" i="10"/>
  <c r="T398" i="10"/>
  <c r="T394" i="10"/>
  <c r="T390" i="10"/>
  <c r="T383" i="10"/>
  <c r="T379" i="10"/>
  <c r="T375" i="10"/>
  <c r="T371" i="10"/>
  <c r="T366" i="10"/>
  <c r="T362" i="10"/>
  <c r="T307" i="10"/>
  <c r="T437" i="10"/>
  <c r="T433" i="10"/>
  <c r="T376" i="10"/>
  <c r="T368" i="10"/>
  <c r="T364" i="10"/>
  <c r="T360" i="10"/>
  <c r="T384" i="10"/>
  <c r="T359" i="10"/>
  <c r="T355" i="10"/>
  <c r="T351" i="10"/>
  <c r="T347" i="10"/>
  <c r="T343" i="10"/>
  <c r="T339" i="10"/>
  <c r="T335" i="10"/>
  <c r="T331" i="10"/>
  <c r="T327" i="10"/>
  <c r="T323" i="10"/>
  <c r="T319" i="10"/>
  <c r="T315" i="10"/>
  <c r="T311" i="10"/>
  <c r="T303" i="10"/>
  <c r="T299" i="10"/>
  <c r="T380" i="10"/>
  <c r="T372" i="10"/>
  <c r="T243" i="10"/>
  <c r="T239" i="10"/>
  <c r="T235" i="10"/>
  <c r="T231" i="10"/>
  <c r="T227" i="10"/>
  <c r="T223" i="10"/>
  <c r="T219" i="10"/>
  <c r="T215" i="10"/>
  <c r="T211" i="10"/>
  <c r="T163" i="10"/>
  <c r="T159" i="10"/>
  <c r="T155" i="10"/>
  <c r="T151" i="10"/>
  <c r="T147" i="10"/>
  <c r="T143" i="10"/>
  <c r="T139" i="10"/>
  <c r="T135" i="10"/>
  <c r="T131" i="10"/>
  <c r="T127" i="10"/>
  <c r="T123" i="10"/>
  <c r="T119" i="10"/>
  <c r="T115" i="10"/>
  <c r="T111" i="10"/>
  <c r="T107" i="10"/>
  <c r="T103" i="10"/>
  <c r="T356" i="10"/>
  <c r="T352" i="10"/>
  <c r="T348" i="10"/>
  <c r="T344" i="10"/>
  <c r="T340" i="10"/>
  <c r="T336" i="10"/>
  <c r="T332" i="10"/>
  <c r="T328" i="10"/>
  <c r="T324" i="10"/>
  <c r="T320" i="10"/>
  <c r="T316" i="10"/>
  <c r="T312" i="10"/>
  <c r="T308" i="10"/>
  <c r="T297" i="10"/>
  <c r="T295" i="10"/>
  <c r="T293" i="10"/>
  <c r="T291" i="10"/>
  <c r="T289" i="10"/>
  <c r="T287" i="10"/>
  <c r="T285" i="10"/>
  <c r="T283" i="10"/>
  <c r="T281" i="10"/>
  <c r="T279" i="10"/>
  <c r="T277" i="10"/>
  <c r="T275" i="10"/>
  <c r="T273" i="10"/>
  <c r="T271" i="10"/>
  <c r="T269" i="10"/>
  <c r="T267" i="10"/>
  <c r="T265" i="10"/>
  <c r="T263" i="10"/>
  <c r="T261" i="10"/>
  <c r="T259" i="10"/>
  <c r="T257" i="10"/>
  <c r="T255" i="10"/>
  <c r="T253" i="10"/>
  <c r="T251" i="10"/>
  <c r="T249" i="10"/>
  <c r="T247" i="10"/>
  <c r="T245" i="10"/>
  <c r="T244" i="10"/>
  <c r="T240" i="10"/>
  <c r="T236" i="10"/>
  <c r="T232" i="10"/>
  <c r="T228" i="10"/>
  <c r="T224" i="10"/>
  <c r="T220" i="10"/>
  <c r="T216" i="10"/>
  <c r="T212" i="10"/>
  <c r="T191" i="10"/>
  <c r="T187" i="10"/>
  <c r="T183" i="10"/>
  <c r="T179" i="10"/>
  <c r="T175" i="10"/>
  <c r="T171" i="10"/>
  <c r="T167" i="10"/>
  <c r="T301" i="10"/>
  <c r="T161" i="10"/>
  <c r="T157" i="10"/>
  <c r="T153" i="10"/>
  <c r="T149" i="10"/>
  <c r="T145" i="10"/>
  <c r="T141" i="10"/>
  <c r="T137" i="10"/>
  <c r="T133" i="10"/>
  <c r="T129" i="10"/>
  <c r="T125" i="10"/>
  <c r="T121" i="10"/>
  <c r="T117" i="10"/>
  <c r="T113" i="10"/>
  <c r="T109" i="10"/>
  <c r="T105" i="10"/>
  <c r="T101" i="10"/>
  <c r="T97" i="10"/>
  <c r="T93" i="10"/>
  <c r="T89" i="10"/>
  <c r="T85" i="10"/>
  <c r="T81" i="10"/>
  <c r="T77" i="10"/>
  <c r="T73" i="10"/>
  <c r="B49" i="10"/>
  <c r="T199" i="10"/>
  <c r="T51" i="10"/>
  <c r="T203" i="10"/>
  <c r="T195" i="10"/>
  <c r="T65" i="10"/>
  <c r="T63" i="10"/>
  <c r="T60" i="10"/>
  <c r="O10" i="10"/>
  <c r="T59" i="10"/>
  <c r="T53" i="10"/>
  <c r="T99" i="10"/>
  <c r="T95" i="10"/>
  <c r="T91" i="10"/>
  <c r="T87" i="10"/>
  <c r="T83" i="10"/>
  <c r="T79" i="10"/>
  <c r="T75" i="10"/>
  <c r="T67" i="10"/>
  <c r="T207" i="10"/>
  <c r="T55" i="10"/>
  <c r="T46" i="10"/>
  <c r="T44" i="10"/>
  <c r="T36" i="10"/>
  <c r="T29" i="10"/>
  <c r="T26" i="10"/>
  <c r="T24" i="10"/>
  <c r="T20" i="10"/>
  <c r="T32" i="10"/>
  <c r="T37" i="10"/>
  <c r="T78" i="10"/>
  <c r="T94" i="10"/>
  <c r="T52" i="10"/>
  <c r="T110" i="10"/>
  <c r="T126" i="10"/>
  <c r="T142" i="10"/>
  <c r="T158" i="10"/>
  <c r="T204" i="10"/>
  <c r="T64" i="10"/>
  <c r="T23" i="10"/>
  <c r="T41" i="10"/>
  <c r="T61" i="10"/>
  <c r="T72" i="10"/>
  <c r="T88" i="10"/>
  <c r="T218" i="10"/>
  <c r="T234" i="10"/>
  <c r="T300" i="10"/>
  <c r="T172" i="10"/>
  <c r="T188" i="10"/>
  <c r="T202" i="10"/>
  <c r="T144" i="10"/>
  <c r="T160" i="10"/>
  <c r="T177" i="10"/>
  <c r="T193" i="10"/>
  <c r="T201" i="10"/>
  <c r="T217" i="10"/>
  <c r="T233" i="10"/>
  <c r="T246" i="10"/>
  <c r="T262" i="10"/>
  <c r="T278" i="10"/>
  <c r="T294" i="10"/>
  <c r="T309" i="10"/>
  <c r="T317" i="10"/>
  <c r="T325" i="10"/>
  <c r="T333" i="10"/>
  <c r="T341" i="10"/>
  <c r="T349" i="10"/>
  <c r="T357" i="10"/>
  <c r="T361" i="10"/>
  <c r="T310" i="10"/>
  <c r="T318" i="10"/>
  <c r="T326" i="10"/>
  <c r="T334" i="10"/>
  <c r="T342" i="10"/>
  <c r="T350" i="10"/>
  <c r="T358" i="10"/>
  <c r="T397" i="10"/>
  <c r="T413" i="10"/>
  <c r="T429" i="10"/>
  <c r="T461" i="10"/>
  <c r="T391" i="10"/>
  <c r="T407" i="10"/>
  <c r="T423" i="10"/>
  <c r="T457" i="10"/>
  <c r="T448" i="10"/>
  <c r="T432" i="10"/>
  <c r="T479" i="10"/>
  <c r="T502" i="10"/>
  <c r="T467" i="10"/>
  <c r="T460" i="10"/>
  <c r="T487" i="10"/>
  <c r="T485" i="10"/>
  <c r="T499" i="10"/>
  <c r="T506" i="10"/>
  <c r="T513" i="10"/>
  <c r="T520" i="10"/>
  <c r="T501" i="10"/>
  <c r="T510" i="10"/>
  <c r="T514" i="10"/>
  <c r="T543" i="10"/>
  <c r="T544" i="10"/>
  <c r="T548" i="10"/>
  <c r="T555" i="10"/>
  <c r="T148" i="10"/>
  <c r="T189" i="10"/>
  <c r="T213" i="10"/>
  <c r="T305" i="10"/>
  <c r="T266" i="10"/>
  <c r="T298" i="10"/>
  <c r="T363" i="10"/>
  <c r="T434" i="10"/>
  <c r="T456" i="10"/>
  <c r="T538" i="10"/>
  <c r="T546" i="10"/>
  <c r="T27" i="10"/>
  <c r="T34" i="10"/>
  <c r="T47" i="10"/>
  <c r="T70" i="10"/>
  <c r="T82" i="10"/>
  <c r="T98" i="10"/>
  <c r="T25" i="10"/>
  <c r="T114" i="10"/>
  <c r="T130" i="10"/>
  <c r="T146" i="10"/>
  <c r="T162" i="10"/>
  <c r="T170" i="10"/>
  <c r="T178" i="10"/>
  <c r="T186" i="10"/>
  <c r="T194" i="10"/>
  <c r="T208" i="10"/>
  <c r="T19" i="10"/>
  <c r="T43" i="10"/>
  <c r="T48" i="10"/>
  <c r="T58" i="10"/>
  <c r="T68" i="10"/>
  <c r="T76" i="10"/>
  <c r="T92" i="10"/>
  <c r="T222" i="10"/>
  <c r="T238" i="10"/>
  <c r="T252" i="10"/>
  <c r="T260" i="10"/>
  <c r="T268" i="10"/>
  <c r="T276" i="10"/>
  <c r="T284" i="10"/>
  <c r="T292" i="10"/>
  <c r="T168" i="10"/>
  <c r="T184" i="10"/>
  <c r="T104" i="10"/>
  <c r="T112" i="10"/>
  <c r="T120" i="10"/>
  <c r="T128" i="10"/>
  <c r="T140" i="10"/>
  <c r="T156" i="10"/>
  <c r="T165" i="10"/>
  <c r="T181" i="10"/>
  <c r="T304" i="10"/>
  <c r="T205" i="10"/>
  <c r="T221" i="10"/>
  <c r="T237" i="10"/>
  <c r="T377" i="10"/>
  <c r="T258" i="10"/>
  <c r="T274" i="10"/>
  <c r="T290" i="10"/>
  <c r="T306" i="10"/>
  <c r="T385" i="10"/>
  <c r="T401" i="10"/>
  <c r="T417" i="10"/>
  <c r="T471" i="10"/>
  <c r="T395" i="10"/>
  <c r="T411" i="10"/>
  <c r="T427" i="10"/>
  <c r="T431" i="10"/>
  <c r="T452" i="10"/>
  <c r="T483" i="10"/>
  <c r="T463" i="10"/>
  <c r="T464" i="10"/>
  <c r="T472" i="10"/>
  <c r="T476" i="10"/>
  <c r="T480" i="10"/>
  <c r="T484" i="10"/>
  <c r="T481" i="10"/>
  <c r="T489" i="10"/>
  <c r="T497" i="10"/>
  <c r="T526" i="10"/>
  <c r="T511" i="10"/>
  <c r="T528" i="10"/>
  <c r="T542" i="10"/>
  <c r="T550" i="10"/>
  <c r="T540" i="10"/>
  <c r="T558" i="10"/>
  <c r="T554" i="10"/>
  <c r="T176" i="10"/>
  <c r="T173" i="10"/>
  <c r="T250" i="10"/>
  <c r="T282" i="10"/>
  <c r="T365" i="10"/>
  <c r="T469" i="10"/>
  <c r="T444" i="10"/>
  <c r="T475" i="10"/>
  <c r="T490" i="10"/>
  <c r="T473" i="10"/>
  <c r="T522" i="10"/>
  <c r="T518" i="10"/>
  <c r="T519" i="10"/>
  <c r="T551" i="10"/>
  <c r="T21" i="10"/>
  <c r="T86" i="10"/>
  <c r="T62" i="10"/>
  <c r="T200" i="10"/>
  <c r="T38" i="10"/>
  <c r="T45" i="10"/>
  <c r="T50" i="10"/>
  <c r="T54" i="10"/>
  <c r="T57" i="10"/>
  <c r="T71" i="10"/>
  <c r="T102" i="10"/>
  <c r="T118" i="10"/>
  <c r="T134" i="10"/>
  <c r="T150" i="10"/>
  <c r="T28" i="10"/>
  <c r="T35" i="10"/>
  <c r="T31" i="10"/>
  <c r="T66" i="10"/>
  <c r="T80" i="10"/>
  <c r="T96" i="10"/>
  <c r="T210" i="10"/>
  <c r="T226" i="10"/>
  <c r="T242" i="10"/>
  <c r="T164" i="10"/>
  <c r="T180" i="10"/>
  <c r="T198" i="10"/>
  <c r="T206" i="10"/>
  <c r="T136" i="10"/>
  <c r="T152" i="10"/>
  <c r="T169" i="10"/>
  <c r="T185" i="10"/>
  <c r="T381" i="10"/>
  <c r="T387" i="10"/>
  <c r="T209" i="10"/>
  <c r="T225" i="10"/>
  <c r="T241" i="10"/>
  <c r="T254" i="10"/>
  <c r="T270" i="10"/>
  <c r="T286" i="10"/>
  <c r="T302" i="10"/>
  <c r="T313" i="10"/>
  <c r="T321" i="10"/>
  <c r="T329" i="10"/>
  <c r="T337" i="10"/>
  <c r="T345" i="10"/>
  <c r="T353" i="10"/>
  <c r="T369" i="10"/>
  <c r="T435" i="10"/>
  <c r="T465" i="10"/>
  <c r="T314" i="10"/>
  <c r="T322" i="10"/>
  <c r="T330" i="10"/>
  <c r="T338" i="10"/>
  <c r="T346" i="10"/>
  <c r="T354" i="10"/>
  <c r="T367" i="10"/>
  <c r="T389" i="10"/>
  <c r="T405" i="10"/>
  <c r="T421" i="10"/>
  <c r="T399" i="10"/>
  <c r="T415" i="10"/>
  <c r="T440" i="10"/>
  <c r="T459" i="10"/>
  <c r="T468" i="10"/>
  <c r="T494" i="10"/>
  <c r="T477" i="10"/>
  <c r="T495" i="10"/>
  <c r="T503" i="10"/>
  <c r="T516" i="10"/>
  <c r="T530" i="10"/>
  <c r="T534" i="10"/>
  <c r="T507" i="10"/>
  <c r="T515" i="10"/>
  <c r="T532" i="10"/>
  <c r="T524" i="10"/>
  <c r="T536" i="10"/>
  <c r="T559" i="10"/>
  <c r="T40" i="10"/>
  <c r="T30" i="10"/>
  <c r="T42" i="10"/>
  <c r="T49" i="10"/>
  <c r="T56" i="10"/>
  <c r="T74" i="10"/>
  <c r="T90" i="10"/>
  <c r="T106" i="10"/>
  <c r="T122" i="10"/>
  <c r="T138" i="10"/>
  <c r="T154" i="10"/>
  <c r="T166" i="10"/>
  <c r="T174" i="10"/>
  <c r="T182" i="10"/>
  <c r="T190" i="10"/>
  <c r="T196" i="10"/>
  <c r="T69" i="10"/>
  <c r="T22" i="10"/>
  <c r="T33" i="10"/>
  <c r="T39" i="10"/>
  <c r="T84" i="10"/>
  <c r="T214" i="10"/>
  <c r="T230" i="10"/>
  <c r="T248" i="10"/>
  <c r="T256" i="10"/>
  <c r="T264" i="10"/>
  <c r="T272" i="10"/>
  <c r="T280" i="10"/>
  <c r="T288" i="10"/>
  <c r="T296" i="10"/>
  <c r="T192" i="10"/>
  <c r="T100" i="10"/>
  <c r="T108" i="10"/>
  <c r="T116" i="10"/>
  <c r="T124" i="10"/>
  <c r="T132" i="10"/>
  <c r="T373" i="10"/>
  <c r="T197" i="10"/>
  <c r="T229" i="10"/>
  <c r="T393" i="10"/>
  <c r="T409" i="10"/>
  <c r="T425" i="10"/>
  <c r="T403" i="10"/>
  <c r="T419" i="10"/>
  <c r="T436" i="10"/>
  <c r="T455" i="10"/>
  <c r="T491" i="10"/>
  <c r="T505" i="10"/>
  <c r="T509" i="10"/>
  <c r="T539" i="10"/>
  <c r="B40" i="5"/>
  <c r="B98" i="2"/>
  <c r="B59" i="2"/>
  <c r="E231" i="2" s="1"/>
  <c r="B174" i="2"/>
  <c r="B58" i="2"/>
  <c r="B53" i="2"/>
  <c r="N9" i="1" s="1"/>
  <c r="B57" i="2"/>
  <c r="G196" i="2" s="1"/>
  <c r="B194" i="2"/>
  <c r="K8" i="2"/>
  <c r="AH8" i="5"/>
  <c r="B192" i="2"/>
  <c r="B191" i="2"/>
  <c r="AI7" i="5"/>
  <c r="AP7" i="5"/>
  <c r="AH7" i="5"/>
  <c r="B3" i="8"/>
  <c r="B12" i="5"/>
  <c r="B5" i="8"/>
  <c r="B11" i="5"/>
  <c r="B4" i="8"/>
  <c r="B289" i="2"/>
  <c r="B290" i="2" s="1"/>
  <c r="M8" i="4"/>
  <c r="BV7" i="4"/>
  <c r="AL15" i="4"/>
  <c r="AL17" i="4"/>
  <c r="AL19" i="4"/>
  <c r="AL21" i="4"/>
  <c r="AL23" i="4"/>
  <c r="AL25" i="4"/>
  <c r="AL27" i="4"/>
  <c r="AL29" i="4"/>
  <c r="AL31" i="4"/>
  <c r="AL33" i="4"/>
  <c r="AL35" i="4"/>
  <c r="AL37" i="4"/>
  <c r="AL39" i="4"/>
  <c r="AL41" i="4"/>
  <c r="AL20" i="4"/>
  <c r="AL28" i="4"/>
  <c r="AL36" i="4"/>
  <c r="AL16" i="4"/>
  <c r="AL30" i="4"/>
  <c r="AL34" i="4"/>
  <c r="AL44" i="4"/>
  <c r="AL49" i="4"/>
  <c r="AL52" i="4"/>
  <c r="AL57" i="4"/>
  <c r="AL60" i="4"/>
  <c r="AL65" i="4"/>
  <c r="AL68" i="4"/>
  <c r="AL73" i="4"/>
  <c r="AL76" i="4"/>
  <c r="AL81" i="4"/>
  <c r="AL84" i="4"/>
  <c r="AL89" i="4"/>
  <c r="AL92" i="4"/>
  <c r="AL97" i="4"/>
  <c r="AL100" i="4"/>
  <c r="AL105" i="4"/>
  <c r="AL108" i="4"/>
  <c r="AL113" i="4"/>
  <c r="AL116" i="4"/>
  <c r="AL121" i="4"/>
  <c r="AL124" i="4"/>
  <c r="AL129" i="4"/>
  <c r="AL132" i="4"/>
  <c r="AL137" i="4"/>
  <c r="AL140" i="4"/>
  <c r="AL145" i="4"/>
  <c r="AL148" i="4"/>
  <c r="AL153" i="4"/>
  <c r="AL156" i="4"/>
  <c r="AL11" i="4"/>
  <c r="AL14" i="4"/>
  <c r="AL24" i="4"/>
  <c r="AL38" i="4"/>
  <c r="AL42" i="4"/>
  <c r="AL47" i="4"/>
  <c r="AL50" i="4"/>
  <c r="AL55" i="4"/>
  <c r="AL58" i="4"/>
  <c r="AL63" i="4"/>
  <c r="AL66" i="4"/>
  <c r="AL71" i="4"/>
  <c r="AL74" i="4"/>
  <c r="AL79" i="4"/>
  <c r="AL82" i="4"/>
  <c r="AL87" i="4"/>
  <c r="AL90" i="4"/>
  <c r="AL95" i="4"/>
  <c r="AL98" i="4"/>
  <c r="AL103" i="4"/>
  <c r="AL106" i="4"/>
  <c r="AL111" i="4"/>
  <c r="AL114" i="4"/>
  <c r="AL119" i="4"/>
  <c r="AL122" i="4"/>
  <c r="AL127" i="4"/>
  <c r="AL130" i="4"/>
  <c r="AL135" i="4"/>
  <c r="AL138" i="4"/>
  <c r="AL143" i="4"/>
  <c r="AL146" i="4"/>
  <c r="AL151" i="4"/>
  <c r="AL154" i="4"/>
  <c r="AL9" i="4"/>
  <c r="AL12" i="4"/>
  <c r="AL18" i="4"/>
  <c r="AL32" i="4"/>
  <c r="AL45" i="4"/>
  <c r="AL48" i="4"/>
  <c r="AL53" i="4"/>
  <c r="AL56" i="4"/>
  <c r="AL61" i="4"/>
  <c r="AL64" i="4"/>
  <c r="AL69" i="4"/>
  <c r="AL72" i="4"/>
  <c r="AL77" i="4"/>
  <c r="AL80" i="4"/>
  <c r="AL85" i="4"/>
  <c r="AL88" i="4"/>
  <c r="AL93" i="4"/>
  <c r="AL96" i="4"/>
  <c r="AL101" i="4"/>
  <c r="AL104" i="4"/>
  <c r="AL109" i="4"/>
  <c r="AL112" i="4"/>
  <c r="AL117" i="4"/>
  <c r="AL120" i="4"/>
  <c r="AL125" i="4"/>
  <c r="AL128" i="4"/>
  <c r="AL133" i="4"/>
  <c r="AL136" i="4"/>
  <c r="AL141" i="4"/>
  <c r="AL144" i="4"/>
  <c r="AL149" i="4"/>
  <c r="AL152" i="4"/>
  <c r="AL157" i="4"/>
  <c r="AL10" i="4"/>
  <c r="AL22" i="4"/>
  <c r="AL26" i="4"/>
  <c r="AL40" i="4"/>
  <c r="AL43" i="4"/>
  <c r="AL46" i="4"/>
  <c r="AL51" i="4"/>
  <c r="AL54" i="4"/>
  <c r="AL59" i="4"/>
  <c r="AL62" i="4"/>
  <c r="AL67" i="4"/>
  <c r="AL70" i="4"/>
  <c r="AL75" i="4"/>
  <c r="AL78" i="4"/>
  <c r="AL83" i="4"/>
  <c r="AL86" i="4"/>
  <c r="AL91" i="4"/>
  <c r="AL94" i="4"/>
  <c r="AL99" i="4"/>
  <c r="AL102" i="4"/>
  <c r="AL107" i="4"/>
  <c r="AL110" i="4"/>
  <c r="AL115" i="4"/>
  <c r="AL118" i="4"/>
  <c r="AL123" i="4"/>
  <c r="AL126" i="4"/>
  <c r="AL131" i="4"/>
  <c r="AL134" i="4"/>
  <c r="AL139" i="4"/>
  <c r="AL142" i="4"/>
  <c r="AL147" i="4"/>
  <c r="AL150" i="4"/>
  <c r="AL155" i="4"/>
  <c r="AL8" i="4"/>
  <c r="AL13" i="4"/>
  <c r="B29" i="5"/>
  <c r="O15" i="4"/>
  <c r="H47" i="1"/>
  <c r="AL7" i="4"/>
  <c r="E120" i="2"/>
  <c r="H49" i="1"/>
  <c r="O12" i="4"/>
  <c r="AN8" i="5"/>
  <c r="AK8" i="5"/>
  <c r="AM13" i="5"/>
  <c r="T13" i="5"/>
  <c r="AJ13" i="5"/>
  <c r="AG13" i="5"/>
  <c r="T8" i="5"/>
  <c r="U8" i="5" s="1"/>
  <c r="O10" i="5"/>
  <c r="AP8" i="5"/>
  <c r="AR8" i="5" s="1"/>
  <c r="AM12" i="5"/>
  <c r="T12" i="5"/>
  <c r="AJ12" i="5"/>
  <c r="AG12" i="5"/>
  <c r="B54" i="5"/>
  <c r="B188" i="2"/>
  <c r="B239" i="2"/>
  <c r="H64" i="1" s="1"/>
  <c r="B241" i="2"/>
  <c r="B10" i="5"/>
  <c r="AL19" i="5"/>
  <c r="AK19" i="5"/>
  <c r="AK474" i="5"/>
  <c r="AL474" i="5"/>
  <c r="AK471" i="5"/>
  <c r="AL471" i="5"/>
  <c r="AL546" i="5"/>
  <c r="AK546" i="5"/>
  <c r="AK468" i="5"/>
  <c r="AL468" i="5"/>
  <c r="AL524" i="5"/>
  <c r="AK524" i="5"/>
  <c r="AL544" i="5"/>
  <c r="AK544" i="5"/>
  <c r="AL526" i="5"/>
  <c r="AK526" i="5"/>
  <c r="AK472" i="5"/>
  <c r="AL472" i="5"/>
  <c r="AK437" i="5"/>
  <c r="AL437" i="5"/>
  <c r="AK375" i="5"/>
  <c r="AL375" i="5"/>
  <c r="AK513" i="5"/>
  <c r="AL513" i="5"/>
  <c r="AL493" i="5"/>
  <c r="AK493" i="5"/>
  <c r="AK450" i="5"/>
  <c r="AL450" i="5"/>
  <c r="AL438" i="5"/>
  <c r="AK438" i="5"/>
  <c r="AK511" i="5"/>
  <c r="AL511" i="5"/>
  <c r="AL470" i="5"/>
  <c r="AK470" i="5"/>
  <c r="AK453" i="5"/>
  <c r="AL453" i="5"/>
  <c r="AK407" i="5"/>
  <c r="AL407" i="5"/>
  <c r="AL372" i="5"/>
  <c r="AK372" i="5"/>
  <c r="AK323" i="5"/>
  <c r="AL323" i="5"/>
  <c r="AK388" i="5"/>
  <c r="AL388" i="5"/>
  <c r="AK348" i="5"/>
  <c r="AL348" i="5"/>
  <c r="AK434" i="5"/>
  <c r="AL434" i="5"/>
  <c r="AK389" i="5"/>
  <c r="AL389" i="5"/>
  <c r="AK363" i="5"/>
  <c r="AL363" i="5"/>
  <c r="AL337" i="5"/>
  <c r="AK337" i="5"/>
  <c r="AK334" i="5"/>
  <c r="AL334" i="5"/>
  <c r="AL304" i="5"/>
  <c r="AK304" i="5"/>
  <c r="AK276" i="5"/>
  <c r="AL276" i="5"/>
  <c r="AK245" i="5"/>
  <c r="AL245" i="5"/>
  <c r="AL315" i="5"/>
  <c r="AK315" i="5"/>
  <c r="AK268" i="5"/>
  <c r="AL268" i="5"/>
  <c r="AK248" i="5"/>
  <c r="AL248" i="5"/>
  <c r="AK321" i="5"/>
  <c r="AL321" i="5"/>
  <c r="AL262" i="5"/>
  <c r="AK262" i="5"/>
  <c r="AK208" i="5"/>
  <c r="AL208" i="5"/>
  <c r="AK220" i="5"/>
  <c r="AL220" i="5"/>
  <c r="AK192" i="5"/>
  <c r="AL192" i="5"/>
  <c r="AK202" i="5"/>
  <c r="AL202" i="5"/>
  <c r="AK235" i="5"/>
  <c r="AL235" i="5"/>
  <c r="AK204" i="5"/>
  <c r="AL204" i="5"/>
  <c r="AK196" i="5"/>
  <c r="AL196" i="5"/>
  <c r="AL182" i="5"/>
  <c r="AK182" i="5"/>
  <c r="AK185" i="5"/>
  <c r="AL185" i="5"/>
  <c r="AK151" i="5"/>
  <c r="AL151" i="5"/>
  <c r="AK140" i="5"/>
  <c r="AL140" i="5"/>
  <c r="AK80" i="5"/>
  <c r="AL80" i="5"/>
  <c r="AK134" i="5"/>
  <c r="AL134" i="5"/>
  <c r="AK161" i="5"/>
  <c r="AL161" i="5"/>
  <c r="AP117" i="5"/>
  <c r="AK117" i="5"/>
  <c r="AL117" i="5"/>
  <c r="AK103" i="5"/>
  <c r="AL103" i="5"/>
  <c r="AK104" i="5"/>
  <c r="AL104" i="5"/>
  <c r="AL91" i="5"/>
  <c r="AK91" i="5"/>
  <c r="AK73" i="5"/>
  <c r="AL73" i="5"/>
  <c r="AK57" i="5"/>
  <c r="AL57" i="5"/>
  <c r="AK53" i="5"/>
  <c r="AL53" i="5"/>
  <c r="AK63" i="5"/>
  <c r="AL63" i="5"/>
  <c r="AK41" i="5"/>
  <c r="AL41" i="5"/>
  <c r="AK23" i="5"/>
  <c r="AL23" i="5"/>
  <c r="AI521" i="5"/>
  <c r="AH521" i="5"/>
  <c r="AP521" i="5"/>
  <c r="AH558" i="5"/>
  <c r="AI558" i="5"/>
  <c r="AP558" i="5"/>
  <c r="AP426" i="5"/>
  <c r="AI426" i="5"/>
  <c r="AH426" i="5"/>
  <c r="AP377" i="5"/>
  <c r="AI377" i="5"/>
  <c r="AH377" i="5"/>
  <c r="AI495" i="5"/>
  <c r="AH495" i="5"/>
  <c r="AP495" i="5"/>
  <c r="AI528" i="5"/>
  <c r="AH528" i="5"/>
  <c r="AI380" i="5"/>
  <c r="AP380" i="5"/>
  <c r="AH380" i="5"/>
  <c r="AH553" i="5"/>
  <c r="AI553" i="5"/>
  <c r="AP553" i="5"/>
  <c r="AI507" i="5"/>
  <c r="AP507" i="5"/>
  <c r="AH507" i="5"/>
  <c r="AI486" i="5"/>
  <c r="AH486" i="5"/>
  <c r="AI474" i="5"/>
  <c r="AH474" i="5"/>
  <c r="AP474" i="5"/>
  <c r="AI459" i="5"/>
  <c r="AH459" i="5"/>
  <c r="AP459" i="5"/>
  <c r="AI439" i="5"/>
  <c r="AH439" i="5"/>
  <c r="AP439" i="5"/>
  <c r="AP337" i="5"/>
  <c r="AI337" i="5"/>
  <c r="AH337" i="5"/>
  <c r="AI516" i="5"/>
  <c r="AH516" i="5"/>
  <c r="AP516" i="5"/>
  <c r="AH496" i="5"/>
  <c r="AP496" i="5"/>
  <c r="AI496" i="5"/>
  <c r="AI460" i="5"/>
  <c r="AP460" i="5"/>
  <c r="AH460" i="5"/>
  <c r="AI447" i="5"/>
  <c r="AH447" i="5"/>
  <c r="AP447" i="5"/>
  <c r="AI370" i="5"/>
  <c r="AP370" i="5"/>
  <c r="AH370" i="5"/>
  <c r="AI530" i="5"/>
  <c r="AH530" i="5"/>
  <c r="AP530" i="5"/>
  <c r="AI510" i="5"/>
  <c r="AP510" i="5"/>
  <c r="AH510" i="5"/>
  <c r="AI494" i="5"/>
  <c r="AP494" i="5"/>
  <c r="AH494" i="5"/>
  <c r="AI487" i="5"/>
  <c r="AH487" i="5"/>
  <c r="AP487" i="5"/>
  <c r="AI451" i="5"/>
  <c r="AP451" i="5"/>
  <c r="AH451" i="5"/>
  <c r="AI438" i="5"/>
  <c r="AH438" i="5"/>
  <c r="AP438" i="5"/>
  <c r="AI412" i="5"/>
  <c r="AH412" i="5"/>
  <c r="AP412" i="5"/>
  <c r="AI346" i="5"/>
  <c r="AP346" i="5"/>
  <c r="AH346" i="5"/>
  <c r="AH275" i="5"/>
  <c r="AI275" i="5"/>
  <c r="AP275" i="5"/>
  <c r="AI417" i="5"/>
  <c r="AP417" i="5"/>
  <c r="AH417" i="5"/>
  <c r="AI402" i="5"/>
  <c r="AH402" i="5"/>
  <c r="AP402" i="5"/>
  <c r="AH375" i="5"/>
  <c r="AP375" i="5"/>
  <c r="AI375" i="5"/>
  <c r="AI360" i="5"/>
  <c r="AH360" i="5"/>
  <c r="AP360" i="5"/>
  <c r="AI347" i="5"/>
  <c r="AP347" i="5"/>
  <c r="AH347" i="5"/>
  <c r="AP410" i="5"/>
  <c r="AI410" i="5"/>
  <c r="AH410" i="5"/>
  <c r="AI396" i="5"/>
  <c r="AP396" i="5"/>
  <c r="AH396" i="5"/>
  <c r="AP386" i="5"/>
  <c r="AI386" i="5"/>
  <c r="AH386" i="5"/>
  <c r="AH368" i="5"/>
  <c r="AP368" i="5"/>
  <c r="AI368" i="5"/>
  <c r="AI340" i="5"/>
  <c r="AH340" i="5"/>
  <c r="AP340" i="5"/>
  <c r="AH321" i="5"/>
  <c r="AP321" i="5"/>
  <c r="AI321" i="5"/>
  <c r="AH262" i="5"/>
  <c r="AI262" i="5"/>
  <c r="AP262" i="5"/>
  <c r="AP436" i="5"/>
  <c r="AI436" i="5"/>
  <c r="AH436" i="5"/>
  <c r="AI421" i="5"/>
  <c r="AH421" i="5"/>
  <c r="AP421" i="5"/>
  <c r="AI403" i="5"/>
  <c r="AH403" i="5"/>
  <c r="AP403" i="5"/>
  <c r="AI397" i="5"/>
  <c r="AH397" i="5"/>
  <c r="AP397" i="5"/>
  <c r="AI378" i="5"/>
  <c r="AH378" i="5"/>
  <c r="AP378" i="5"/>
  <c r="AI341" i="5"/>
  <c r="AP341" i="5"/>
  <c r="AH341" i="5"/>
  <c r="AH284" i="5"/>
  <c r="AP284" i="5"/>
  <c r="AI284" i="5"/>
  <c r="AI356" i="5"/>
  <c r="AH356" i="5"/>
  <c r="AP356" i="5"/>
  <c r="AI345" i="5"/>
  <c r="AH345" i="5"/>
  <c r="AP345" i="5"/>
  <c r="AI336" i="5"/>
  <c r="AH336" i="5"/>
  <c r="AP336" i="5"/>
  <c r="AI313" i="5"/>
  <c r="AH313" i="5"/>
  <c r="AP313" i="5"/>
  <c r="AP296" i="5"/>
  <c r="AI296" i="5"/>
  <c r="AH296" i="5"/>
  <c r="AI281" i="5"/>
  <c r="AH281" i="5"/>
  <c r="AP281" i="5"/>
  <c r="AH261" i="5"/>
  <c r="AI261" i="5"/>
  <c r="AP261" i="5"/>
  <c r="AH237" i="5"/>
  <c r="AI237" i="5"/>
  <c r="AP237" i="5"/>
  <c r="AI328" i="5"/>
  <c r="AP328" i="5"/>
  <c r="AH328" i="5"/>
  <c r="AH316" i="5"/>
  <c r="AI316" i="5"/>
  <c r="AP316" i="5"/>
  <c r="AI299" i="5"/>
  <c r="AP299" i="5"/>
  <c r="AH299" i="5"/>
  <c r="AH286" i="5"/>
  <c r="AP286" i="5"/>
  <c r="AI286" i="5"/>
  <c r="AH276" i="5"/>
  <c r="AI276" i="5"/>
  <c r="AP276" i="5"/>
  <c r="AH250" i="5"/>
  <c r="AI250" i="5"/>
  <c r="AP250" i="5"/>
  <c r="AH210" i="5"/>
  <c r="AI210" i="5"/>
  <c r="AP210" i="5"/>
  <c r="AI324" i="5"/>
  <c r="AP324" i="5"/>
  <c r="AH324" i="5"/>
  <c r="AI314" i="5"/>
  <c r="AH314" i="5"/>
  <c r="AP314" i="5"/>
  <c r="AP301" i="5"/>
  <c r="AI301" i="5"/>
  <c r="AH301" i="5"/>
  <c r="AP283" i="5"/>
  <c r="AH283" i="5"/>
  <c r="AI283" i="5"/>
  <c r="AI273" i="5"/>
  <c r="AH273" i="5"/>
  <c r="AP273" i="5"/>
  <c r="AP257" i="5"/>
  <c r="AH257" i="5"/>
  <c r="AI257" i="5"/>
  <c r="AP251" i="5"/>
  <c r="AH251" i="5"/>
  <c r="AI251" i="5"/>
  <c r="AI240" i="5"/>
  <c r="AH240" i="5"/>
  <c r="AP240" i="5"/>
  <c r="AP233" i="5"/>
  <c r="AH233" i="5"/>
  <c r="AI233" i="5"/>
  <c r="AI221" i="5"/>
  <c r="AH221" i="5"/>
  <c r="AP221" i="5"/>
  <c r="AI195" i="5"/>
  <c r="AH195" i="5"/>
  <c r="AP195" i="5"/>
  <c r="AI159" i="5"/>
  <c r="AH159" i="5"/>
  <c r="AP159" i="5"/>
  <c r="AH229" i="5"/>
  <c r="AI229" i="5"/>
  <c r="AP229" i="5"/>
  <c r="AI211" i="5"/>
  <c r="AH211" i="5"/>
  <c r="AP211" i="5"/>
  <c r="AH164" i="5"/>
  <c r="AI164" i="5"/>
  <c r="AP164" i="5"/>
  <c r="AH239" i="5"/>
  <c r="AI239" i="5"/>
  <c r="AP239" i="5"/>
  <c r="AH218" i="5"/>
  <c r="AI218" i="5"/>
  <c r="AP218" i="5"/>
  <c r="AH176" i="5"/>
  <c r="AI176" i="5"/>
  <c r="AP176" i="5"/>
  <c r="AH199" i="5"/>
  <c r="AI199" i="5"/>
  <c r="AP199" i="5"/>
  <c r="AH190" i="5"/>
  <c r="AI190" i="5"/>
  <c r="AP190" i="5"/>
  <c r="AI175" i="5"/>
  <c r="AH175" i="5"/>
  <c r="AP175" i="5"/>
  <c r="AH160" i="5"/>
  <c r="AI160" i="5"/>
  <c r="AP160" i="5"/>
  <c r="AH133" i="5"/>
  <c r="AP133" i="5"/>
  <c r="AI133" i="5"/>
  <c r="AI182" i="5"/>
  <c r="AH182" i="5"/>
  <c r="AP182" i="5"/>
  <c r="AI165" i="5"/>
  <c r="AH165" i="5"/>
  <c r="AP165" i="5"/>
  <c r="AH131" i="5"/>
  <c r="AI131" i="5"/>
  <c r="AP131" i="5"/>
  <c r="AI187" i="5"/>
  <c r="AH187" i="5"/>
  <c r="AP187" i="5"/>
  <c r="AH177" i="5"/>
  <c r="AI177" i="5"/>
  <c r="AP177" i="5"/>
  <c r="AI153" i="5"/>
  <c r="AH153" i="5"/>
  <c r="AP153" i="5"/>
  <c r="AH135" i="5"/>
  <c r="AI135" i="5"/>
  <c r="AP135" i="5"/>
  <c r="AH110" i="5"/>
  <c r="AI110" i="5"/>
  <c r="AP110" i="5"/>
  <c r="AH139" i="5"/>
  <c r="AI139" i="5"/>
  <c r="AP139" i="5"/>
  <c r="AH130" i="5"/>
  <c r="AI130" i="5"/>
  <c r="AH118" i="5"/>
  <c r="AI118" i="5"/>
  <c r="AP118" i="5"/>
  <c r="AH92" i="5"/>
  <c r="AI92" i="5"/>
  <c r="AP92" i="5"/>
  <c r="AH142" i="5"/>
  <c r="AP142" i="5"/>
  <c r="AI142" i="5"/>
  <c r="AI89" i="5"/>
  <c r="AH89" i="5"/>
  <c r="AP89" i="5"/>
  <c r="AI141" i="5"/>
  <c r="AH141" i="5"/>
  <c r="AP141" i="5"/>
  <c r="AH121" i="5"/>
  <c r="AI121" i="5"/>
  <c r="AP121" i="5"/>
  <c r="AH100" i="5"/>
  <c r="AI100" i="5"/>
  <c r="AP100" i="5"/>
  <c r="AI91" i="5"/>
  <c r="AH91" i="5"/>
  <c r="AP91" i="5"/>
  <c r="AI79" i="5"/>
  <c r="AH79" i="5"/>
  <c r="AP79" i="5"/>
  <c r="AP103" i="5"/>
  <c r="AH103" i="5"/>
  <c r="AI103" i="5"/>
  <c r="AI96" i="5"/>
  <c r="AH96" i="5"/>
  <c r="AP96" i="5"/>
  <c r="AI93" i="5"/>
  <c r="AH93" i="5"/>
  <c r="AP93" i="5"/>
  <c r="AH78" i="5"/>
  <c r="AI78" i="5"/>
  <c r="AP78" i="5"/>
  <c r="AI55" i="5"/>
  <c r="AH55" i="5"/>
  <c r="AP55" i="5"/>
  <c r="AH69" i="5"/>
  <c r="AI69" i="5"/>
  <c r="AP69" i="5"/>
  <c r="AI66" i="5"/>
  <c r="AH66" i="5"/>
  <c r="AP66" i="5"/>
  <c r="AP23" i="5"/>
  <c r="AH23" i="5"/>
  <c r="AI23" i="5"/>
  <c r="AH65" i="5"/>
  <c r="AI65" i="5"/>
  <c r="AP65" i="5"/>
  <c r="AI41" i="5"/>
  <c r="AH41" i="5"/>
  <c r="AP41" i="5"/>
  <c r="AH54" i="5"/>
  <c r="AI54" i="5"/>
  <c r="AP54" i="5"/>
  <c r="AI25" i="5"/>
  <c r="AH25" i="5"/>
  <c r="AP25" i="5"/>
  <c r="AI47" i="5"/>
  <c r="AH47" i="5"/>
  <c r="AP47" i="5"/>
  <c r="AH34" i="5"/>
  <c r="AI34" i="5"/>
  <c r="AP34" i="5"/>
  <c r="AH42" i="5"/>
  <c r="AI42" i="5"/>
  <c r="AP42" i="5"/>
  <c r="AI24" i="5"/>
  <c r="AH24" i="5"/>
  <c r="AP24" i="5"/>
  <c r="AH38" i="5"/>
  <c r="AP38" i="5"/>
  <c r="AI38" i="5"/>
  <c r="AP29" i="5"/>
  <c r="AI29" i="5"/>
  <c r="AH29" i="5"/>
  <c r="AO546" i="5"/>
  <c r="AN546" i="5"/>
  <c r="AN450" i="5"/>
  <c r="AO450" i="5"/>
  <c r="AO552" i="5"/>
  <c r="AN552" i="5"/>
  <c r="AO535" i="5"/>
  <c r="AN535" i="5"/>
  <c r="AN491" i="5"/>
  <c r="AO491" i="5"/>
  <c r="AN551" i="5"/>
  <c r="AO551" i="5"/>
  <c r="AN543" i="5"/>
  <c r="AO543" i="5"/>
  <c r="AO445" i="5"/>
  <c r="AN445" i="5"/>
  <c r="AO560" i="5"/>
  <c r="AN560" i="5"/>
  <c r="AN540" i="5"/>
  <c r="AO540" i="5"/>
  <c r="AN527" i="5"/>
  <c r="AO527" i="5"/>
  <c r="AO485" i="5"/>
  <c r="AN485" i="5"/>
  <c r="AO421" i="5"/>
  <c r="AN421" i="5"/>
  <c r="AO556" i="5"/>
  <c r="AN556" i="5"/>
  <c r="AN539" i="5"/>
  <c r="AO539" i="5"/>
  <c r="AN520" i="5"/>
  <c r="AO520" i="5"/>
  <c r="AO508" i="5"/>
  <c r="AN508" i="5"/>
  <c r="AO500" i="5"/>
  <c r="AN500" i="5"/>
  <c r="AO493" i="5"/>
  <c r="AN493" i="5"/>
  <c r="AO487" i="5"/>
  <c r="AN487" i="5"/>
  <c r="AN476" i="5"/>
  <c r="AO476" i="5"/>
  <c r="AO463" i="5"/>
  <c r="AN463" i="5"/>
  <c r="AO451" i="5"/>
  <c r="AN451" i="5"/>
  <c r="AO434" i="5"/>
  <c r="AN434" i="5"/>
  <c r="AO396" i="5"/>
  <c r="AN396" i="5"/>
  <c r="AO347" i="5"/>
  <c r="AN347" i="5"/>
  <c r="AO514" i="5"/>
  <c r="AN514" i="5"/>
  <c r="AN506" i="5"/>
  <c r="AO506" i="5"/>
  <c r="AN477" i="5"/>
  <c r="AO477" i="5"/>
  <c r="AO467" i="5"/>
  <c r="AN467" i="5"/>
  <c r="AN447" i="5"/>
  <c r="AO447" i="5"/>
  <c r="AN427" i="5"/>
  <c r="AO427" i="5"/>
  <c r="AO397" i="5"/>
  <c r="AN397" i="5"/>
  <c r="AN325" i="5"/>
  <c r="AO325" i="5"/>
  <c r="AO526" i="5"/>
  <c r="AN526" i="5"/>
  <c r="AO497" i="5"/>
  <c r="AN497" i="5"/>
  <c r="AO475" i="5"/>
  <c r="AN475" i="5"/>
  <c r="AO459" i="5"/>
  <c r="AN459" i="5"/>
  <c r="AO442" i="5"/>
  <c r="AN442" i="5"/>
  <c r="AN362" i="5"/>
  <c r="AO362" i="5"/>
  <c r="AO415" i="5"/>
  <c r="AN415" i="5"/>
  <c r="AO395" i="5"/>
  <c r="AN395" i="5"/>
  <c r="AO374" i="5"/>
  <c r="AN374" i="5"/>
  <c r="AO355" i="5"/>
  <c r="AN355" i="5"/>
  <c r="AO341" i="5"/>
  <c r="AN341" i="5"/>
  <c r="AN292" i="5"/>
  <c r="AO292" i="5"/>
  <c r="AO273" i="5"/>
  <c r="AN273" i="5"/>
  <c r="AN209" i="5"/>
  <c r="AO209" i="5"/>
  <c r="AN413" i="5"/>
  <c r="AO413" i="5"/>
  <c r="AN392" i="5"/>
  <c r="AO392" i="5"/>
  <c r="AO384" i="5"/>
  <c r="AN384" i="5"/>
  <c r="AO370" i="5"/>
  <c r="AN370" i="5"/>
  <c r="AO359" i="5"/>
  <c r="AN359" i="5"/>
  <c r="AN334" i="5"/>
  <c r="AO334" i="5"/>
  <c r="AO260" i="5"/>
  <c r="AN260" i="5"/>
  <c r="AN436" i="5"/>
  <c r="AO436" i="5"/>
  <c r="AN423" i="5"/>
  <c r="AO423" i="5"/>
  <c r="AN410" i="5"/>
  <c r="AO410" i="5"/>
  <c r="AN385" i="5"/>
  <c r="AO385" i="5"/>
  <c r="AO369" i="5"/>
  <c r="AN369" i="5"/>
  <c r="AO338" i="5"/>
  <c r="AN338" i="5"/>
  <c r="AN299" i="5"/>
  <c r="AO299" i="5"/>
  <c r="AN206" i="5"/>
  <c r="AO206" i="5"/>
  <c r="AN346" i="5"/>
  <c r="AO346" i="5"/>
  <c r="AN337" i="5"/>
  <c r="AO337" i="5"/>
  <c r="AO324" i="5"/>
  <c r="AN324" i="5"/>
  <c r="AO314" i="5"/>
  <c r="AN314" i="5"/>
  <c r="AO306" i="5"/>
  <c r="AN306" i="5"/>
  <c r="AO287" i="5"/>
  <c r="AN287" i="5"/>
  <c r="AO265" i="5"/>
  <c r="AN265" i="5"/>
  <c r="AO251" i="5"/>
  <c r="AN251" i="5"/>
  <c r="AO232" i="5"/>
  <c r="AN232" i="5"/>
  <c r="AO331" i="5"/>
  <c r="AN331" i="5"/>
  <c r="AN305" i="5"/>
  <c r="AO305" i="5"/>
  <c r="AN284" i="5"/>
  <c r="AO284" i="5"/>
  <c r="AN262" i="5"/>
  <c r="AO262" i="5"/>
  <c r="AO207" i="5"/>
  <c r="AN207" i="5"/>
  <c r="AO318" i="5"/>
  <c r="AN318" i="5"/>
  <c r="AO300" i="5"/>
  <c r="AN300" i="5"/>
  <c r="AO285" i="5"/>
  <c r="AN285" i="5"/>
  <c r="AO276" i="5"/>
  <c r="AN276" i="5"/>
  <c r="AO264" i="5"/>
  <c r="AN264" i="5"/>
  <c r="AO223" i="5"/>
  <c r="AN223" i="5"/>
  <c r="AO189" i="5"/>
  <c r="AN189" i="5"/>
  <c r="AN234" i="5"/>
  <c r="AO234" i="5"/>
  <c r="AO200" i="5"/>
  <c r="AN200" i="5"/>
  <c r="AO178" i="5"/>
  <c r="AN178" i="5"/>
  <c r="AO238" i="5"/>
  <c r="AN238" i="5"/>
  <c r="AO222" i="5"/>
  <c r="AN222" i="5"/>
  <c r="AO212" i="5"/>
  <c r="AN212" i="5"/>
  <c r="AO195" i="5"/>
  <c r="AN195" i="5"/>
  <c r="AO243" i="5"/>
  <c r="AN243" i="5"/>
  <c r="AO225" i="5"/>
  <c r="AN225" i="5"/>
  <c r="AO211" i="5"/>
  <c r="AN211" i="5"/>
  <c r="AN174" i="5"/>
  <c r="AO174" i="5"/>
  <c r="AO130" i="5"/>
  <c r="AN130" i="5"/>
  <c r="AO198" i="5"/>
  <c r="AN198" i="5"/>
  <c r="AN173" i="5"/>
  <c r="AO173" i="5"/>
  <c r="AN156" i="5"/>
  <c r="AO156" i="5"/>
  <c r="AN122" i="5"/>
  <c r="AO122" i="5"/>
  <c r="AO176" i="5"/>
  <c r="AN176" i="5"/>
  <c r="AN164" i="5"/>
  <c r="AO164" i="5"/>
  <c r="AN141" i="5"/>
  <c r="AO141" i="5"/>
  <c r="AN175" i="5"/>
  <c r="AO175" i="5"/>
  <c r="AO160" i="5"/>
  <c r="AN160" i="5"/>
  <c r="AN148" i="5"/>
  <c r="AO148" i="5"/>
  <c r="AO137" i="5"/>
  <c r="AN137" i="5"/>
  <c r="AN113" i="5"/>
  <c r="AO113" i="5"/>
  <c r="AN149" i="5"/>
  <c r="AO149" i="5"/>
  <c r="AO135" i="5"/>
  <c r="AN135" i="5"/>
  <c r="AN125" i="5"/>
  <c r="AO125" i="5"/>
  <c r="AO112" i="5"/>
  <c r="AN112" i="5"/>
  <c r="AN85" i="5"/>
  <c r="AO85" i="5"/>
  <c r="AO140" i="5"/>
  <c r="AN140" i="5"/>
  <c r="AN114" i="5"/>
  <c r="AO114" i="5"/>
  <c r="AN109" i="5"/>
  <c r="AO109" i="5"/>
  <c r="AO108" i="5"/>
  <c r="AN108" i="5"/>
  <c r="AO98" i="5"/>
  <c r="AN98" i="5"/>
  <c r="AN92" i="5"/>
  <c r="AO92" i="5"/>
  <c r="AO88" i="5"/>
  <c r="AN88" i="5"/>
  <c r="AO82" i="5"/>
  <c r="AN82" i="5"/>
  <c r="AN69" i="5"/>
  <c r="AO69" i="5"/>
  <c r="AO47" i="5"/>
  <c r="AN47" i="5"/>
  <c r="AN71" i="5"/>
  <c r="AO71" i="5"/>
  <c r="AO72" i="5"/>
  <c r="AN72" i="5"/>
  <c r="AN66" i="5"/>
  <c r="AO66" i="5"/>
  <c r="AN51" i="5"/>
  <c r="AO51" i="5"/>
  <c r="AO48" i="5"/>
  <c r="AN48" i="5"/>
  <c r="AN73" i="5"/>
  <c r="AO73" i="5"/>
  <c r="AO60" i="5"/>
  <c r="AN60" i="5"/>
  <c r="AO32" i="5"/>
  <c r="AN32" i="5"/>
  <c r="AN41" i="5"/>
  <c r="AO41" i="5"/>
  <c r="AO20" i="5"/>
  <c r="AN20" i="5"/>
  <c r="AN27" i="5"/>
  <c r="AO27" i="5"/>
  <c r="AN45" i="5"/>
  <c r="AO45" i="5"/>
  <c r="AN29" i="5"/>
  <c r="AO29" i="5"/>
  <c r="AL553" i="5"/>
  <c r="AK553" i="5"/>
  <c r="AK514" i="5"/>
  <c r="AL514" i="5"/>
  <c r="AL360" i="5"/>
  <c r="AK360" i="5"/>
  <c r="AK525" i="5"/>
  <c r="AL525" i="5"/>
  <c r="AK486" i="5"/>
  <c r="AL486" i="5"/>
  <c r="AK457" i="5"/>
  <c r="AL457" i="5"/>
  <c r="AL548" i="5"/>
  <c r="AK548" i="5"/>
  <c r="AL541" i="5"/>
  <c r="AK541" i="5"/>
  <c r="AL528" i="5"/>
  <c r="AK528" i="5"/>
  <c r="AL462" i="5"/>
  <c r="AK462" i="5"/>
  <c r="AK550" i="5"/>
  <c r="AL550" i="5"/>
  <c r="AK459" i="5"/>
  <c r="AL459" i="5"/>
  <c r="AL291" i="5"/>
  <c r="AK291" i="5"/>
  <c r="AL558" i="5"/>
  <c r="AK558" i="5"/>
  <c r="AL542" i="5"/>
  <c r="AK542" i="5"/>
  <c r="AK534" i="5"/>
  <c r="AL534" i="5"/>
  <c r="AK517" i="5"/>
  <c r="AL517" i="5"/>
  <c r="AK490" i="5"/>
  <c r="AL490" i="5"/>
  <c r="AK464" i="5"/>
  <c r="AL464" i="5"/>
  <c r="AK448" i="5"/>
  <c r="AL448" i="5"/>
  <c r="AK435" i="5"/>
  <c r="AL435" i="5"/>
  <c r="AK422" i="5"/>
  <c r="AL422" i="5"/>
  <c r="AK411" i="5"/>
  <c r="AL411" i="5"/>
  <c r="AK351" i="5"/>
  <c r="AL351" i="5"/>
  <c r="AK521" i="5"/>
  <c r="AL521" i="5"/>
  <c r="AL510" i="5"/>
  <c r="AK510" i="5"/>
  <c r="AL502" i="5"/>
  <c r="AK502" i="5"/>
  <c r="AK489" i="5"/>
  <c r="AL489" i="5"/>
  <c r="AL473" i="5"/>
  <c r="AK473" i="5"/>
  <c r="AK455" i="5"/>
  <c r="AL455" i="5"/>
  <c r="AK449" i="5"/>
  <c r="AL449" i="5"/>
  <c r="AK436" i="5"/>
  <c r="AL436" i="5"/>
  <c r="AK367" i="5"/>
  <c r="AL367" i="5"/>
  <c r="AK523" i="5"/>
  <c r="AL523" i="5"/>
  <c r="AL506" i="5"/>
  <c r="AK506" i="5"/>
  <c r="AK492" i="5"/>
  <c r="AL492" i="5"/>
  <c r="AK479" i="5"/>
  <c r="AL479" i="5"/>
  <c r="AK467" i="5"/>
  <c r="AL467" i="5"/>
  <c r="AL446" i="5"/>
  <c r="AK446" i="5"/>
  <c r="AK429" i="5"/>
  <c r="AL429" i="5"/>
  <c r="AL338" i="5"/>
  <c r="AK338" i="5"/>
  <c r="AK405" i="5"/>
  <c r="AL405" i="5"/>
  <c r="AK396" i="5"/>
  <c r="AL396" i="5"/>
  <c r="AK382" i="5"/>
  <c r="AL382" i="5"/>
  <c r="AK368" i="5"/>
  <c r="AL368" i="5"/>
  <c r="AL303" i="5"/>
  <c r="AK303" i="5"/>
  <c r="AK420" i="5"/>
  <c r="AL420" i="5"/>
  <c r="AL398" i="5"/>
  <c r="AK398" i="5"/>
  <c r="AK378" i="5"/>
  <c r="AL378" i="5"/>
  <c r="AK358" i="5"/>
  <c r="AL358" i="5"/>
  <c r="AK342" i="5"/>
  <c r="AL342" i="5"/>
  <c r="AK274" i="5"/>
  <c r="AL274" i="5"/>
  <c r="AK432" i="5"/>
  <c r="AL432" i="5"/>
  <c r="AK416" i="5"/>
  <c r="AL416" i="5"/>
  <c r="AK399" i="5"/>
  <c r="AL399" i="5"/>
  <c r="AK384" i="5"/>
  <c r="AL384" i="5"/>
  <c r="AK371" i="5"/>
  <c r="AL371" i="5"/>
  <c r="AK359" i="5"/>
  <c r="AL359" i="5"/>
  <c r="AK346" i="5"/>
  <c r="AL346" i="5"/>
  <c r="AK327" i="5"/>
  <c r="AL327" i="5"/>
  <c r="AK281" i="5"/>
  <c r="AL281" i="5"/>
  <c r="AL353" i="5"/>
  <c r="AK353" i="5"/>
  <c r="AK333" i="5"/>
  <c r="AL333" i="5"/>
  <c r="AK316" i="5"/>
  <c r="AL316" i="5"/>
  <c r="AL299" i="5"/>
  <c r="AK299" i="5"/>
  <c r="AL286" i="5"/>
  <c r="AK286" i="5"/>
  <c r="AL273" i="5"/>
  <c r="AK273" i="5"/>
  <c r="AL258" i="5"/>
  <c r="AK258" i="5"/>
  <c r="AK221" i="5"/>
  <c r="AL221" i="5"/>
  <c r="AL324" i="5"/>
  <c r="AK324" i="5"/>
  <c r="AL314" i="5"/>
  <c r="AK314" i="5"/>
  <c r="AL301" i="5"/>
  <c r="AK301" i="5"/>
  <c r="AL283" i="5"/>
  <c r="AK283" i="5"/>
  <c r="AL265" i="5"/>
  <c r="AK265" i="5"/>
  <c r="AK254" i="5"/>
  <c r="AL254" i="5"/>
  <c r="AK230" i="5"/>
  <c r="AL230" i="5"/>
  <c r="AK330" i="5"/>
  <c r="AL330" i="5"/>
  <c r="AL317" i="5"/>
  <c r="AK317" i="5"/>
  <c r="AL298" i="5"/>
  <c r="AK298" i="5"/>
  <c r="AK278" i="5"/>
  <c r="AL278" i="5"/>
  <c r="AK256" i="5"/>
  <c r="AL256" i="5"/>
  <c r="AK236" i="5"/>
  <c r="AL236" i="5"/>
  <c r="AL163" i="5"/>
  <c r="AK163" i="5"/>
  <c r="AK227" i="5"/>
  <c r="AL227" i="5"/>
  <c r="AL218" i="5"/>
  <c r="AK218" i="5"/>
  <c r="AL201" i="5"/>
  <c r="AK201" i="5"/>
  <c r="AK189" i="5"/>
  <c r="AL189" i="5"/>
  <c r="AL172" i="5"/>
  <c r="AK172" i="5"/>
  <c r="AL234" i="5"/>
  <c r="AK234" i="5"/>
  <c r="AK199" i="5"/>
  <c r="AL199" i="5"/>
  <c r="AK242" i="5"/>
  <c r="AL242" i="5"/>
  <c r="AK228" i="5"/>
  <c r="AL228" i="5"/>
  <c r="AP217" i="5"/>
  <c r="AK217" i="5"/>
  <c r="AL217" i="5"/>
  <c r="AK203" i="5"/>
  <c r="AL203" i="5"/>
  <c r="AL160" i="5"/>
  <c r="AK160" i="5"/>
  <c r="AK207" i="5"/>
  <c r="AL207" i="5"/>
  <c r="AK191" i="5"/>
  <c r="AL191" i="5"/>
  <c r="AK171" i="5"/>
  <c r="AL171" i="5"/>
  <c r="AP119" i="5"/>
  <c r="AL119" i="5"/>
  <c r="AK119" i="5"/>
  <c r="AK173" i="5"/>
  <c r="AL173" i="5"/>
  <c r="AL180" i="5"/>
  <c r="AK180" i="5"/>
  <c r="AK166" i="5"/>
  <c r="AL166" i="5"/>
  <c r="AK113" i="5"/>
  <c r="AL113" i="5"/>
  <c r="AK150" i="5"/>
  <c r="AL150" i="5"/>
  <c r="AK133" i="5"/>
  <c r="AL133" i="5"/>
  <c r="AL121" i="5"/>
  <c r="AK121" i="5"/>
  <c r="AL105" i="5"/>
  <c r="AK105" i="5"/>
  <c r="AP64" i="5"/>
  <c r="AL64" i="5"/>
  <c r="AK64" i="5"/>
  <c r="AK143" i="5"/>
  <c r="AL143" i="5"/>
  <c r="AK132" i="5"/>
  <c r="AL132" i="5"/>
  <c r="AK116" i="5"/>
  <c r="AL116" i="5"/>
  <c r="AK158" i="5"/>
  <c r="AL158" i="5"/>
  <c r="AK138" i="5"/>
  <c r="AL138" i="5"/>
  <c r="AK125" i="5"/>
  <c r="AL125" i="5"/>
  <c r="AK112" i="5"/>
  <c r="AL112" i="5"/>
  <c r="AK97" i="5"/>
  <c r="AL97" i="5"/>
  <c r="AK96" i="5"/>
  <c r="AL96" i="5"/>
  <c r="AL89" i="5"/>
  <c r="AK89" i="5"/>
  <c r="AL101" i="5"/>
  <c r="AK101" i="5"/>
  <c r="AK85" i="5"/>
  <c r="AL85" i="5"/>
  <c r="AK72" i="5"/>
  <c r="AL72" i="5"/>
  <c r="AL88" i="5"/>
  <c r="AK88" i="5"/>
  <c r="AL68" i="5"/>
  <c r="AK68" i="5"/>
  <c r="AL60" i="5"/>
  <c r="AK60" i="5"/>
  <c r="AK71" i="5"/>
  <c r="AL71" i="5"/>
  <c r="AK56" i="5"/>
  <c r="AL56" i="5"/>
  <c r="AK47" i="5"/>
  <c r="AL47" i="5"/>
  <c r="AK61" i="5"/>
  <c r="AL61" i="5"/>
  <c r="AK51" i="5"/>
  <c r="AL51" i="5"/>
  <c r="AL52" i="5"/>
  <c r="AK52" i="5"/>
  <c r="AK35" i="5"/>
  <c r="AL35" i="5"/>
  <c r="AK21" i="5"/>
  <c r="AL21" i="5"/>
  <c r="AK38" i="5"/>
  <c r="AL38" i="5"/>
  <c r="AK20" i="5"/>
  <c r="AL20" i="5"/>
  <c r="AK31" i="5"/>
  <c r="AL31" i="5"/>
  <c r="AK22" i="5"/>
  <c r="AL22" i="5"/>
  <c r="AI538" i="5"/>
  <c r="AP538" i="5"/>
  <c r="AH538" i="5"/>
  <c r="AI503" i="5"/>
  <c r="AH503" i="5"/>
  <c r="AP503" i="5"/>
  <c r="AH446" i="5"/>
  <c r="AP446" i="5"/>
  <c r="AI446" i="5"/>
  <c r="AH556" i="5"/>
  <c r="AI556" i="5"/>
  <c r="AP556" i="5"/>
  <c r="AH511" i="5"/>
  <c r="AP511" i="5"/>
  <c r="AI511" i="5"/>
  <c r="AP432" i="5"/>
  <c r="AI432" i="5"/>
  <c r="AH432" i="5"/>
  <c r="AI413" i="5"/>
  <c r="AH413" i="5"/>
  <c r="AP413" i="5"/>
  <c r="AH365" i="5"/>
  <c r="AI365" i="5"/>
  <c r="AP365" i="5"/>
  <c r="AI532" i="5"/>
  <c r="AH532" i="5"/>
  <c r="AP532" i="5"/>
  <c r="AI533" i="5"/>
  <c r="AP533" i="5"/>
  <c r="AH533" i="5"/>
  <c r="AI484" i="5"/>
  <c r="AP484" i="5"/>
  <c r="AH484" i="5"/>
  <c r="AI441" i="5"/>
  <c r="AH441" i="5"/>
  <c r="AP441" i="5"/>
  <c r="AI541" i="5"/>
  <c r="AH541" i="5"/>
  <c r="AP541" i="5"/>
  <c r="AI520" i="5"/>
  <c r="AH520" i="5"/>
  <c r="AP520" i="5"/>
  <c r="AI482" i="5"/>
  <c r="AP482" i="5"/>
  <c r="AH482" i="5"/>
  <c r="AI463" i="5"/>
  <c r="AH463" i="5"/>
  <c r="AP463" i="5"/>
  <c r="AH204" i="5"/>
  <c r="AI204" i="5"/>
  <c r="AP204" i="5"/>
  <c r="AH551" i="5"/>
  <c r="AP551" i="5"/>
  <c r="AI551" i="5"/>
  <c r="AI546" i="5"/>
  <c r="AH546" i="5"/>
  <c r="AP546" i="5"/>
  <c r="AH524" i="5"/>
  <c r="AP524" i="5"/>
  <c r="AI524" i="5"/>
  <c r="AI505" i="5"/>
  <c r="AH505" i="5"/>
  <c r="AP505" i="5"/>
  <c r="AI480" i="5"/>
  <c r="AH480" i="5"/>
  <c r="AP480" i="5"/>
  <c r="AI471" i="5"/>
  <c r="AH471" i="5"/>
  <c r="AP471" i="5"/>
  <c r="AI457" i="5"/>
  <c r="AP457" i="5"/>
  <c r="AH457" i="5"/>
  <c r="AI423" i="5"/>
  <c r="AP423" i="5"/>
  <c r="AH423" i="5"/>
  <c r="AH302" i="5"/>
  <c r="AP302" i="5"/>
  <c r="AI302" i="5"/>
  <c r="AI515" i="5"/>
  <c r="AH515" i="5"/>
  <c r="AP515" i="5"/>
  <c r="AI491" i="5"/>
  <c r="AH491" i="5"/>
  <c r="AP491" i="5"/>
  <c r="AI475" i="5"/>
  <c r="AH475" i="5"/>
  <c r="AP475" i="5"/>
  <c r="AI458" i="5"/>
  <c r="AH458" i="5"/>
  <c r="AP458" i="5"/>
  <c r="AP442" i="5"/>
  <c r="AI442" i="5"/>
  <c r="AH442" i="5"/>
  <c r="AP422" i="5"/>
  <c r="AI422" i="5"/>
  <c r="AH422" i="5"/>
  <c r="AH357" i="5"/>
  <c r="AP357" i="5"/>
  <c r="AI357" i="5"/>
  <c r="AI522" i="5"/>
  <c r="AH522" i="5"/>
  <c r="AP522" i="5"/>
  <c r="AP508" i="5"/>
  <c r="AI508" i="5"/>
  <c r="AH508" i="5"/>
  <c r="AI493" i="5"/>
  <c r="AH493" i="5"/>
  <c r="AP493" i="5"/>
  <c r="AI481" i="5"/>
  <c r="AP481" i="5"/>
  <c r="AH481" i="5"/>
  <c r="AP450" i="5"/>
  <c r="AI450" i="5"/>
  <c r="AH450" i="5"/>
  <c r="AI431" i="5"/>
  <c r="AH431" i="5"/>
  <c r="AP431" i="5"/>
  <c r="AI379" i="5"/>
  <c r="AH379" i="5"/>
  <c r="AP379" i="5"/>
  <c r="AI344" i="5"/>
  <c r="AH344" i="5"/>
  <c r="AP344" i="5"/>
  <c r="AH256" i="5"/>
  <c r="AI256" i="5"/>
  <c r="AP256" i="5"/>
  <c r="AI414" i="5"/>
  <c r="AH414" i="5"/>
  <c r="AP414" i="5"/>
  <c r="AI390" i="5"/>
  <c r="AH390" i="5"/>
  <c r="AP390" i="5"/>
  <c r="AI373" i="5"/>
  <c r="AP373" i="5"/>
  <c r="AH373" i="5"/>
  <c r="AP353" i="5"/>
  <c r="AI353" i="5"/>
  <c r="AH353" i="5"/>
  <c r="AP339" i="5"/>
  <c r="AI339" i="5"/>
  <c r="AH339" i="5"/>
  <c r="AI409" i="5"/>
  <c r="AH409" i="5"/>
  <c r="AP409" i="5"/>
  <c r="AI393" i="5"/>
  <c r="AH393" i="5"/>
  <c r="AP393" i="5"/>
  <c r="AI381" i="5"/>
  <c r="AP381" i="5"/>
  <c r="AH381" i="5"/>
  <c r="AI367" i="5"/>
  <c r="AH367" i="5"/>
  <c r="AP367" i="5"/>
  <c r="AI333" i="5"/>
  <c r="AH333" i="5"/>
  <c r="AP333" i="5"/>
  <c r="AI298" i="5"/>
  <c r="AH298" i="5"/>
  <c r="AP298" i="5"/>
  <c r="AH226" i="5"/>
  <c r="AI226" i="5"/>
  <c r="AP226" i="5"/>
  <c r="AI433" i="5"/>
  <c r="AH433" i="5"/>
  <c r="AP433" i="5"/>
  <c r="AI420" i="5"/>
  <c r="AP420" i="5"/>
  <c r="AH420" i="5"/>
  <c r="AI401" i="5"/>
  <c r="AH401" i="5"/>
  <c r="AP401" i="5"/>
  <c r="AI394" i="5"/>
  <c r="AP394" i="5"/>
  <c r="AH394" i="5"/>
  <c r="AI374" i="5"/>
  <c r="AH374" i="5"/>
  <c r="AP374" i="5"/>
  <c r="AI330" i="5"/>
  <c r="AP330" i="5"/>
  <c r="AH330" i="5"/>
  <c r="AH231" i="5"/>
  <c r="AI231" i="5"/>
  <c r="AP231" i="5"/>
  <c r="AH354" i="5"/>
  <c r="AI354" i="5"/>
  <c r="AP354" i="5"/>
  <c r="AI343" i="5"/>
  <c r="AH343" i="5"/>
  <c r="AI335" i="5"/>
  <c r="AH335" i="5"/>
  <c r="AP335" i="5"/>
  <c r="AH307" i="5"/>
  <c r="AP307" i="5"/>
  <c r="AI307" i="5"/>
  <c r="AI291" i="5"/>
  <c r="AH291" i="5"/>
  <c r="AP291" i="5"/>
  <c r="AH271" i="5"/>
  <c r="AI271" i="5"/>
  <c r="AP271" i="5"/>
  <c r="AI259" i="5"/>
  <c r="AH259" i="5"/>
  <c r="AP259" i="5"/>
  <c r="AH200" i="5"/>
  <c r="AI200" i="5"/>
  <c r="AP200" i="5"/>
  <c r="AI327" i="5"/>
  <c r="AH327" i="5"/>
  <c r="AP327" i="5"/>
  <c r="AH311" i="5"/>
  <c r="AP311" i="5"/>
  <c r="AI311" i="5"/>
  <c r="AI297" i="5"/>
  <c r="AH297" i="5"/>
  <c r="AP297" i="5"/>
  <c r="AI282" i="5"/>
  <c r="AH282" i="5"/>
  <c r="AP282" i="5"/>
  <c r="AH270" i="5"/>
  <c r="AI270" i="5"/>
  <c r="AP270" i="5"/>
  <c r="AH246" i="5"/>
  <c r="AI246" i="5"/>
  <c r="AP246" i="5"/>
  <c r="AI205" i="5"/>
  <c r="AP205" i="5"/>
  <c r="AH205" i="5"/>
  <c r="AI322" i="5"/>
  <c r="AP322" i="5"/>
  <c r="AH322" i="5"/>
  <c r="AH312" i="5"/>
  <c r="AP312" i="5"/>
  <c r="AI312" i="5"/>
  <c r="AI295" i="5"/>
  <c r="AH295" i="5"/>
  <c r="AP295" i="5"/>
  <c r="AH280" i="5"/>
  <c r="AI280" i="5"/>
  <c r="AP280" i="5"/>
  <c r="AH265" i="5"/>
  <c r="AP265" i="5"/>
  <c r="AI265" i="5"/>
  <c r="AH255" i="5"/>
  <c r="AP255" i="5"/>
  <c r="AI255" i="5"/>
  <c r="AH249" i="5"/>
  <c r="AI249" i="5"/>
  <c r="AP249" i="5"/>
  <c r="AH238" i="5"/>
  <c r="AI238" i="5"/>
  <c r="AP238" i="5"/>
  <c r="AH230" i="5"/>
  <c r="AI230" i="5"/>
  <c r="AP230" i="5"/>
  <c r="AI217" i="5"/>
  <c r="AH217" i="5"/>
  <c r="AP191" i="5"/>
  <c r="AI191" i="5"/>
  <c r="AH191" i="5"/>
  <c r="AH243" i="5"/>
  <c r="AI243" i="5"/>
  <c r="AP243" i="5"/>
  <c r="AI224" i="5"/>
  <c r="AH224" i="5"/>
  <c r="AP224" i="5"/>
  <c r="AH209" i="5"/>
  <c r="AI209" i="5"/>
  <c r="AP209" i="5"/>
  <c r="AH248" i="5"/>
  <c r="AI248" i="5"/>
  <c r="AP248" i="5"/>
  <c r="AI234" i="5"/>
  <c r="AP234" i="5"/>
  <c r="AH234" i="5"/>
  <c r="AI215" i="5"/>
  <c r="AP215" i="5"/>
  <c r="AH215" i="5"/>
  <c r="AH154" i="5"/>
  <c r="AI154" i="5"/>
  <c r="AP154" i="5"/>
  <c r="AH198" i="5"/>
  <c r="AI198" i="5"/>
  <c r="AP198" i="5"/>
  <c r="AH189" i="5"/>
  <c r="AI189" i="5"/>
  <c r="AP189" i="5"/>
  <c r="AH172" i="5"/>
  <c r="AI172" i="5"/>
  <c r="AP172" i="5"/>
  <c r="AI157" i="5"/>
  <c r="AH157" i="5"/>
  <c r="AP157" i="5"/>
  <c r="AI111" i="5"/>
  <c r="AH111" i="5"/>
  <c r="AP111" i="5"/>
  <c r="AI181" i="5"/>
  <c r="AH181" i="5"/>
  <c r="AP181" i="5"/>
  <c r="AI163" i="5"/>
  <c r="AH163" i="5"/>
  <c r="AP163" i="5"/>
  <c r="AH128" i="5"/>
  <c r="AI128" i="5"/>
  <c r="AI183" i="5"/>
  <c r="AH183" i="5"/>
  <c r="AP183" i="5"/>
  <c r="AH173" i="5"/>
  <c r="AI173" i="5"/>
  <c r="AP173" i="5"/>
  <c r="AH150" i="5"/>
  <c r="AP150" i="5"/>
  <c r="AI150" i="5"/>
  <c r="AI129" i="5"/>
  <c r="AH129" i="5"/>
  <c r="AP129" i="5"/>
  <c r="AI84" i="5"/>
  <c r="AH84" i="5"/>
  <c r="AP84" i="5"/>
  <c r="AH138" i="5"/>
  <c r="AP138" i="5"/>
  <c r="AI138" i="5"/>
  <c r="AI122" i="5"/>
  <c r="AH122" i="5"/>
  <c r="AP122" i="5"/>
  <c r="AP109" i="5"/>
  <c r="AH109" i="5"/>
  <c r="AI109" i="5"/>
  <c r="AH156" i="5"/>
  <c r="AI156" i="5"/>
  <c r="AP156" i="5"/>
  <c r="AI126" i="5"/>
  <c r="AH126" i="5"/>
  <c r="AP126" i="5"/>
  <c r="AH71" i="5"/>
  <c r="AI71" i="5"/>
  <c r="AP71" i="5"/>
  <c r="AH136" i="5"/>
  <c r="AI136" i="5"/>
  <c r="AP136" i="5"/>
  <c r="AI115" i="5"/>
  <c r="AP115" i="5"/>
  <c r="AH115" i="5"/>
  <c r="AI83" i="5"/>
  <c r="AH83" i="5"/>
  <c r="AP83" i="5"/>
  <c r="AH88" i="5"/>
  <c r="AI88" i="5"/>
  <c r="AP88" i="5"/>
  <c r="AH75" i="5"/>
  <c r="AI75" i="5"/>
  <c r="AP75" i="5"/>
  <c r="AI102" i="5"/>
  <c r="AH102" i="5"/>
  <c r="AP102" i="5"/>
  <c r="AH87" i="5"/>
  <c r="AI87" i="5"/>
  <c r="AP87" i="5"/>
  <c r="AH90" i="5"/>
  <c r="AI90" i="5"/>
  <c r="AP90" i="5"/>
  <c r="AI77" i="5"/>
  <c r="AH77" i="5"/>
  <c r="AP77" i="5"/>
  <c r="AP52" i="5"/>
  <c r="AH52" i="5"/>
  <c r="AI52" i="5"/>
  <c r="AP22" i="5"/>
  <c r="AI22" i="5"/>
  <c r="AH22" i="5"/>
  <c r="AI63" i="5"/>
  <c r="AH63" i="5"/>
  <c r="AP63" i="5"/>
  <c r="AI20" i="5"/>
  <c r="AH20" i="5"/>
  <c r="AP20" i="5"/>
  <c r="AH62" i="5"/>
  <c r="AI62" i="5"/>
  <c r="AP62" i="5"/>
  <c r="AH64" i="5"/>
  <c r="AI64" i="5"/>
  <c r="AI53" i="5"/>
  <c r="AH53" i="5"/>
  <c r="AP53" i="5"/>
  <c r="AH51" i="5"/>
  <c r="AI51" i="5"/>
  <c r="AP51" i="5"/>
  <c r="AH43" i="5"/>
  <c r="AI43" i="5"/>
  <c r="AP43" i="5"/>
  <c r="AI31" i="5"/>
  <c r="AH31" i="5"/>
  <c r="AP31" i="5"/>
  <c r="AI39" i="5"/>
  <c r="AH39" i="5"/>
  <c r="AP39" i="5"/>
  <c r="AP21" i="5"/>
  <c r="AI21" i="5"/>
  <c r="AH21" i="5"/>
  <c r="AH35" i="5"/>
  <c r="AI35" i="5"/>
  <c r="AP35" i="5"/>
  <c r="B51" i="5"/>
  <c r="AO537" i="5"/>
  <c r="AN537" i="5"/>
  <c r="AN438" i="5"/>
  <c r="AO438" i="5"/>
  <c r="AN547" i="5"/>
  <c r="AO547" i="5"/>
  <c r="AO533" i="5"/>
  <c r="AN533" i="5"/>
  <c r="AN481" i="5"/>
  <c r="AO481" i="5"/>
  <c r="AO550" i="5"/>
  <c r="AN550" i="5"/>
  <c r="AO538" i="5"/>
  <c r="AN538" i="5"/>
  <c r="AO437" i="5"/>
  <c r="AN437" i="5"/>
  <c r="AN557" i="5"/>
  <c r="AO557" i="5"/>
  <c r="AO536" i="5"/>
  <c r="AN536" i="5"/>
  <c r="AN521" i="5"/>
  <c r="AO521" i="5"/>
  <c r="AN456" i="5"/>
  <c r="AO456" i="5"/>
  <c r="AN328" i="5"/>
  <c r="AO328" i="5"/>
  <c r="AO555" i="5"/>
  <c r="AN555" i="5"/>
  <c r="AO530" i="5"/>
  <c r="AN530" i="5"/>
  <c r="AN518" i="5"/>
  <c r="AO518" i="5"/>
  <c r="AO505" i="5"/>
  <c r="AN505" i="5"/>
  <c r="AN499" i="5"/>
  <c r="AO499" i="5"/>
  <c r="AN492" i="5"/>
  <c r="AO492" i="5"/>
  <c r="AN486" i="5"/>
  <c r="AO486" i="5"/>
  <c r="AO473" i="5"/>
  <c r="AN473" i="5"/>
  <c r="AO455" i="5"/>
  <c r="AN455" i="5"/>
  <c r="AO444" i="5"/>
  <c r="AN444" i="5"/>
  <c r="AN432" i="5"/>
  <c r="AO432" i="5"/>
  <c r="AN387" i="5"/>
  <c r="AO387" i="5"/>
  <c r="AN308" i="5"/>
  <c r="AO308" i="5"/>
  <c r="AN512" i="5"/>
  <c r="AO512" i="5"/>
  <c r="AO498" i="5"/>
  <c r="AN498" i="5"/>
  <c r="AO474" i="5"/>
  <c r="AN474" i="5"/>
  <c r="AO465" i="5"/>
  <c r="AN465" i="5"/>
  <c r="AN446" i="5"/>
  <c r="AO446" i="5"/>
  <c r="AN426" i="5"/>
  <c r="AO426" i="5"/>
  <c r="AO394" i="5"/>
  <c r="AN394" i="5"/>
  <c r="AN270" i="5"/>
  <c r="AO270" i="5"/>
  <c r="AO525" i="5"/>
  <c r="AN525" i="5"/>
  <c r="AO496" i="5"/>
  <c r="AN496" i="5"/>
  <c r="AN472" i="5"/>
  <c r="AO472" i="5"/>
  <c r="AO458" i="5"/>
  <c r="AN458" i="5"/>
  <c r="AN422" i="5"/>
  <c r="AO422" i="5"/>
  <c r="AO354" i="5"/>
  <c r="AN354" i="5"/>
  <c r="AO406" i="5"/>
  <c r="AN406" i="5"/>
  <c r="AN388" i="5"/>
  <c r="AO388" i="5"/>
  <c r="AN371" i="5"/>
  <c r="AO371" i="5"/>
  <c r="AO349" i="5"/>
  <c r="AN349" i="5"/>
  <c r="AO340" i="5"/>
  <c r="AN340" i="5"/>
  <c r="AN289" i="5"/>
  <c r="AO289" i="5"/>
  <c r="AO267" i="5"/>
  <c r="AN267" i="5"/>
  <c r="AN419" i="5"/>
  <c r="AO419" i="5"/>
  <c r="AN408" i="5"/>
  <c r="AO408" i="5"/>
  <c r="AO390" i="5"/>
  <c r="AN390" i="5"/>
  <c r="AO380" i="5"/>
  <c r="AN380" i="5"/>
  <c r="AO365" i="5"/>
  <c r="AN365" i="5"/>
  <c r="AN356" i="5"/>
  <c r="AO356" i="5"/>
  <c r="AN304" i="5"/>
  <c r="AO304" i="5"/>
  <c r="AO252" i="5"/>
  <c r="AN252" i="5"/>
  <c r="AO435" i="5"/>
  <c r="AN435" i="5"/>
  <c r="AN420" i="5"/>
  <c r="AO420" i="5"/>
  <c r="AO409" i="5"/>
  <c r="AN409" i="5"/>
  <c r="AN383" i="5"/>
  <c r="AO383" i="5"/>
  <c r="AO367" i="5"/>
  <c r="AN367" i="5"/>
  <c r="AO335" i="5"/>
  <c r="AN335" i="5"/>
  <c r="AO258" i="5"/>
  <c r="AN258" i="5"/>
  <c r="AO358" i="5"/>
  <c r="AN358" i="5"/>
  <c r="AN344" i="5"/>
  <c r="AO344" i="5"/>
  <c r="AN332" i="5"/>
  <c r="AO332" i="5"/>
  <c r="AO322" i="5"/>
  <c r="AN322" i="5"/>
  <c r="AO312" i="5"/>
  <c r="AN312" i="5"/>
  <c r="AN302" i="5"/>
  <c r="AO302" i="5"/>
  <c r="AO283" i="5"/>
  <c r="AN283" i="5"/>
  <c r="AO263" i="5"/>
  <c r="AN263" i="5"/>
  <c r="AO249" i="5"/>
  <c r="AN249" i="5"/>
  <c r="AN227" i="5"/>
  <c r="AO227" i="5"/>
  <c r="AO326" i="5"/>
  <c r="AN326" i="5"/>
  <c r="AO298" i="5"/>
  <c r="AN298" i="5"/>
  <c r="AN278" i="5"/>
  <c r="AO278" i="5"/>
  <c r="AO256" i="5"/>
  <c r="AN256" i="5"/>
  <c r="AN157" i="5"/>
  <c r="AO157" i="5"/>
  <c r="AO313" i="5"/>
  <c r="AN313" i="5"/>
  <c r="AO296" i="5"/>
  <c r="AN296" i="5"/>
  <c r="AN282" i="5"/>
  <c r="AO282" i="5"/>
  <c r="AO274" i="5"/>
  <c r="AN274" i="5"/>
  <c r="AO261" i="5"/>
  <c r="AN261" i="5"/>
  <c r="AO220" i="5"/>
  <c r="AN220" i="5"/>
  <c r="AN240" i="5"/>
  <c r="AO240" i="5"/>
  <c r="AN231" i="5"/>
  <c r="AO231" i="5"/>
  <c r="AN199" i="5"/>
  <c r="AO199" i="5"/>
  <c r="AO161" i="5"/>
  <c r="AN161" i="5"/>
  <c r="AO235" i="5"/>
  <c r="AN235" i="5"/>
  <c r="AN219" i="5"/>
  <c r="AO219" i="5"/>
  <c r="AO210" i="5"/>
  <c r="AN210" i="5"/>
  <c r="AO194" i="5"/>
  <c r="AN194" i="5"/>
  <c r="AN236" i="5"/>
  <c r="AO236" i="5"/>
  <c r="AO221" i="5"/>
  <c r="AN221" i="5"/>
  <c r="AN208" i="5"/>
  <c r="AO208" i="5"/>
  <c r="AN171" i="5"/>
  <c r="AO171" i="5"/>
  <c r="AN118" i="5"/>
  <c r="AO118" i="5"/>
  <c r="AO197" i="5"/>
  <c r="AN197" i="5"/>
  <c r="AO168" i="5"/>
  <c r="AN168" i="5"/>
  <c r="AO152" i="5"/>
  <c r="AN152" i="5"/>
  <c r="AN115" i="5"/>
  <c r="AO115" i="5"/>
  <c r="AN172" i="5"/>
  <c r="AO172" i="5"/>
  <c r="AO159" i="5"/>
  <c r="AN159" i="5"/>
  <c r="AN116" i="5"/>
  <c r="AO116" i="5"/>
  <c r="AO169" i="5"/>
  <c r="AN169" i="5"/>
  <c r="AN132" i="5"/>
  <c r="AO132" i="5"/>
  <c r="AO145" i="5"/>
  <c r="AN145" i="5"/>
  <c r="AN127" i="5"/>
  <c r="AO127" i="5"/>
  <c r="AN107" i="5"/>
  <c r="AO107" i="5"/>
  <c r="AO147" i="5"/>
  <c r="AN147" i="5"/>
  <c r="AO133" i="5"/>
  <c r="AN133" i="5"/>
  <c r="AN123" i="5"/>
  <c r="AO123" i="5"/>
  <c r="AN111" i="5"/>
  <c r="AO111" i="5"/>
  <c r="AN81" i="5"/>
  <c r="AO81" i="5"/>
  <c r="AO131" i="5"/>
  <c r="AN131" i="5"/>
  <c r="AN110" i="5"/>
  <c r="AO110" i="5"/>
  <c r="AN103" i="5"/>
  <c r="AO103" i="5"/>
  <c r="AN105" i="5"/>
  <c r="AO105" i="5"/>
  <c r="AO97" i="5"/>
  <c r="AN97" i="5"/>
  <c r="AO91" i="5"/>
  <c r="AN91" i="5"/>
  <c r="AN83" i="5"/>
  <c r="AO83" i="5"/>
  <c r="AO80" i="5"/>
  <c r="AN80" i="5"/>
  <c r="AN65" i="5"/>
  <c r="AO65" i="5"/>
  <c r="AN23" i="5"/>
  <c r="AO23" i="5"/>
  <c r="AN53" i="5"/>
  <c r="AO53" i="5"/>
  <c r="AO70" i="5"/>
  <c r="AN70" i="5"/>
  <c r="AO61" i="5"/>
  <c r="AN61" i="5"/>
  <c r="AN24" i="5"/>
  <c r="AO24" i="5"/>
  <c r="AN39" i="5"/>
  <c r="AO39" i="5"/>
  <c r="AO68" i="5"/>
  <c r="AN68" i="5"/>
  <c r="AO56" i="5"/>
  <c r="AN56" i="5"/>
  <c r="AO50" i="5"/>
  <c r="AN50" i="5"/>
  <c r="AO38" i="5"/>
  <c r="AN38" i="5"/>
  <c r="AN43" i="5"/>
  <c r="AO43" i="5"/>
  <c r="AO26" i="5"/>
  <c r="AN26" i="5"/>
  <c r="AO40" i="5"/>
  <c r="AN40" i="5"/>
  <c r="AP528" i="5"/>
  <c r="AK531" i="5"/>
  <c r="AL531" i="5"/>
  <c r="AL560" i="5"/>
  <c r="AK560" i="5"/>
  <c r="AL559" i="5"/>
  <c r="AK559" i="5"/>
  <c r="AL261" i="5"/>
  <c r="AK261" i="5"/>
  <c r="AK491" i="5"/>
  <c r="AL491" i="5"/>
  <c r="AL424" i="5"/>
  <c r="AK424" i="5"/>
  <c r="AL266" i="5"/>
  <c r="AK266" i="5"/>
  <c r="AK481" i="5"/>
  <c r="AL481" i="5"/>
  <c r="AK373" i="5"/>
  <c r="AL373" i="5"/>
  <c r="AK495" i="5"/>
  <c r="AL495" i="5"/>
  <c r="AK430" i="5"/>
  <c r="AL430" i="5"/>
  <c r="AK397" i="5"/>
  <c r="AL397" i="5"/>
  <c r="AK400" i="5"/>
  <c r="AL400" i="5"/>
  <c r="AL318" i="5"/>
  <c r="AK318" i="5"/>
  <c r="AL408" i="5"/>
  <c r="AK408" i="5"/>
  <c r="AK350" i="5"/>
  <c r="AL350" i="5"/>
  <c r="AK355" i="5"/>
  <c r="AL355" i="5"/>
  <c r="AK289" i="5"/>
  <c r="AL289" i="5"/>
  <c r="AK332" i="5"/>
  <c r="AL332" i="5"/>
  <c r="AL287" i="5"/>
  <c r="AK287" i="5"/>
  <c r="AK331" i="5"/>
  <c r="AL331" i="5"/>
  <c r="AK284" i="5"/>
  <c r="AL284" i="5"/>
  <c r="AK229" i="5"/>
  <c r="AL229" i="5"/>
  <c r="AK175" i="5"/>
  <c r="AL175" i="5"/>
  <c r="AL244" i="5"/>
  <c r="AK244" i="5"/>
  <c r="AK162" i="5"/>
  <c r="AL162" i="5"/>
  <c r="AK137" i="5"/>
  <c r="AL137" i="5"/>
  <c r="AL168" i="5"/>
  <c r="AK168" i="5"/>
  <c r="AK123" i="5"/>
  <c r="AL123" i="5"/>
  <c r="AK145" i="5"/>
  <c r="AL145" i="5"/>
  <c r="AL146" i="5"/>
  <c r="AK146" i="5"/>
  <c r="AK98" i="5"/>
  <c r="AL98" i="5"/>
  <c r="AK93" i="5"/>
  <c r="AL93" i="5"/>
  <c r="AL76" i="5"/>
  <c r="AK76" i="5"/>
  <c r="AK66" i="5"/>
  <c r="AL66" i="5"/>
  <c r="AL24" i="5"/>
  <c r="AK24" i="5"/>
  <c r="AL37" i="5"/>
  <c r="AK37" i="5"/>
  <c r="AI544" i="5"/>
  <c r="AP544" i="5"/>
  <c r="AH544" i="5"/>
  <c r="AI454" i="5"/>
  <c r="AH454" i="5"/>
  <c r="AP454" i="5"/>
  <c r="AH536" i="5"/>
  <c r="AP536" i="5"/>
  <c r="AI536" i="5"/>
  <c r="AP444" i="5"/>
  <c r="AI444" i="5"/>
  <c r="AH444" i="5"/>
  <c r="AI492" i="5"/>
  <c r="AP492" i="5"/>
  <c r="AH492" i="5"/>
  <c r="AI525" i="5"/>
  <c r="AH525" i="5"/>
  <c r="AP525" i="5"/>
  <c r="AI483" i="5"/>
  <c r="AP483" i="5"/>
  <c r="AH483" i="5"/>
  <c r="AL545" i="5"/>
  <c r="AK545" i="5"/>
  <c r="AL557" i="5"/>
  <c r="AK557" i="5"/>
  <c r="AK478" i="5"/>
  <c r="AL478" i="5"/>
  <c r="AL554" i="5"/>
  <c r="AK554" i="5"/>
  <c r="AL539" i="5"/>
  <c r="AK539" i="5"/>
  <c r="AK522" i="5"/>
  <c r="AL522" i="5"/>
  <c r="AK369" i="5"/>
  <c r="AL369" i="5"/>
  <c r="AL549" i="5"/>
  <c r="AK549" i="5"/>
  <c r="AK452" i="5"/>
  <c r="AL452" i="5"/>
  <c r="AL285" i="5"/>
  <c r="AK285" i="5"/>
  <c r="AL552" i="5"/>
  <c r="AK552" i="5"/>
  <c r="AL540" i="5"/>
  <c r="AK540" i="5"/>
  <c r="AL533" i="5"/>
  <c r="AK533" i="5"/>
  <c r="AL501" i="5"/>
  <c r="AK501" i="5"/>
  <c r="AL485" i="5"/>
  <c r="AK485" i="5"/>
  <c r="AL460" i="5"/>
  <c r="AK460" i="5"/>
  <c r="AK445" i="5"/>
  <c r="AL445" i="5"/>
  <c r="AK433" i="5"/>
  <c r="AL433" i="5"/>
  <c r="AL421" i="5"/>
  <c r="AK421" i="5"/>
  <c r="AK402" i="5"/>
  <c r="AL402" i="5"/>
  <c r="AK339" i="5"/>
  <c r="AL339" i="5"/>
  <c r="AL520" i="5"/>
  <c r="AK520" i="5"/>
  <c r="AL509" i="5"/>
  <c r="AK509" i="5"/>
  <c r="AK499" i="5"/>
  <c r="AL499" i="5"/>
  <c r="AK488" i="5"/>
  <c r="AL488" i="5"/>
  <c r="AK469" i="5"/>
  <c r="AL469" i="5"/>
  <c r="AK454" i="5"/>
  <c r="AL454" i="5"/>
  <c r="AK443" i="5"/>
  <c r="AL443" i="5"/>
  <c r="AK431" i="5"/>
  <c r="AL431" i="5"/>
  <c r="AK361" i="5"/>
  <c r="AL361" i="5"/>
  <c r="AK519" i="5"/>
  <c r="AL519" i="5"/>
  <c r="AK505" i="5"/>
  <c r="AL505" i="5"/>
  <c r="AK484" i="5"/>
  <c r="AL484" i="5"/>
  <c r="AK477" i="5"/>
  <c r="AL477" i="5"/>
  <c r="AK465" i="5"/>
  <c r="AL465" i="5"/>
  <c r="AK444" i="5"/>
  <c r="AL444" i="5"/>
  <c r="AL428" i="5"/>
  <c r="AK428" i="5"/>
  <c r="AL410" i="5"/>
  <c r="AK410" i="5"/>
  <c r="AL403" i="5"/>
  <c r="AK403" i="5"/>
  <c r="AK391" i="5"/>
  <c r="AL391" i="5"/>
  <c r="AL381" i="5"/>
  <c r="AK381" i="5"/>
  <c r="AK362" i="5"/>
  <c r="AL362" i="5"/>
  <c r="AL300" i="5"/>
  <c r="AK300" i="5"/>
  <c r="AK415" i="5"/>
  <c r="AL415" i="5"/>
  <c r="AK395" i="5"/>
  <c r="AL395" i="5"/>
  <c r="AK374" i="5"/>
  <c r="AL374" i="5"/>
  <c r="AK354" i="5"/>
  <c r="AL354" i="5"/>
  <c r="AL341" i="5"/>
  <c r="AK341" i="5"/>
  <c r="AK271" i="5"/>
  <c r="AL271" i="5"/>
  <c r="AK427" i="5"/>
  <c r="AL427" i="5"/>
  <c r="AL413" i="5"/>
  <c r="AK413" i="5"/>
  <c r="AK392" i="5"/>
  <c r="AL392" i="5"/>
  <c r="AK380" i="5"/>
  <c r="AL380" i="5"/>
  <c r="AK370" i="5"/>
  <c r="AL370" i="5"/>
  <c r="AL357" i="5"/>
  <c r="AK357" i="5"/>
  <c r="AK345" i="5"/>
  <c r="AL345" i="5"/>
  <c r="AK313" i="5"/>
  <c r="AL313" i="5"/>
  <c r="AK246" i="5"/>
  <c r="AL246" i="5"/>
  <c r="AK347" i="5"/>
  <c r="AL347" i="5"/>
  <c r="AL328" i="5"/>
  <c r="AK328" i="5"/>
  <c r="AL311" i="5"/>
  <c r="AK311" i="5"/>
  <c r="AL297" i="5"/>
  <c r="AK297" i="5"/>
  <c r="AL282" i="5"/>
  <c r="AK282" i="5"/>
  <c r="AK270" i="5"/>
  <c r="AL270" i="5"/>
  <c r="AL252" i="5"/>
  <c r="AK252" i="5"/>
  <c r="AL213" i="5"/>
  <c r="AK213" i="5"/>
  <c r="AK322" i="5"/>
  <c r="AL322" i="5"/>
  <c r="AL312" i="5"/>
  <c r="AK312" i="5"/>
  <c r="AL295" i="5"/>
  <c r="AK295" i="5"/>
  <c r="AK280" i="5"/>
  <c r="AL280" i="5"/>
  <c r="AK263" i="5"/>
  <c r="AL263" i="5"/>
  <c r="AL251" i="5"/>
  <c r="AK251" i="5"/>
  <c r="AK225" i="5"/>
  <c r="AL225" i="5"/>
  <c r="AK329" i="5"/>
  <c r="AL329" i="5"/>
  <c r="AL310" i="5"/>
  <c r="AK310" i="5"/>
  <c r="AL294" i="5"/>
  <c r="AK294" i="5"/>
  <c r="AK272" i="5"/>
  <c r="AL272" i="5"/>
  <c r="AK253" i="5"/>
  <c r="AL253" i="5"/>
  <c r="AK233" i="5"/>
  <c r="AL233" i="5"/>
  <c r="AP241" i="5"/>
  <c r="AK241" i="5"/>
  <c r="AL241" i="5"/>
  <c r="AK224" i="5"/>
  <c r="AL224" i="5"/>
  <c r="AK216" i="5"/>
  <c r="AL216" i="5"/>
  <c r="AK198" i="5"/>
  <c r="AL198" i="5"/>
  <c r="AK187" i="5"/>
  <c r="AL187" i="5"/>
  <c r="AK169" i="5"/>
  <c r="AL169" i="5"/>
  <c r="AK231" i="5"/>
  <c r="AL231" i="5"/>
  <c r="AL197" i="5"/>
  <c r="AK197" i="5"/>
  <c r="AK240" i="5"/>
  <c r="AL240" i="5"/>
  <c r="AK226" i="5"/>
  <c r="AL226" i="5"/>
  <c r="AK214" i="5"/>
  <c r="AL214" i="5"/>
  <c r="AL195" i="5"/>
  <c r="AK195" i="5"/>
  <c r="AL148" i="5"/>
  <c r="AK148" i="5"/>
  <c r="AL205" i="5"/>
  <c r="AK205" i="5"/>
  <c r="AL188" i="5"/>
  <c r="AK188" i="5"/>
  <c r="AL170" i="5"/>
  <c r="AK170" i="5"/>
  <c r="AK183" i="5"/>
  <c r="AL183" i="5"/>
  <c r="AL156" i="5"/>
  <c r="AK156" i="5"/>
  <c r="AL176" i="5"/>
  <c r="AK176" i="5"/>
  <c r="AL164" i="5"/>
  <c r="AK164" i="5"/>
  <c r="AK155" i="5"/>
  <c r="AL155" i="5"/>
  <c r="AK147" i="5"/>
  <c r="AL147" i="5"/>
  <c r="AK131" i="5"/>
  <c r="AL131" i="5"/>
  <c r="AK114" i="5"/>
  <c r="AL114" i="5"/>
  <c r="AK102" i="5"/>
  <c r="AL102" i="5"/>
  <c r="AK157" i="5"/>
  <c r="AL157" i="5"/>
  <c r="AL141" i="5"/>
  <c r="AK141" i="5"/>
  <c r="AP130" i="5"/>
  <c r="AL130" i="5"/>
  <c r="AK130" i="5"/>
  <c r="AK115" i="5"/>
  <c r="AL115" i="5"/>
  <c r="AL152" i="5"/>
  <c r="AK152" i="5"/>
  <c r="AK135" i="5"/>
  <c r="AL135" i="5"/>
  <c r="AK120" i="5"/>
  <c r="AL120" i="5"/>
  <c r="AK111" i="5"/>
  <c r="AL111" i="5"/>
  <c r="AK107" i="5"/>
  <c r="AL107" i="5"/>
  <c r="AL95" i="5"/>
  <c r="AK95" i="5"/>
  <c r="AK84" i="5"/>
  <c r="AL84" i="5"/>
  <c r="AK99" i="5"/>
  <c r="AL99" i="5"/>
  <c r="AK81" i="5"/>
  <c r="AL81" i="5"/>
  <c r="AK70" i="5"/>
  <c r="AL70" i="5"/>
  <c r="AK83" i="5"/>
  <c r="AL83" i="5"/>
  <c r="AK58" i="5"/>
  <c r="AL58" i="5"/>
  <c r="AK40" i="5"/>
  <c r="AL40" i="5"/>
  <c r="AL65" i="5"/>
  <c r="AK65" i="5"/>
  <c r="AK54" i="5"/>
  <c r="AL54" i="5"/>
  <c r="AL36" i="5"/>
  <c r="AK36" i="5"/>
  <c r="AK59" i="5"/>
  <c r="AL59" i="5"/>
  <c r="AK34" i="5"/>
  <c r="AL34" i="5"/>
  <c r="AK45" i="5"/>
  <c r="AL45" i="5"/>
  <c r="AL32" i="5"/>
  <c r="AK32" i="5"/>
  <c r="AK46" i="5"/>
  <c r="AL46" i="5"/>
  <c r="AK33" i="5"/>
  <c r="AL33" i="5"/>
  <c r="AK48" i="5"/>
  <c r="AL48" i="5"/>
  <c r="AK26" i="5"/>
  <c r="AL26" i="5"/>
  <c r="T28" i="5"/>
  <c r="T29" i="5"/>
  <c r="T38" i="5"/>
  <c r="T44" i="5"/>
  <c r="T46" i="5"/>
  <c r="T21" i="5"/>
  <c r="T24" i="5"/>
  <c r="T26" i="5"/>
  <c r="T27" i="5"/>
  <c r="T31" i="5"/>
  <c r="T32" i="5"/>
  <c r="T39" i="5"/>
  <c r="T42" i="5"/>
  <c r="T45" i="5"/>
  <c r="T22" i="5"/>
  <c r="T34" i="5"/>
  <c r="T36" i="5"/>
  <c r="T40" i="5"/>
  <c r="T43" i="5"/>
  <c r="T47" i="5"/>
  <c r="T48" i="5"/>
  <c r="T49" i="5"/>
  <c r="T41" i="5"/>
  <c r="T52" i="5"/>
  <c r="T53" i="5"/>
  <c r="T54" i="5"/>
  <c r="T64" i="5"/>
  <c r="T70" i="5"/>
  <c r="T20" i="5"/>
  <c r="T23" i="5"/>
  <c r="T30" i="5"/>
  <c r="T33" i="5"/>
  <c r="T50" i="5"/>
  <c r="T51" i="5"/>
  <c r="T56" i="5"/>
  <c r="T59" i="5"/>
  <c r="T62" i="5"/>
  <c r="T65" i="5"/>
  <c r="T67" i="5"/>
  <c r="T35" i="5"/>
  <c r="T55" i="5"/>
  <c r="T58" i="5"/>
  <c r="T63" i="5"/>
  <c r="T66" i="5"/>
  <c r="T68" i="5"/>
  <c r="T71" i="5"/>
  <c r="T76" i="5"/>
  <c r="T80" i="5"/>
  <c r="T74" i="5"/>
  <c r="T77" i="5"/>
  <c r="T57" i="5"/>
  <c r="T61" i="5"/>
  <c r="T73" i="5"/>
  <c r="T78" i="5"/>
  <c r="T89" i="5"/>
  <c r="T92" i="5"/>
  <c r="T25" i="5"/>
  <c r="T81" i="5"/>
  <c r="T82" i="5"/>
  <c r="T94" i="5"/>
  <c r="T96" i="5"/>
  <c r="T97" i="5"/>
  <c r="T98" i="5"/>
  <c r="T69" i="5"/>
  <c r="T95" i="5"/>
  <c r="T102" i="5"/>
  <c r="T105" i="5"/>
  <c r="T107" i="5"/>
  <c r="T60" i="5"/>
  <c r="T72" i="5"/>
  <c r="T83" i="5"/>
  <c r="T85" i="5"/>
  <c r="T88" i="5"/>
  <c r="T90" i="5"/>
  <c r="T91" i="5"/>
  <c r="T101" i="5"/>
  <c r="T108" i="5"/>
  <c r="T110" i="5"/>
  <c r="T37" i="5"/>
  <c r="T87" i="5"/>
  <c r="T93" i="5"/>
  <c r="T113" i="5"/>
  <c r="T121" i="5"/>
  <c r="T126" i="5"/>
  <c r="T127" i="5"/>
  <c r="T132" i="5"/>
  <c r="T136" i="5"/>
  <c r="T139" i="5"/>
  <c r="T141" i="5"/>
  <c r="T147" i="5"/>
  <c r="T155" i="5"/>
  <c r="T84" i="5"/>
  <c r="T99" i="5"/>
  <c r="T103" i="5"/>
  <c r="T106" i="5"/>
  <c r="T109" i="5"/>
  <c r="T112" i="5"/>
  <c r="T116" i="5"/>
  <c r="T117" i="5"/>
  <c r="T123" i="5"/>
  <c r="T124" i="5"/>
  <c r="T129" i="5"/>
  <c r="T131" i="5"/>
  <c r="T137" i="5"/>
  <c r="T142" i="5"/>
  <c r="T148" i="5"/>
  <c r="T151" i="5"/>
  <c r="T156" i="5"/>
  <c r="T75" i="5"/>
  <c r="T104" i="5"/>
  <c r="T114" i="5"/>
  <c r="T115" i="5"/>
  <c r="T119" i="5"/>
  <c r="T122" i="5"/>
  <c r="T130" i="5"/>
  <c r="T138" i="5"/>
  <c r="T143" i="5"/>
  <c r="T145" i="5"/>
  <c r="T146" i="5"/>
  <c r="T152" i="5"/>
  <c r="T125" i="5"/>
  <c r="T128" i="5"/>
  <c r="T134" i="5"/>
  <c r="T149" i="5"/>
  <c r="T165" i="5"/>
  <c r="T167" i="5"/>
  <c r="T171" i="5"/>
  <c r="T173" i="5"/>
  <c r="T177" i="5"/>
  <c r="T178" i="5"/>
  <c r="T181" i="5"/>
  <c r="T187" i="5"/>
  <c r="T86" i="5"/>
  <c r="T111" i="5"/>
  <c r="T118" i="5"/>
  <c r="T133" i="5"/>
  <c r="T140" i="5"/>
  <c r="T163" i="5"/>
  <c r="T169" i="5"/>
  <c r="T170" i="5"/>
  <c r="T182" i="5"/>
  <c r="T184" i="5"/>
  <c r="T79" i="5"/>
  <c r="T100" i="5"/>
  <c r="T154" i="5"/>
  <c r="T158" i="5"/>
  <c r="T161" i="5"/>
  <c r="T172" i="5"/>
  <c r="T175" i="5"/>
  <c r="T179" i="5"/>
  <c r="T183" i="5"/>
  <c r="T185" i="5"/>
  <c r="T186" i="5"/>
  <c r="T189" i="5"/>
  <c r="T190" i="5"/>
  <c r="T194" i="5"/>
  <c r="T197" i="5"/>
  <c r="T198" i="5"/>
  <c r="T201" i="5"/>
  <c r="T204" i="5"/>
  <c r="T206" i="5"/>
  <c r="T164" i="5"/>
  <c r="T188" i="5"/>
  <c r="T196" i="5"/>
  <c r="T200" i="5"/>
  <c r="T202" i="5"/>
  <c r="T203" i="5"/>
  <c r="T205" i="5"/>
  <c r="T208" i="5"/>
  <c r="T209" i="5"/>
  <c r="T211" i="5"/>
  <c r="T215" i="5"/>
  <c r="T218" i="5"/>
  <c r="T220" i="5"/>
  <c r="T223" i="5"/>
  <c r="T224" i="5"/>
  <c r="T227" i="5"/>
  <c r="T234" i="5"/>
  <c r="T239" i="5"/>
  <c r="T245" i="5"/>
  <c r="T120" i="5"/>
  <c r="T144" i="5"/>
  <c r="T150" i="5"/>
  <c r="T159" i="5"/>
  <c r="T166" i="5"/>
  <c r="T193" i="5"/>
  <c r="T199" i="5"/>
  <c r="T212" i="5"/>
  <c r="T216" i="5"/>
  <c r="T217" i="5"/>
  <c r="T222" i="5"/>
  <c r="T229" i="5"/>
  <c r="T232" i="5"/>
  <c r="T238" i="5"/>
  <c r="T242" i="5"/>
  <c r="T243" i="5"/>
  <c r="T157" i="5"/>
  <c r="T168" i="5"/>
  <c r="T174" i="5"/>
  <c r="T180" i="5"/>
  <c r="T191" i="5"/>
  <c r="T192" i="5"/>
  <c r="T207" i="5"/>
  <c r="T210" i="5"/>
  <c r="T213" i="5"/>
  <c r="T219" i="5"/>
  <c r="T221" i="5"/>
  <c r="T225" i="5"/>
  <c r="T230" i="5"/>
  <c r="T233" i="5"/>
  <c r="T235" i="5"/>
  <c r="T236" i="5"/>
  <c r="T240" i="5"/>
  <c r="T153" i="5"/>
  <c r="T176" i="5"/>
  <c r="T241" i="5"/>
  <c r="T248" i="5"/>
  <c r="T249" i="5"/>
  <c r="T252" i="5"/>
  <c r="T254" i="5"/>
  <c r="T255" i="5"/>
  <c r="T257" i="5"/>
  <c r="T260" i="5"/>
  <c r="T263" i="5"/>
  <c r="T265" i="5"/>
  <c r="T270" i="5"/>
  <c r="T273" i="5"/>
  <c r="T274" i="5"/>
  <c r="T277" i="5"/>
  <c r="T278" i="5"/>
  <c r="T279" i="5"/>
  <c r="T282" i="5"/>
  <c r="T289" i="5"/>
  <c r="T295" i="5"/>
  <c r="T301" i="5"/>
  <c r="T306" i="5"/>
  <c r="T308" i="5"/>
  <c r="T314" i="5"/>
  <c r="T318" i="5"/>
  <c r="T322" i="5"/>
  <c r="T327" i="5"/>
  <c r="T332" i="5"/>
  <c r="T334" i="5"/>
  <c r="T135" i="5"/>
  <c r="T237" i="5"/>
  <c r="T244" i="5"/>
  <c r="T250" i="5"/>
  <c r="T251" i="5"/>
  <c r="T258" i="5"/>
  <c r="T266" i="5"/>
  <c r="T276" i="5"/>
  <c r="T284" i="5"/>
  <c r="T288" i="5"/>
  <c r="T291" i="5"/>
  <c r="T292" i="5"/>
  <c r="T299" i="5"/>
  <c r="T302" i="5"/>
  <c r="T311" i="5"/>
  <c r="T313" i="5"/>
  <c r="T316" i="5"/>
  <c r="T323" i="5"/>
  <c r="T325" i="5"/>
  <c r="T328" i="5"/>
  <c r="T331" i="5"/>
  <c r="T160" i="5"/>
  <c r="T226" i="5"/>
  <c r="T231" i="5"/>
  <c r="T246" i="5"/>
  <c r="T253" i="5"/>
  <c r="T256" i="5"/>
  <c r="T259" i="5"/>
  <c r="T261" i="5"/>
  <c r="T264" i="5"/>
  <c r="T268" i="5"/>
  <c r="T269" i="5"/>
  <c r="T271" i="5"/>
  <c r="T281" i="5"/>
  <c r="T285" i="5"/>
  <c r="T290" i="5"/>
  <c r="T293" i="5"/>
  <c r="T296" i="5"/>
  <c r="T298" i="5"/>
  <c r="T300" i="5"/>
  <c r="T303" i="5"/>
  <c r="T305" i="5"/>
  <c r="T307" i="5"/>
  <c r="T310" i="5"/>
  <c r="T320" i="5"/>
  <c r="T321" i="5"/>
  <c r="T326" i="5"/>
  <c r="T330" i="5"/>
  <c r="T335" i="5"/>
  <c r="T343" i="5"/>
  <c r="T349" i="5"/>
  <c r="T354" i="5"/>
  <c r="T356" i="5"/>
  <c r="T262" i="5"/>
  <c r="T267" i="5"/>
  <c r="T280" i="5"/>
  <c r="T283" i="5"/>
  <c r="T286" i="5"/>
  <c r="T309" i="5"/>
  <c r="T312" i="5"/>
  <c r="T315" i="5"/>
  <c r="T329" i="5"/>
  <c r="T337" i="5"/>
  <c r="T342" i="5"/>
  <c r="T345" i="5"/>
  <c r="T350" i="5"/>
  <c r="T359" i="5"/>
  <c r="T362" i="5"/>
  <c r="T364" i="5"/>
  <c r="T366" i="5"/>
  <c r="T367" i="5"/>
  <c r="T378" i="5"/>
  <c r="T381" i="5"/>
  <c r="T387" i="5"/>
  <c r="T390" i="5"/>
  <c r="T393" i="5"/>
  <c r="T400" i="5"/>
  <c r="T403" i="5"/>
  <c r="T405" i="5"/>
  <c r="T410" i="5"/>
  <c r="T415" i="5"/>
  <c r="T420" i="5"/>
  <c r="T421" i="5"/>
  <c r="T424" i="5"/>
  <c r="T429" i="5"/>
  <c r="T433" i="5"/>
  <c r="T436" i="5"/>
  <c r="T437" i="5"/>
  <c r="T214" i="5"/>
  <c r="T247" i="5"/>
  <c r="T297" i="5"/>
  <c r="T317" i="5"/>
  <c r="T341" i="5"/>
  <c r="T369" i="5"/>
  <c r="T371" i="5"/>
  <c r="T372" i="5"/>
  <c r="T375" i="5"/>
  <c r="T376" i="5"/>
  <c r="T380" i="5"/>
  <c r="T385" i="5"/>
  <c r="T386" i="5"/>
  <c r="T389" i="5"/>
  <c r="T391" i="5"/>
  <c r="T396" i="5"/>
  <c r="T407" i="5"/>
  <c r="T409" i="5"/>
  <c r="T418" i="5"/>
  <c r="T162" i="5"/>
  <c r="T195" i="5"/>
  <c r="T228" i="5"/>
  <c r="T272" i="5"/>
  <c r="T275" i="5"/>
  <c r="T294" i="5"/>
  <c r="T319" i="5"/>
  <c r="T336" i="5"/>
  <c r="T340" i="5"/>
  <c r="T348" i="5"/>
  <c r="T353" i="5"/>
  <c r="T355" i="5"/>
  <c r="T361" i="5"/>
  <c r="T363" i="5"/>
  <c r="T365" i="5"/>
  <c r="T373" i="5"/>
  <c r="T379" i="5"/>
  <c r="T382" i="5"/>
  <c r="T383" i="5"/>
  <c r="T388" i="5"/>
  <c r="T392" i="5"/>
  <c r="T399" i="5"/>
  <c r="T402" i="5"/>
  <c r="T404" i="5"/>
  <c r="T408" i="5"/>
  <c r="T411" i="5"/>
  <c r="T414" i="5"/>
  <c r="T417" i="5"/>
  <c r="T287" i="5"/>
  <c r="T324" i="5"/>
  <c r="T357" i="5"/>
  <c r="T370" i="5"/>
  <c r="T384" i="5"/>
  <c r="T428" i="5"/>
  <c r="T430" i="5"/>
  <c r="T432" i="5"/>
  <c r="T441" i="5"/>
  <c r="T443" i="5"/>
  <c r="T447" i="5"/>
  <c r="T448" i="5"/>
  <c r="T451" i="5"/>
  <c r="T458" i="5"/>
  <c r="T460" i="5"/>
  <c r="T466" i="5"/>
  <c r="T472" i="5"/>
  <c r="T478" i="5"/>
  <c r="T481" i="5"/>
  <c r="T491" i="5"/>
  <c r="T494" i="5"/>
  <c r="T499" i="5"/>
  <c r="T505" i="5"/>
  <c r="T507" i="5"/>
  <c r="T508" i="5"/>
  <c r="T513" i="5"/>
  <c r="T515" i="5"/>
  <c r="T516" i="5"/>
  <c r="T525" i="5"/>
  <c r="T532" i="5"/>
  <c r="T533" i="5"/>
  <c r="T537" i="5"/>
  <c r="T339" i="5"/>
  <c r="T347" i="5"/>
  <c r="T351" i="5"/>
  <c r="T427" i="5"/>
  <c r="T431" i="5"/>
  <c r="T438" i="5"/>
  <c r="T442" i="5"/>
  <c r="T453" i="5"/>
  <c r="T454" i="5"/>
  <c r="T456" i="5"/>
  <c r="T459" i="5"/>
  <c r="T462" i="5"/>
  <c r="T464" i="5"/>
  <c r="T468" i="5"/>
  <c r="T471" i="5"/>
  <c r="T474" i="5"/>
  <c r="T475" i="5"/>
  <c r="T480" i="5"/>
  <c r="T483" i="5"/>
  <c r="T485" i="5"/>
  <c r="T496" i="5"/>
  <c r="T498" i="5"/>
  <c r="T500" i="5"/>
  <c r="T501" i="5"/>
  <c r="T503" i="5"/>
  <c r="T504" i="5"/>
  <c r="T511" i="5"/>
  <c r="T512" i="5"/>
  <c r="T517" i="5"/>
  <c r="T519" i="5"/>
  <c r="T521" i="5"/>
  <c r="T522" i="5"/>
  <c r="T333" i="5"/>
  <c r="T358" i="5"/>
  <c r="T360" i="5"/>
  <c r="T368" i="5"/>
  <c r="T374" i="5"/>
  <c r="T377" i="5"/>
  <c r="T395" i="5"/>
  <c r="T398" i="5"/>
  <c r="T401" i="5"/>
  <c r="T413" i="5"/>
  <c r="T416" i="5"/>
  <c r="T422" i="5"/>
  <c r="T425" i="5"/>
  <c r="T434" i="5"/>
  <c r="T435" i="5"/>
  <c r="T439" i="5"/>
  <c r="T446" i="5"/>
  <c r="T452" i="5"/>
  <c r="T455" i="5"/>
  <c r="T457" i="5"/>
  <c r="T461" i="5"/>
  <c r="T463" i="5"/>
  <c r="T467" i="5"/>
  <c r="T470" i="5"/>
  <c r="T473" i="5"/>
  <c r="T477" i="5"/>
  <c r="T482" i="5"/>
  <c r="T486" i="5"/>
  <c r="T487" i="5"/>
  <c r="T489" i="5"/>
  <c r="T492" i="5"/>
  <c r="T493" i="5"/>
  <c r="T495" i="5"/>
  <c r="T506" i="5"/>
  <c r="T510" i="5"/>
  <c r="T526" i="5"/>
  <c r="T531" i="5"/>
  <c r="T538" i="5"/>
  <c r="T556" i="5"/>
  <c r="T557" i="5"/>
  <c r="T560" i="5"/>
  <c r="T304" i="5"/>
  <c r="T338" i="5"/>
  <c r="T344" i="5"/>
  <c r="T346" i="5"/>
  <c r="T352" i="5"/>
  <c r="T444" i="5"/>
  <c r="T465" i="5"/>
  <c r="T484" i="5"/>
  <c r="T529" i="5"/>
  <c r="T534" i="5"/>
  <c r="T536" i="5"/>
  <c r="T539" i="5"/>
  <c r="T540" i="5"/>
  <c r="T542" i="5"/>
  <c r="T545" i="5"/>
  <c r="T546" i="5"/>
  <c r="T548" i="5"/>
  <c r="T550" i="5"/>
  <c r="T554" i="5"/>
  <c r="T541" i="5"/>
  <c r="T544" i="5"/>
  <c r="T394" i="5"/>
  <c r="T406" i="5"/>
  <c r="T412" i="5"/>
  <c r="T426" i="5"/>
  <c r="T450" i="5"/>
  <c r="T490" i="5"/>
  <c r="T497" i="5"/>
  <c r="T514" i="5"/>
  <c r="T518" i="5"/>
  <c r="T524" i="5"/>
  <c r="T527" i="5"/>
  <c r="T543" i="5"/>
  <c r="T551" i="5"/>
  <c r="T552" i="5"/>
  <c r="T553" i="5"/>
  <c r="T555" i="5"/>
  <c r="T419" i="5"/>
  <c r="T440" i="5"/>
  <c r="T449" i="5"/>
  <c r="T528" i="5"/>
  <c r="T530" i="5"/>
  <c r="T535" i="5"/>
  <c r="T547" i="5"/>
  <c r="T549" i="5"/>
  <c r="T558" i="5"/>
  <c r="T559" i="5"/>
  <c r="T397" i="5"/>
  <c r="T423" i="5"/>
  <c r="T445" i="5"/>
  <c r="T469" i="5"/>
  <c r="T476" i="5"/>
  <c r="T479" i="5"/>
  <c r="T488" i="5"/>
  <c r="T502" i="5"/>
  <c r="T509" i="5"/>
  <c r="T520" i="5"/>
  <c r="T523" i="5"/>
  <c r="T19" i="5"/>
  <c r="AP486" i="5"/>
  <c r="AI534" i="5"/>
  <c r="AP534" i="5"/>
  <c r="AH534" i="5"/>
  <c r="AI500" i="5"/>
  <c r="AH500" i="5"/>
  <c r="AP500" i="5"/>
  <c r="AP440" i="5"/>
  <c r="AI440" i="5"/>
  <c r="AH440" i="5"/>
  <c r="AI537" i="5"/>
  <c r="AH537" i="5"/>
  <c r="AP537" i="5"/>
  <c r="AH467" i="5"/>
  <c r="AP467" i="5"/>
  <c r="AI467" i="5"/>
  <c r="AH430" i="5"/>
  <c r="AP430" i="5"/>
  <c r="AI430" i="5"/>
  <c r="AI395" i="5"/>
  <c r="AH395" i="5"/>
  <c r="AP395" i="5"/>
  <c r="AI358" i="5"/>
  <c r="AH358" i="5"/>
  <c r="AP358" i="5"/>
  <c r="AH555" i="5"/>
  <c r="AP555" i="5"/>
  <c r="AI555" i="5"/>
  <c r="AI526" i="5"/>
  <c r="AP526" i="5"/>
  <c r="AH526" i="5"/>
  <c r="AI465" i="5"/>
  <c r="AH465" i="5"/>
  <c r="AP465" i="5"/>
  <c r="AH554" i="5"/>
  <c r="AP554" i="5"/>
  <c r="AI554" i="5"/>
  <c r="AP539" i="5"/>
  <c r="AI539" i="5"/>
  <c r="AH539" i="5"/>
  <c r="AI509" i="5"/>
  <c r="AH509" i="5"/>
  <c r="AP509" i="5"/>
  <c r="AI479" i="5"/>
  <c r="AH479" i="5"/>
  <c r="AP479" i="5"/>
  <c r="AP416" i="5"/>
  <c r="AI416" i="5"/>
  <c r="AH416" i="5"/>
  <c r="AH559" i="5"/>
  <c r="AP559" i="5"/>
  <c r="AI559" i="5"/>
  <c r="AH550" i="5"/>
  <c r="AP550" i="5"/>
  <c r="AI550" i="5"/>
  <c r="AH543" i="5"/>
  <c r="AP543" i="5"/>
  <c r="AI543" i="5"/>
  <c r="AP514" i="5"/>
  <c r="AI514" i="5"/>
  <c r="AH514" i="5"/>
  <c r="AI504" i="5"/>
  <c r="AP504" i="5"/>
  <c r="AH504" i="5"/>
  <c r="AI478" i="5"/>
  <c r="AP478" i="5"/>
  <c r="AH478" i="5"/>
  <c r="AI468" i="5"/>
  <c r="AP468" i="5"/>
  <c r="AH468" i="5"/>
  <c r="AI453" i="5"/>
  <c r="AH453" i="5"/>
  <c r="AP453" i="5"/>
  <c r="AP399" i="5"/>
  <c r="AI399" i="5"/>
  <c r="AH399" i="5"/>
  <c r="AI272" i="5"/>
  <c r="AH272" i="5"/>
  <c r="AP272" i="5"/>
  <c r="AI501" i="5"/>
  <c r="AH501" i="5"/>
  <c r="AP501" i="5"/>
  <c r="AI490" i="5"/>
  <c r="AP490" i="5"/>
  <c r="AH490" i="5"/>
  <c r="AI472" i="5"/>
  <c r="AH472" i="5"/>
  <c r="AP472" i="5"/>
  <c r="AI456" i="5"/>
  <c r="AH456" i="5"/>
  <c r="AP456" i="5"/>
  <c r="AI435" i="5"/>
  <c r="AP435" i="5"/>
  <c r="AH435" i="5"/>
  <c r="AI408" i="5"/>
  <c r="AH408" i="5"/>
  <c r="AP408" i="5"/>
  <c r="AH331" i="5"/>
  <c r="AP331" i="5"/>
  <c r="AI331" i="5"/>
  <c r="AI518" i="5"/>
  <c r="AP518" i="5"/>
  <c r="AH518" i="5"/>
  <c r="AI502" i="5"/>
  <c r="AP502" i="5"/>
  <c r="AH502" i="5"/>
  <c r="AI489" i="5"/>
  <c r="AP489" i="5"/>
  <c r="AH489" i="5"/>
  <c r="AI469" i="5"/>
  <c r="AH469" i="5"/>
  <c r="AP469" i="5"/>
  <c r="AI445" i="5"/>
  <c r="AH445" i="5"/>
  <c r="AP445" i="5"/>
  <c r="AI427" i="5"/>
  <c r="AP427" i="5"/>
  <c r="AH427" i="5"/>
  <c r="AI371" i="5"/>
  <c r="AH371" i="5"/>
  <c r="AP371" i="5"/>
  <c r="AI334" i="5"/>
  <c r="AH334" i="5"/>
  <c r="AP334" i="5"/>
  <c r="AH168" i="5"/>
  <c r="AI168" i="5"/>
  <c r="AP168" i="5"/>
  <c r="AI411" i="5"/>
  <c r="AP411" i="5"/>
  <c r="AH411" i="5"/>
  <c r="AI385" i="5"/>
  <c r="AP385" i="5"/>
  <c r="AH385" i="5"/>
  <c r="AI369" i="5"/>
  <c r="AH369" i="5"/>
  <c r="AP369" i="5"/>
  <c r="AI352" i="5"/>
  <c r="AH352" i="5"/>
  <c r="AP352" i="5"/>
  <c r="AP317" i="5"/>
  <c r="AI317" i="5"/>
  <c r="AH317" i="5"/>
  <c r="AI407" i="5"/>
  <c r="AP407" i="5"/>
  <c r="AH407" i="5"/>
  <c r="AI391" i="5"/>
  <c r="AH391" i="5"/>
  <c r="AP391" i="5"/>
  <c r="AH376" i="5"/>
  <c r="AP376" i="5"/>
  <c r="AI376" i="5"/>
  <c r="AI362" i="5"/>
  <c r="AH362" i="5"/>
  <c r="AP362" i="5"/>
  <c r="AP329" i="5"/>
  <c r="AI329" i="5"/>
  <c r="AH329" i="5"/>
  <c r="AI268" i="5"/>
  <c r="AH268" i="5"/>
  <c r="AP268" i="5"/>
  <c r="AH180" i="5"/>
  <c r="AI180" i="5"/>
  <c r="AP180" i="5"/>
  <c r="AI429" i="5"/>
  <c r="AH429" i="5"/>
  <c r="AP429" i="5"/>
  <c r="AI415" i="5"/>
  <c r="AP415" i="5"/>
  <c r="AH415" i="5"/>
  <c r="AI400" i="5"/>
  <c r="AP400" i="5"/>
  <c r="AH400" i="5"/>
  <c r="AI388" i="5"/>
  <c r="AP388" i="5"/>
  <c r="AH388" i="5"/>
  <c r="AI366" i="5"/>
  <c r="AH366" i="5"/>
  <c r="AP366" i="5"/>
  <c r="AP310" i="5"/>
  <c r="AI310" i="5"/>
  <c r="AH310" i="5"/>
  <c r="AH174" i="5"/>
  <c r="AI174" i="5"/>
  <c r="AP174" i="5"/>
  <c r="AP349" i="5"/>
  <c r="AH349" i="5"/>
  <c r="AI349" i="5"/>
  <c r="AI342" i="5"/>
  <c r="AH342" i="5"/>
  <c r="AP342" i="5"/>
  <c r="AI323" i="5"/>
  <c r="AH323" i="5"/>
  <c r="AP323" i="5"/>
  <c r="AI303" i="5"/>
  <c r="AH303" i="5"/>
  <c r="AP303" i="5"/>
  <c r="AH288" i="5"/>
  <c r="AP288" i="5"/>
  <c r="AI288" i="5"/>
  <c r="AH269" i="5"/>
  <c r="AI269" i="5"/>
  <c r="AP269" i="5"/>
  <c r="AI253" i="5"/>
  <c r="AH253" i="5"/>
  <c r="AP253" i="5"/>
  <c r="AH196" i="5"/>
  <c r="AI196" i="5"/>
  <c r="AP196" i="5"/>
  <c r="AH325" i="5"/>
  <c r="AI325" i="5"/>
  <c r="AP325" i="5"/>
  <c r="AI308" i="5"/>
  <c r="AH308" i="5"/>
  <c r="AP308" i="5"/>
  <c r="AP292" i="5"/>
  <c r="AI292" i="5"/>
  <c r="AH292" i="5"/>
  <c r="AH279" i="5"/>
  <c r="AI279" i="5"/>
  <c r="AI266" i="5"/>
  <c r="AH266" i="5"/>
  <c r="AP266" i="5"/>
  <c r="AH241" i="5"/>
  <c r="AI241" i="5"/>
  <c r="AP203" i="5"/>
  <c r="AH203" i="5"/>
  <c r="AI203" i="5"/>
  <c r="AI320" i="5"/>
  <c r="AH320" i="5"/>
  <c r="AP320" i="5"/>
  <c r="AH309" i="5"/>
  <c r="AP309" i="5"/>
  <c r="AI309" i="5"/>
  <c r="AH293" i="5"/>
  <c r="AP293" i="5"/>
  <c r="AI293" i="5"/>
  <c r="AI277" i="5"/>
  <c r="AH277" i="5"/>
  <c r="AP277" i="5"/>
  <c r="AH263" i="5"/>
  <c r="AP263" i="5"/>
  <c r="AI263" i="5"/>
  <c r="AI254" i="5"/>
  <c r="AH254" i="5"/>
  <c r="AP254" i="5"/>
  <c r="AI228" i="5"/>
  <c r="AH228" i="5"/>
  <c r="AP228" i="5"/>
  <c r="AI236" i="5"/>
  <c r="AH236" i="5"/>
  <c r="AP236" i="5"/>
  <c r="AI225" i="5"/>
  <c r="AH225" i="5"/>
  <c r="AP225" i="5"/>
  <c r="AH213" i="5"/>
  <c r="AP213" i="5"/>
  <c r="AI213" i="5"/>
  <c r="AH188" i="5"/>
  <c r="AI188" i="5"/>
  <c r="AP188" i="5"/>
  <c r="AH242" i="5"/>
  <c r="AI242" i="5"/>
  <c r="AP242" i="5"/>
  <c r="AH220" i="5"/>
  <c r="AI220" i="5"/>
  <c r="AP220" i="5"/>
  <c r="AI207" i="5"/>
  <c r="AH207" i="5"/>
  <c r="AP207" i="5"/>
  <c r="AH247" i="5"/>
  <c r="AI247" i="5"/>
  <c r="AP247" i="5"/>
  <c r="AI227" i="5"/>
  <c r="AH227" i="5"/>
  <c r="AP227" i="5"/>
  <c r="AH208" i="5"/>
  <c r="AI208" i="5"/>
  <c r="AP208" i="5"/>
  <c r="AI206" i="5"/>
  <c r="AH206" i="5"/>
  <c r="AP206" i="5"/>
  <c r="AI197" i="5"/>
  <c r="AH197" i="5"/>
  <c r="AP197" i="5"/>
  <c r="AH186" i="5"/>
  <c r="AI186" i="5"/>
  <c r="AP186" i="5"/>
  <c r="AH167" i="5"/>
  <c r="AI167" i="5"/>
  <c r="AP167" i="5"/>
  <c r="AI155" i="5"/>
  <c r="AH155" i="5"/>
  <c r="AP155" i="5"/>
  <c r="AI95" i="5"/>
  <c r="AH95" i="5"/>
  <c r="AP95" i="5"/>
  <c r="AH170" i="5"/>
  <c r="AI170" i="5"/>
  <c r="AP170" i="5"/>
  <c r="AH161" i="5"/>
  <c r="AI161" i="5"/>
  <c r="AP161" i="5"/>
  <c r="AH125" i="5"/>
  <c r="AI125" i="5"/>
  <c r="AP125" i="5"/>
  <c r="AI179" i="5"/>
  <c r="AH179" i="5"/>
  <c r="AP179" i="5"/>
  <c r="AI171" i="5"/>
  <c r="AH171" i="5"/>
  <c r="AP171" i="5"/>
  <c r="AI147" i="5"/>
  <c r="AH147" i="5"/>
  <c r="AP147" i="5"/>
  <c r="AI123" i="5"/>
  <c r="AH123" i="5"/>
  <c r="AP123" i="5"/>
  <c r="AH152" i="5"/>
  <c r="AI152" i="5"/>
  <c r="AP152" i="5"/>
  <c r="AH137" i="5"/>
  <c r="AI137" i="5"/>
  <c r="AP137" i="5"/>
  <c r="AI120" i="5"/>
  <c r="AH120" i="5"/>
  <c r="AP120" i="5"/>
  <c r="AI106" i="5"/>
  <c r="AH106" i="5"/>
  <c r="AP106" i="5"/>
  <c r="AI151" i="5"/>
  <c r="AH151" i="5"/>
  <c r="AP151" i="5"/>
  <c r="AH124" i="5"/>
  <c r="AI124" i="5"/>
  <c r="AP124" i="5"/>
  <c r="AI145" i="5"/>
  <c r="AP145" i="5"/>
  <c r="AH145" i="5"/>
  <c r="AH132" i="5"/>
  <c r="AP132" i="5"/>
  <c r="AI132" i="5"/>
  <c r="AH114" i="5"/>
  <c r="AI114" i="5"/>
  <c r="AP114" i="5"/>
  <c r="AI108" i="5"/>
  <c r="AH108" i="5"/>
  <c r="AP108" i="5"/>
  <c r="AI85" i="5"/>
  <c r="AH85" i="5"/>
  <c r="AP85" i="5"/>
  <c r="AH107" i="5"/>
  <c r="AI107" i="5"/>
  <c r="AP107" i="5"/>
  <c r="AI98" i="5"/>
  <c r="AH98" i="5"/>
  <c r="AP98" i="5"/>
  <c r="AH74" i="5"/>
  <c r="AI74" i="5"/>
  <c r="AP74" i="5"/>
  <c r="AH86" i="5"/>
  <c r="AP86" i="5"/>
  <c r="AI86" i="5"/>
  <c r="AI76" i="5"/>
  <c r="AP76" i="5"/>
  <c r="AH76" i="5"/>
  <c r="AH73" i="5"/>
  <c r="AI73" i="5"/>
  <c r="AP73" i="5"/>
  <c r="AH80" i="5"/>
  <c r="AP80" i="5"/>
  <c r="AI80" i="5"/>
  <c r="AI59" i="5"/>
  <c r="AH59" i="5"/>
  <c r="AP59" i="5"/>
  <c r="AH68" i="5"/>
  <c r="AI68" i="5"/>
  <c r="AP68" i="5"/>
  <c r="AH60" i="5"/>
  <c r="AI60" i="5"/>
  <c r="AP60" i="5"/>
  <c r="AH61" i="5"/>
  <c r="AI61" i="5"/>
  <c r="AP61" i="5"/>
  <c r="AH50" i="5"/>
  <c r="AI50" i="5"/>
  <c r="AP50" i="5"/>
  <c r="AI49" i="5"/>
  <c r="AH49" i="5"/>
  <c r="AP49" i="5"/>
  <c r="AH40" i="5"/>
  <c r="AI40" i="5"/>
  <c r="AP40" i="5"/>
  <c r="AP27" i="5"/>
  <c r="AI27" i="5"/>
  <c r="AH27" i="5"/>
  <c r="AI32" i="5"/>
  <c r="AP32" i="5"/>
  <c r="AH32" i="5"/>
  <c r="AI46" i="5"/>
  <c r="AP46" i="5"/>
  <c r="AH46" i="5"/>
  <c r="AI33" i="5"/>
  <c r="AH33" i="5"/>
  <c r="AP33" i="5"/>
  <c r="AO483" i="5"/>
  <c r="AN483" i="5"/>
  <c r="AN372" i="5"/>
  <c r="AO372" i="5"/>
  <c r="AO542" i="5"/>
  <c r="AN542" i="5"/>
  <c r="AO528" i="5"/>
  <c r="AN528" i="5"/>
  <c r="AN424" i="5"/>
  <c r="AO424" i="5"/>
  <c r="AN549" i="5"/>
  <c r="AO549" i="5"/>
  <c r="AO524" i="5"/>
  <c r="AN524" i="5"/>
  <c r="AN433" i="5"/>
  <c r="AO433" i="5"/>
  <c r="AO553" i="5"/>
  <c r="AN553" i="5"/>
  <c r="AN534" i="5"/>
  <c r="AO534" i="5"/>
  <c r="AO517" i="5"/>
  <c r="AN517" i="5"/>
  <c r="AN449" i="5"/>
  <c r="AO449" i="5"/>
  <c r="AN297" i="5"/>
  <c r="AO297" i="5"/>
  <c r="AO554" i="5"/>
  <c r="AN554" i="5"/>
  <c r="AO523" i="5"/>
  <c r="AN523" i="5"/>
  <c r="AN510" i="5"/>
  <c r="AO510" i="5"/>
  <c r="AN503" i="5"/>
  <c r="AO503" i="5"/>
  <c r="AN495" i="5"/>
  <c r="AO495" i="5"/>
  <c r="AO489" i="5"/>
  <c r="AN489" i="5"/>
  <c r="AO482" i="5"/>
  <c r="AN482" i="5"/>
  <c r="AO469" i="5"/>
  <c r="AN469" i="5"/>
  <c r="AO454" i="5"/>
  <c r="AN454" i="5"/>
  <c r="AO443" i="5"/>
  <c r="AN443" i="5"/>
  <c r="AN430" i="5"/>
  <c r="AO430" i="5"/>
  <c r="AO381" i="5"/>
  <c r="AN381" i="5"/>
  <c r="AN519" i="5"/>
  <c r="AO519" i="5"/>
  <c r="AN511" i="5"/>
  <c r="AO511" i="5"/>
  <c r="AN484" i="5"/>
  <c r="AO484" i="5"/>
  <c r="AN470" i="5"/>
  <c r="AO470" i="5"/>
  <c r="AO462" i="5"/>
  <c r="AN462" i="5"/>
  <c r="AN439" i="5"/>
  <c r="AO439" i="5"/>
  <c r="AN412" i="5"/>
  <c r="AO412" i="5"/>
  <c r="AO391" i="5"/>
  <c r="AN391" i="5"/>
  <c r="AO532" i="5"/>
  <c r="AN532" i="5"/>
  <c r="AN515" i="5"/>
  <c r="AO515" i="5"/>
  <c r="AO490" i="5"/>
  <c r="AN490" i="5"/>
  <c r="AO471" i="5"/>
  <c r="AN471" i="5"/>
  <c r="AO457" i="5"/>
  <c r="AN457" i="5"/>
  <c r="AN401" i="5"/>
  <c r="AO401" i="5"/>
  <c r="AO311" i="5"/>
  <c r="AN311" i="5"/>
  <c r="AO400" i="5"/>
  <c r="AN400" i="5"/>
  <c r="AN379" i="5"/>
  <c r="AO379" i="5"/>
  <c r="AO366" i="5"/>
  <c r="AN366" i="5"/>
  <c r="AN348" i="5"/>
  <c r="AO348" i="5"/>
  <c r="AN336" i="5"/>
  <c r="AO336" i="5"/>
  <c r="AO286" i="5"/>
  <c r="AN286" i="5"/>
  <c r="AN254" i="5"/>
  <c r="AO254" i="5"/>
  <c r="AN418" i="5"/>
  <c r="AO418" i="5"/>
  <c r="AO402" i="5"/>
  <c r="AN402" i="5"/>
  <c r="AN389" i="5"/>
  <c r="AO389" i="5"/>
  <c r="AN377" i="5"/>
  <c r="AO377" i="5"/>
  <c r="AO363" i="5"/>
  <c r="AN363" i="5"/>
  <c r="AN350" i="5"/>
  <c r="AO350" i="5"/>
  <c r="AN293" i="5"/>
  <c r="AO293" i="5"/>
  <c r="AN250" i="5"/>
  <c r="AO250" i="5"/>
  <c r="AO431" i="5"/>
  <c r="AN431" i="5"/>
  <c r="AO414" i="5"/>
  <c r="AN414" i="5"/>
  <c r="AO404" i="5"/>
  <c r="AN404" i="5"/>
  <c r="AN376" i="5"/>
  <c r="AO376" i="5"/>
  <c r="AO360" i="5"/>
  <c r="AN360" i="5"/>
  <c r="AN319" i="5"/>
  <c r="AO319" i="5"/>
  <c r="AO224" i="5"/>
  <c r="AN224" i="5"/>
  <c r="AO357" i="5"/>
  <c r="AN357" i="5"/>
  <c r="AN343" i="5"/>
  <c r="AO343" i="5"/>
  <c r="AN330" i="5"/>
  <c r="AO330" i="5"/>
  <c r="AN320" i="5"/>
  <c r="AO320" i="5"/>
  <c r="AN310" i="5"/>
  <c r="AO310" i="5"/>
  <c r="AO301" i="5"/>
  <c r="AN301" i="5"/>
  <c r="AO275" i="5"/>
  <c r="AN275" i="5"/>
  <c r="AN257" i="5"/>
  <c r="AO257" i="5"/>
  <c r="AO248" i="5"/>
  <c r="AN248" i="5"/>
  <c r="AO192" i="5"/>
  <c r="AN192" i="5"/>
  <c r="AN321" i="5"/>
  <c r="AO321" i="5"/>
  <c r="AO294" i="5"/>
  <c r="AN294" i="5"/>
  <c r="AN272" i="5"/>
  <c r="AO272" i="5"/>
  <c r="AO253" i="5"/>
  <c r="AN253" i="5"/>
  <c r="AN327" i="5"/>
  <c r="AO327" i="5"/>
  <c r="AO307" i="5"/>
  <c r="AN307" i="5"/>
  <c r="AN291" i="5"/>
  <c r="AO291" i="5"/>
  <c r="AO281" i="5"/>
  <c r="AN281" i="5"/>
  <c r="AO271" i="5"/>
  <c r="AN271" i="5"/>
  <c r="AO259" i="5"/>
  <c r="AN259" i="5"/>
  <c r="AO193" i="5"/>
  <c r="AN193" i="5"/>
  <c r="AO239" i="5"/>
  <c r="AN239" i="5"/>
  <c r="AN215" i="5"/>
  <c r="AO215" i="5"/>
  <c r="AN186" i="5"/>
  <c r="AO186" i="5"/>
  <c r="AO244" i="5"/>
  <c r="AN244" i="5"/>
  <c r="AO228" i="5"/>
  <c r="AN228" i="5"/>
  <c r="AO217" i="5"/>
  <c r="AN217" i="5"/>
  <c r="AN204" i="5"/>
  <c r="AO204" i="5"/>
  <c r="AN182" i="5"/>
  <c r="AO182" i="5"/>
  <c r="AO233" i="5"/>
  <c r="AN233" i="5"/>
  <c r="AO216" i="5"/>
  <c r="AN216" i="5"/>
  <c r="AN205" i="5"/>
  <c r="AO205" i="5"/>
  <c r="AN165" i="5"/>
  <c r="AO165" i="5"/>
  <c r="AO203" i="5"/>
  <c r="AN203" i="5"/>
  <c r="AO187" i="5"/>
  <c r="AN187" i="5"/>
  <c r="AO162" i="5"/>
  <c r="AN162" i="5"/>
  <c r="AN143" i="5"/>
  <c r="AO143" i="5"/>
  <c r="AO185" i="5"/>
  <c r="AN185" i="5"/>
  <c r="AN170" i="5"/>
  <c r="AO170" i="5"/>
  <c r="AO153" i="5"/>
  <c r="AN153" i="5"/>
  <c r="AN181" i="5"/>
  <c r="AO181" i="5"/>
  <c r="AN167" i="5"/>
  <c r="AO167" i="5"/>
  <c r="AO104" i="5"/>
  <c r="AN104" i="5"/>
  <c r="AO142" i="5"/>
  <c r="AN142" i="5"/>
  <c r="AN124" i="5"/>
  <c r="AO124" i="5"/>
  <c r="AO155" i="5"/>
  <c r="AN155" i="5"/>
  <c r="AO146" i="5"/>
  <c r="AN146" i="5"/>
  <c r="AO128" i="5"/>
  <c r="AN128" i="5"/>
  <c r="AO120" i="5"/>
  <c r="AN120" i="5"/>
  <c r="AN106" i="5"/>
  <c r="AO106" i="5"/>
  <c r="AN151" i="5"/>
  <c r="AO151" i="5"/>
  <c r="AO129" i="5"/>
  <c r="AN129" i="5"/>
  <c r="AO99" i="5"/>
  <c r="AN99" i="5"/>
  <c r="AN87" i="5"/>
  <c r="AO87" i="5"/>
  <c r="AN102" i="5"/>
  <c r="AO102" i="5"/>
  <c r="AN96" i="5"/>
  <c r="AO96" i="5"/>
  <c r="AO90" i="5"/>
  <c r="AN90" i="5"/>
  <c r="AO93" i="5"/>
  <c r="AN93" i="5"/>
  <c r="AN77" i="5"/>
  <c r="AO77" i="5"/>
  <c r="AN62" i="5"/>
  <c r="AO62" i="5"/>
  <c r="AO79" i="5"/>
  <c r="AN79" i="5"/>
  <c r="AN49" i="5"/>
  <c r="AO49" i="5"/>
  <c r="AO57" i="5"/>
  <c r="AN57" i="5"/>
  <c r="AO58" i="5"/>
  <c r="AN58" i="5"/>
  <c r="AO63" i="5"/>
  <c r="AN63" i="5"/>
  <c r="AN28" i="5"/>
  <c r="AO28" i="5"/>
  <c r="AO67" i="5"/>
  <c r="AN67" i="5"/>
  <c r="AO42" i="5"/>
  <c r="AN42" i="5"/>
  <c r="AO46" i="5"/>
  <c r="AN46" i="5"/>
  <c r="AN33" i="5"/>
  <c r="AO33" i="5"/>
  <c r="AO37" i="5"/>
  <c r="AN37" i="5"/>
  <c r="AN25" i="5"/>
  <c r="AO25" i="5"/>
  <c r="AO36" i="5"/>
  <c r="AN36" i="5"/>
  <c r="AP343" i="5"/>
  <c r="AK529" i="5"/>
  <c r="AL529" i="5"/>
  <c r="AK498" i="5"/>
  <c r="AL498" i="5"/>
  <c r="AK530" i="5"/>
  <c r="AL530" i="5"/>
  <c r="AK404" i="5"/>
  <c r="AL404" i="5"/>
  <c r="AK536" i="5"/>
  <c r="AL536" i="5"/>
  <c r="AL456" i="5"/>
  <c r="AK456" i="5"/>
  <c r="AL414" i="5"/>
  <c r="AK414" i="5"/>
  <c r="AK503" i="5"/>
  <c r="AL503" i="5"/>
  <c r="AK463" i="5"/>
  <c r="AL463" i="5"/>
  <c r="AL537" i="5"/>
  <c r="AK537" i="5"/>
  <c r="AL480" i="5"/>
  <c r="AK480" i="5"/>
  <c r="AK352" i="5"/>
  <c r="AL352" i="5"/>
  <c r="AL386" i="5"/>
  <c r="AK386" i="5"/>
  <c r="AL259" i="5"/>
  <c r="AK259" i="5"/>
  <c r="AK364" i="5"/>
  <c r="AL364" i="5"/>
  <c r="AK419" i="5"/>
  <c r="AL419" i="5"/>
  <c r="AK377" i="5"/>
  <c r="AL377" i="5"/>
  <c r="AL296" i="5"/>
  <c r="AK296" i="5"/>
  <c r="AL319" i="5"/>
  <c r="AK319" i="5"/>
  <c r="AK260" i="5"/>
  <c r="AL260" i="5"/>
  <c r="AL306" i="5"/>
  <c r="AK306" i="5"/>
  <c r="AK255" i="5"/>
  <c r="AL255" i="5"/>
  <c r="AL302" i="5"/>
  <c r="AK302" i="5"/>
  <c r="AK243" i="5"/>
  <c r="AL243" i="5"/>
  <c r="AK206" i="5"/>
  <c r="AL206" i="5"/>
  <c r="AK237" i="5"/>
  <c r="AL237" i="5"/>
  <c r="AK219" i="5"/>
  <c r="AL219" i="5"/>
  <c r="AK124" i="5"/>
  <c r="AL124" i="5"/>
  <c r="AL178" i="5"/>
  <c r="AK178" i="5"/>
  <c r="AL139" i="5"/>
  <c r="AK139" i="5"/>
  <c r="AL108" i="5"/>
  <c r="AK108" i="5"/>
  <c r="AK122" i="5"/>
  <c r="AL122" i="5"/>
  <c r="AL126" i="5"/>
  <c r="AK126" i="5"/>
  <c r="AK90" i="5"/>
  <c r="AL90" i="5"/>
  <c r="AK82" i="5"/>
  <c r="AL82" i="5"/>
  <c r="AK75" i="5"/>
  <c r="AL75" i="5"/>
  <c r="AK49" i="5"/>
  <c r="AL49" i="5"/>
  <c r="AK39" i="5"/>
  <c r="AL39" i="5"/>
  <c r="AK29" i="5"/>
  <c r="AL29" i="5"/>
  <c r="AI449" i="5"/>
  <c r="AH449" i="5"/>
  <c r="AP449" i="5"/>
  <c r="AI523" i="5"/>
  <c r="AH523" i="5"/>
  <c r="AP523" i="5"/>
  <c r="AI545" i="5"/>
  <c r="AP545" i="5"/>
  <c r="AH545" i="5"/>
  <c r="AI542" i="5"/>
  <c r="AH542" i="5"/>
  <c r="AP542" i="5"/>
  <c r="AI473" i="5"/>
  <c r="AH473" i="5"/>
  <c r="AP473" i="5"/>
  <c r="AI548" i="5"/>
  <c r="AH548" i="5"/>
  <c r="AP548" i="5"/>
  <c r="AI425" i="5"/>
  <c r="AP425" i="5"/>
  <c r="AH425" i="5"/>
  <c r="B25" i="5"/>
  <c r="AK507" i="5"/>
  <c r="AL507" i="5"/>
  <c r="AK515" i="5"/>
  <c r="AL515" i="5"/>
  <c r="AK447" i="5"/>
  <c r="AL447" i="5"/>
  <c r="AL543" i="5"/>
  <c r="AK543" i="5"/>
  <c r="AK497" i="5"/>
  <c r="AL497" i="5"/>
  <c r="AL555" i="5"/>
  <c r="AK555" i="5"/>
  <c r="AK504" i="5"/>
  <c r="AL504" i="5"/>
  <c r="AL475" i="5"/>
  <c r="AK475" i="5"/>
  <c r="AK383" i="5"/>
  <c r="AL383" i="5"/>
  <c r="AL551" i="5"/>
  <c r="AK551" i="5"/>
  <c r="AK535" i="5"/>
  <c r="AL535" i="5"/>
  <c r="AK516" i="5"/>
  <c r="AL516" i="5"/>
  <c r="AL556" i="5"/>
  <c r="AK556" i="5"/>
  <c r="AK532" i="5"/>
  <c r="AL532" i="5"/>
  <c r="AK423" i="5"/>
  <c r="AL423" i="5"/>
  <c r="AP279" i="5"/>
  <c r="AL279" i="5"/>
  <c r="AK279" i="5"/>
  <c r="AL547" i="5"/>
  <c r="AK547" i="5"/>
  <c r="AL538" i="5"/>
  <c r="AK538" i="5"/>
  <c r="AK527" i="5"/>
  <c r="AL527" i="5"/>
  <c r="AL496" i="5"/>
  <c r="AK496" i="5"/>
  <c r="AK483" i="5"/>
  <c r="AL483" i="5"/>
  <c r="AL458" i="5"/>
  <c r="AK458" i="5"/>
  <c r="AK442" i="5"/>
  <c r="AL442" i="5"/>
  <c r="AK425" i="5"/>
  <c r="AL425" i="5"/>
  <c r="AK417" i="5"/>
  <c r="AL417" i="5"/>
  <c r="AK393" i="5"/>
  <c r="AL393" i="5"/>
  <c r="AK335" i="5"/>
  <c r="AL335" i="5"/>
  <c r="AL518" i="5"/>
  <c r="AK518" i="5"/>
  <c r="AK508" i="5"/>
  <c r="AL508" i="5"/>
  <c r="AK494" i="5"/>
  <c r="AL494" i="5"/>
  <c r="AK487" i="5"/>
  <c r="AL487" i="5"/>
  <c r="AK466" i="5"/>
  <c r="AL466" i="5"/>
  <c r="AK451" i="5"/>
  <c r="AL451" i="5"/>
  <c r="AK441" i="5"/>
  <c r="AL441" i="5"/>
  <c r="AL418" i="5"/>
  <c r="AK418" i="5"/>
  <c r="AL288" i="5"/>
  <c r="AK288" i="5"/>
  <c r="AL512" i="5"/>
  <c r="AK512" i="5"/>
  <c r="AK500" i="5"/>
  <c r="AL500" i="5"/>
  <c r="AK482" i="5"/>
  <c r="AL482" i="5"/>
  <c r="AK476" i="5"/>
  <c r="AL476" i="5"/>
  <c r="AK461" i="5"/>
  <c r="AL461" i="5"/>
  <c r="AK440" i="5"/>
  <c r="AL440" i="5"/>
  <c r="AK385" i="5"/>
  <c r="AL385" i="5"/>
  <c r="AK409" i="5"/>
  <c r="AL409" i="5"/>
  <c r="AK401" i="5"/>
  <c r="AL401" i="5"/>
  <c r="AK387" i="5"/>
  <c r="AL387" i="5"/>
  <c r="AK376" i="5"/>
  <c r="AL376" i="5"/>
  <c r="AL343" i="5"/>
  <c r="AK343" i="5"/>
  <c r="AK264" i="5"/>
  <c r="AL264" i="5"/>
  <c r="AK406" i="5"/>
  <c r="AL406" i="5"/>
  <c r="AK394" i="5"/>
  <c r="AL394" i="5"/>
  <c r="AK366" i="5"/>
  <c r="AL366" i="5"/>
  <c r="AL349" i="5"/>
  <c r="AK349" i="5"/>
  <c r="AK336" i="5"/>
  <c r="AL336" i="5"/>
  <c r="AK439" i="5"/>
  <c r="AL439" i="5"/>
  <c r="AK426" i="5"/>
  <c r="AL426" i="5"/>
  <c r="AK412" i="5"/>
  <c r="AL412" i="5"/>
  <c r="AK390" i="5"/>
  <c r="AL390" i="5"/>
  <c r="AK379" i="5"/>
  <c r="AL379" i="5"/>
  <c r="AK365" i="5"/>
  <c r="AL365" i="5"/>
  <c r="AK356" i="5"/>
  <c r="AL356" i="5"/>
  <c r="AK344" i="5"/>
  <c r="AL344" i="5"/>
  <c r="AL307" i="5"/>
  <c r="AK307" i="5"/>
  <c r="AK212" i="5"/>
  <c r="AL212" i="5"/>
  <c r="AK340" i="5"/>
  <c r="AL340" i="5"/>
  <c r="AK325" i="5"/>
  <c r="AL325" i="5"/>
  <c r="AK308" i="5"/>
  <c r="AL308" i="5"/>
  <c r="AL292" i="5"/>
  <c r="AK292" i="5"/>
  <c r="AK277" i="5"/>
  <c r="AL277" i="5"/>
  <c r="AK267" i="5"/>
  <c r="AL267" i="5"/>
  <c r="AK250" i="5"/>
  <c r="AL250" i="5"/>
  <c r="AL190" i="5"/>
  <c r="AK190" i="5"/>
  <c r="AL320" i="5"/>
  <c r="AK320" i="5"/>
  <c r="AL309" i="5"/>
  <c r="AK309" i="5"/>
  <c r="AL293" i="5"/>
  <c r="AK293" i="5"/>
  <c r="AK275" i="5"/>
  <c r="AL275" i="5"/>
  <c r="AL257" i="5"/>
  <c r="AK257" i="5"/>
  <c r="AL249" i="5"/>
  <c r="AK249" i="5"/>
  <c r="AK177" i="5"/>
  <c r="AL177" i="5"/>
  <c r="AK326" i="5"/>
  <c r="AL326" i="5"/>
  <c r="AL305" i="5"/>
  <c r="AK305" i="5"/>
  <c r="AL290" i="5"/>
  <c r="AK290" i="5"/>
  <c r="AK269" i="5"/>
  <c r="AL269" i="5"/>
  <c r="AL247" i="5"/>
  <c r="AK247" i="5"/>
  <c r="AK211" i="5"/>
  <c r="AL211" i="5"/>
  <c r="AK232" i="5"/>
  <c r="AL232" i="5"/>
  <c r="AK223" i="5"/>
  <c r="AL223" i="5"/>
  <c r="AL209" i="5"/>
  <c r="AK209" i="5"/>
  <c r="AP193" i="5"/>
  <c r="AK193" i="5"/>
  <c r="AL193" i="5"/>
  <c r="AK181" i="5"/>
  <c r="AL181" i="5"/>
  <c r="AK239" i="5"/>
  <c r="AL239" i="5"/>
  <c r="AL215" i="5"/>
  <c r="AK215" i="5"/>
  <c r="AK167" i="5"/>
  <c r="AL167" i="5"/>
  <c r="AL238" i="5"/>
  <c r="AK238" i="5"/>
  <c r="AK222" i="5"/>
  <c r="AL222" i="5"/>
  <c r="AL210" i="5"/>
  <c r="AK210" i="5"/>
  <c r="AK194" i="5"/>
  <c r="AL194" i="5"/>
  <c r="AK142" i="5"/>
  <c r="AL142" i="5"/>
  <c r="AK200" i="5"/>
  <c r="AL200" i="5"/>
  <c r="AK184" i="5"/>
  <c r="AL184" i="5"/>
  <c r="AK165" i="5"/>
  <c r="AL165" i="5"/>
  <c r="AK179" i="5"/>
  <c r="AL179" i="5"/>
  <c r="AL186" i="5"/>
  <c r="AK186" i="5"/>
  <c r="AK174" i="5"/>
  <c r="AL174" i="5"/>
  <c r="AK159" i="5"/>
  <c r="AL159" i="5"/>
  <c r="AL154" i="5"/>
  <c r="AK154" i="5"/>
  <c r="AL144" i="5"/>
  <c r="AK144" i="5"/>
  <c r="AL129" i="5"/>
  <c r="AK129" i="5"/>
  <c r="AK110" i="5"/>
  <c r="AL110" i="5"/>
  <c r="AK86" i="5"/>
  <c r="AL86" i="5"/>
  <c r="AK153" i="5"/>
  <c r="AL153" i="5"/>
  <c r="AL136" i="5"/>
  <c r="AK136" i="5"/>
  <c r="AK127" i="5"/>
  <c r="AL127" i="5"/>
  <c r="AK87" i="5"/>
  <c r="AL87" i="5"/>
  <c r="AK149" i="5"/>
  <c r="AL149" i="5"/>
  <c r="AP128" i="5"/>
  <c r="AK128" i="5"/>
  <c r="AL128" i="5"/>
  <c r="AK118" i="5"/>
  <c r="AL118" i="5"/>
  <c r="AK106" i="5"/>
  <c r="AL106" i="5"/>
  <c r="AK100" i="5"/>
  <c r="AL100" i="5"/>
  <c r="AK92" i="5"/>
  <c r="AL92" i="5"/>
  <c r="AK109" i="5"/>
  <c r="AL109" i="5"/>
  <c r="AK94" i="5"/>
  <c r="AL94" i="5"/>
  <c r="AK78" i="5"/>
  <c r="AL78" i="5"/>
  <c r="AK67" i="5"/>
  <c r="AL67" i="5"/>
  <c r="AK74" i="5"/>
  <c r="AL74" i="5"/>
  <c r="AK77" i="5"/>
  <c r="AL77" i="5"/>
  <c r="AK79" i="5"/>
  <c r="AL79" i="5"/>
  <c r="AL62" i="5"/>
  <c r="AK62" i="5"/>
  <c r="AK50" i="5"/>
  <c r="AL50" i="5"/>
  <c r="AK27" i="5"/>
  <c r="AL27" i="5"/>
  <c r="AK55" i="5"/>
  <c r="AL55" i="5"/>
  <c r="AK69" i="5"/>
  <c r="AL69" i="5"/>
  <c r="AK42" i="5"/>
  <c r="AL42" i="5"/>
  <c r="AL28" i="5"/>
  <c r="AK28" i="5"/>
  <c r="AK44" i="5"/>
  <c r="AL44" i="5"/>
  <c r="AK30" i="5"/>
  <c r="AL30" i="5"/>
  <c r="AK43" i="5"/>
  <c r="AL43" i="5"/>
  <c r="AL25" i="5"/>
  <c r="AK25" i="5"/>
  <c r="AH19" i="5"/>
  <c r="AI19" i="5"/>
  <c r="AP19" i="5"/>
  <c r="AI527" i="5"/>
  <c r="AH527" i="5"/>
  <c r="AP527" i="5"/>
  <c r="AI470" i="5"/>
  <c r="AH470" i="5"/>
  <c r="AP470" i="5"/>
  <c r="AH560" i="5"/>
  <c r="AI560" i="5"/>
  <c r="AP560" i="5"/>
  <c r="AI529" i="5"/>
  <c r="AH529" i="5"/>
  <c r="AP529" i="5"/>
  <c r="AI461" i="5"/>
  <c r="AH461" i="5"/>
  <c r="AP461" i="5"/>
  <c r="AP428" i="5"/>
  <c r="AI428" i="5"/>
  <c r="AH428" i="5"/>
  <c r="AI389" i="5"/>
  <c r="AP389" i="5"/>
  <c r="AH389" i="5"/>
  <c r="AI540" i="5"/>
  <c r="AH540" i="5"/>
  <c r="AP540" i="5"/>
  <c r="AH552" i="5"/>
  <c r="AI552" i="5"/>
  <c r="AP552" i="5"/>
  <c r="AI519" i="5"/>
  <c r="AH519" i="5"/>
  <c r="AP519" i="5"/>
  <c r="AI455" i="5"/>
  <c r="AH455" i="5"/>
  <c r="AP455" i="5"/>
  <c r="AP547" i="5"/>
  <c r="AI547" i="5"/>
  <c r="AH547" i="5"/>
  <c r="AI535" i="5"/>
  <c r="AH535" i="5"/>
  <c r="AP535" i="5"/>
  <c r="AH506" i="5"/>
  <c r="AP506" i="5"/>
  <c r="AI506" i="5"/>
  <c r="AI476" i="5"/>
  <c r="AP476" i="5"/>
  <c r="AH476" i="5"/>
  <c r="AI392" i="5"/>
  <c r="AP392" i="5"/>
  <c r="AH392" i="5"/>
  <c r="AH557" i="5"/>
  <c r="AI557" i="5"/>
  <c r="AP557" i="5"/>
  <c r="AI549" i="5"/>
  <c r="AH549" i="5"/>
  <c r="AP549" i="5"/>
  <c r="AI531" i="5"/>
  <c r="AH531" i="5"/>
  <c r="AP531" i="5"/>
  <c r="AI512" i="5"/>
  <c r="AH512" i="5"/>
  <c r="AP512" i="5"/>
  <c r="AI498" i="5"/>
  <c r="AP498" i="5"/>
  <c r="AH498" i="5"/>
  <c r="AI477" i="5"/>
  <c r="AH477" i="5"/>
  <c r="AP477" i="5"/>
  <c r="AI462" i="5"/>
  <c r="AH462" i="5"/>
  <c r="AP462" i="5"/>
  <c r="AH452" i="5"/>
  <c r="AP452" i="5"/>
  <c r="AI452" i="5"/>
  <c r="AI363" i="5"/>
  <c r="AH363" i="5"/>
  <c r="AP363" i="5"/>
  <c r="AI517" i="5"/>
  <c r="AH517" i="5"/>
  <c r="AP517" i="5"/>
  <c r="AI497" i="5"/>
  <c r="AH497" i="5"/>
  <c r="AP497" i="5"/>
  <c r="AI485" i="5"/>
  <c r="AH485" i="5"/>
  <c r="AP485" i="5"/>
  <c r="AI464" i="5"/>
  <c r="AP464" i="5"/>
  <c r="AH464" i="5"/>
  <c r="AP448" i="5"/>
  <c r="AI448" i="5"/>
  <c r="AH448" i="5"/>
  <c r="AP434" i="5"/>
  <c r="AI434" i="5"/>
  <c r="AH434" i="5"/>
  <c r="AI384" i="5"/>
  <c r="AP384" i="5"/>
  <c r="AH384" i="5"/>
  <c r="AP294" i="5"/>
  <c r="AI294" i="5"/>
  <c r="AH294" i="5"/>
  <c r="AI513" i="5"/>
  <c r="AH513" i="5"/>
  <c r="AP513" i="5"/>
  <c r="AH499" i="5"/>
  <c r="AP499" i="5"/>
  <c r="AI499" i="5"/>
  <c r="AH488" i="5"/>
  <c r="AP488" i="5"/>
  <c r="AI488" i="5"/>
  <c r="AI466" i="5"/>
  <c r="AP466" i="5"/>
  <c r="AH466" i="5"/>
  <c r="AP443" i="5"/>
  <c r="AI443" i="5"/>
  <c r="AH443" i="5"/>
  <c r="AI419" i="5"/>
  <c r="AP419" i="5"/>
  <c r="AH419" i="5"/>
  <c r="AI350" i="5"/>
  <c r="AH350" i="5"/>
  <c r="AP350" i="5"/>
  <c r="AH305" i="5"/>
  <c r="AP305" i="5"/>
  <c r="AI305" i="5"/>
  <c r="AP418" i="5"/>
  <c r="AI418" i="5"/>
  <c r="AH418" i="5"/>
  <c r="AI404" i="5"/>
  <c r="AH404" i="5"/>
  <c r="AP404" i="5"/>
  <c r="AI383" i="5"/>
  <c r="AP383" i="5"/>
  <c r="AH383" i="5"/>
  <c r="AP361" i="5"/>
  <c r="AI361" i="5"/>
  <c r="AH361" i="5"/>
  <c r="AI351" i="5"/>
  <c r="AP351" i="5"/>
  <c r="AH351" i="5"/>
  <c r="AH202" i="5"/>
  <c r="AI202" i="5"/>
  <c r="AP202" i="5"/>
  <c r="AI405" i="5"/>
  <c r="AP405" i="5"/>
  <c r="AH405" i="5"/>
  <c r="AI387" i="5"/>
  <c r="AP387" i="5"/>
  <c r="AH387" i="5"/>
  <c r="AI372" i="5"/>
  <c r="AH372" i="5"/>
  <c r="AP372" i="5"/>
  <c r="AI355" i="5"/>
  <c r="AH355" i="5"/>
  <c r="AP355" i="5"/>
  <c r="AI326" i="5"/>
  <c r="AH326" i="5"/>
  <c r="AP326" i="5"/>
  <c r="AH267" i="5"/>
  <c r="AI267" i="5"/>
  <c r="AP267" i="5"/>
  <c r="AI437" i="5"/>
  <c r="AP437" i="5"/>
  <c r="AH437" i="5"/>
  <c r="AI424" i="5"/>
  <c r="AH424" i="5"/>
  <c r="AP424" i="5"/>
  <c r="AI406" i="5"/>
  <c r="AH406" i="5"/>
  <c r="AP406" i="5"/>
  <c r="AI398" i="5"/>
  <c r="AH398" i="5"/>
  <c r="AP398" i="5"/>
  <c r="AI382" i="5"/>
  <c r="AH382" i="5"/>
  <c r="AP382" i="5"/>
  <c r="AI364" i="5"/>
  <c r="AP364" i="5"/>
  <c r="AH364" i="5"/>
  <c r="AH290" i="5"/>
  <c r="AP290" i="5"/>
  <c r="AI290" i="5"/>
  <c r="AI359" i="5"/>
  <c r="AP359" i="5"/>
  <c r="AH359" i="5"/>
  <c r="AI348" i="5"/>
  <c r="AH348" i="5"/>
  <c r="AP348" i="5"/>
  <c r="AI338" i="5"/>
  <c r="AH338" i="5"/>
  <c r="AP338" i="5"/>
  <c r="AH318" i="5"/>
  <c r="AP318" i="5"/>
  <c r="AI318" i="5"/>
  <c r="AP300" i="5"/>
  <c r="AH300" i="5"/>
  <c r="AI300" i="5"/>
  <c r="AP285" i="5"/>
  <c r="AI285" i="5"/>
  <c r="AH285" i="5"/>
  <c r="AI264" i="5"/>
  <c r="AH264" i="5"/>
  <c r="AP264" i="5"/>
  <c r="AH244" i="5"/>
  <c r="AI244" i="5"/>
  <c r="AP244" i="5"/>
  <c r="AH117" i="5"/>
  <c r="AI117" i="5"/>
  <c r="AP319" i="5"/>
  <c r="AI319" i="5"/>
  <c r="AH319" i="5"/>
  <c r="AP304" i="5"/>
  <c r="AI304" i="5"/>
  <c r="AH304" i="5"/>
  <c r="AH289" i="5"/>
  <c r="AP289" i="5"/>
  <c r="AI289" i="5"/>
  <c r="AH278" i="5"/>
  <c r="AI278" i="5"/>
  <c r="AP278" i="5"/>
  <c r="AP258" i="5"/>
  <c r="AH258" i="5"/>
  <c r="AI258" i="5"/>
  <c r="AP219" i="5"/>
  <c r="AH219" i="5"/>
  <c r="AI219" i="5"/>
  <c r="AI332" i="5"/>
  <c r="AP332" i="5"/>
  <c r="AH332" i="5"/>
  <c r="AP315" i="5"/>
  <c r="AH315" i="5"/>
  <c r="AI315" i="5"/>
  <c r="AH306" i="5"/>
  <c r="AP306" i="5"/>
  <c r="AI306" i="5"/>
  <c r="AP287" i="5"/>
  <c r="AH287" i="5"/>
  <c r="AI287" i="5"/>
  <c r="AH274" i="5"/>
  <c r="AI274" i="5"/>
  <c r="AP274" i="5"/>
  <c r="AI260" i="5"/>
  <c r="AH260" i="5"/>
  <c r="AP260" i="5"/>
  <c r="AH252" i="5"/>
  <c r="AI252" i="5"/>
  <c r="AP252" i="5"/>
  <c r="AH214" i="5"/>
  <c r="AI214" i="5"/>
  <c r="AP214" i="5"/>
  <c r="AH235" i="5"/>
  <c r="AI235" i="5"/>
  <c r="AP235" i="5"/>
  <c r="AI222" i="5"/>
  <c r="AH222" i="5"/>
  <c r="AP222" i="5"/>
  <c r="AH212" i="5"/>
  <c r="AI212" i="5"/>
  <c r="AP212" i="5"/>
  <c r="AH166" i="5"/>
  <c r="AI166" i="5"/>
  <c r="AP166" i="5"/>
  <c r="AI232" i="5"/>
  <c r="AH232" i="5"/>
  <c r="AP232" i="5"/>
  <c r="AI216" i="5"/>
  <c r="AH216" i="5"/>
  <c r="AP216" i="5"/>
  <c r="AH192" i="5"/>
  <c r="AI192" i="5"/>
  <c r="AP192" i="5"/>
  <c r="AH245" i="5"/>
  <c r="AI245" i="5"/>
  <c r="AP245" i="5"/>
  <c r="AH223" i="5"/>
  <c r="AP223" i="5"/>
  <c r="AI223" i="5"/>
  <c r="AI193" i="5"/>
  <c r="AH193" i="5"/>
  <c r="AH201" i="5"/>
  <c r="AP201" i="5"/>
  <c r="AI201" i="5"/>
  <c r="AH194" i="5"/>
  <c r="AI194" i="5"/>
  <c r="AP194" i="5"/>
  <c r="AH185" i="5"/>
  <c r="AI185" i="5"/>
  <c r="AP185" i="5"/>
  <c r="AH162" i="5"/>
  <c r="AI162" i="5"/>
  <c r="AP162" i="5"/>
  <c r="AP140" i="5"/>
  <c r="AH140" i="5"/>
  <c r="AI140" i="5"/>
  <c r="AH184" i="5"/>
  <c r="AI184" i="5"/>
  <c r="AP184" i="5"/>
  <c r="AI169" i="5"/>
  <c r="AH169" i="5"/>
  <c r="AP169" i="5"/>
  <c r="AI149" i="5"/>
  <c r="AH149" i="5"/>
  <c r="AP149" i="5"/>
  <c r="AH112" i="5"/>
  <c r="AI112" i="5"/>
  <c r="AP112" i="5"/>
  <c r="AH178" i="5"/>
  <c r="AI178" i="5"/>
  <c r="AP178" i="5"/>
  <c r="AH158" i="5"/>
  <c r="AP158" i="5"/>
  <c r="AI158" i="5"/>
  <c r="AH144" i="5"/>
  <c r="AP144" i="5"/>
  <c r="AI144" i="5"/>
  <c r="AI116" i="5"/>
  <c r="AH116" i="5"/>
  <c r="AP116" i="5"/>
  <c r="AH146" i="5"/>
  <c r="AI146" i="5"/>
  <c r="AP146" i="5"/>
  <c r="AH134" i="5"/>
  <c r="AP134" i="5"/>
  <c r="AI134" i="5"/>
  <c r="AH119" i="5"/>
  <c r="AI119" i="5"/>
  <c r="AP99" i="5"/>
  <c r="AH99" i="5"/>
  <c r="AI99" i="5"/>
  <c r="AH148" i="5"/>
  <c r="AI148" i="5"/>
  <c r="AP148" i="5"/>
  <c r="AI104" i="5"/>
  <c r="AH104" i="5"/>
  <c r="AP104" i="5"/>
  <c r="AH143" i="5"/>
  <c r="AI143" i="5"/>
  <c r="AP143" i="5"/>
  <c r="AH127" i="5"/>
  <c r="AI127" i="5"/>
  <c r="AI113" i="5"/>
  <c r="AH113" i="5"/>
  <c r="AP113" i="5"/>
  <c r="AI101" i="5"/>
  <c r="AH101" i="5"/>
  <c r="AP101" i="5"/>
  <c r="AI82" i="5"/>
  <c r="AP82" i="5"/>
  <c r="AH82" i="5"/>
  <c r="AI105" i="5"/>
  <c r="AH105" i="5"/>
  <c r="AP105" i="5"/>
  <c r="AH97" i="5"/>
  <c r="AI97" i="5"/>
  <c r="AP97" i="5"/>
  <c r="AI94" i="5"/>
  <c r="AH94" i="5"/>
  <c r="AP94" i="5"/>
  <c r="AI81" i="5"/>
  <c r="AH81" i="5"/>
  <c r="AP81" i="5"/>
  <c r="AH72" i="5"/>
  <c r="AI72" i="5"/>
  <c r="AP72" i="5"/>
  <c r="AI70" i="5"/>
  <c r="AP70" i="5"/>
  <c r="AH70" i="5"/>
  <c r="AI26" i="5"/>
  <c r="AH26" i="5"/>
  <c r="AP26" i="5"/>
  <c r="AH58" i="5"/>
  <c r="AP58" i="5"/>
  <c r="AI58" i="5"/>
  <c r="AH67" i="5"/>
  <c r="AI67" i="5"/>
  <c r="AP67" i="5"/>
  <c r="AH56" i="5"/>
  <c r="AI56" i="5"/>
  <c r="AP56" i="5"/>
  <c r="AI57" i="5"/>
  <c r="AH57" i="5"/>
  <c r="AP57" i="5"/>
  <c r="AH37" i="5"/>
  <c r="AI37" i="5"/>
  <c r="AP37" i="5"/>
  <c r="AH48" i="5"/>
  <c r="AP48" i="5"/>
  <c r="AI48" i="5"/>
  <c r="AH36" i="5"/>
  <c r="AI36" i="5"/>
  <c r="AP36" i="5"/>
  <c r="AI45" i="5"/>
  <c r="AH45" i="5"/>
  <c r="AP45" i="5"/>
  <c r="AP28" i="5"/>
  <c r="AI28" i="5"/>
  <c r="AH28" i="5"/>
  <c r="AP44" i="5"/>
  <c r="AH44" i="5"/>
  <c r="AI44" i="5"/>
  <c r="AI30" i="5"/>
  <c r="AH30" i="5"/>
  <c r="AP30" i="5"/>
  <c r="AN19" i="5"/>
  <c r="AO19" i="5"/>
  <c r="AN464" i="5"/>
  <c r="AO464" i="5"/>
  <c r="AN559" i="5"/>
  <c r="AO559" i="5"/>
  <c r="AN541" i="5"/>
  <c r="AO541" i="5"/>
  <c r="AO501" i="5"/>
  <c r="AN501" i="5"/>
  <c r="AO407" i="5"/>
  <c r="AN407" i="5"/>
  <c r="AO544" i="5"/>
  <c r="AN544" i="5"/>
  <c r="AO448" i="5"/>
  <c r="AN448" i="5"/>
  <c r="AO558" i="5"/>
  <c r="AN558" i="5"/>
  <c r="AN548" i="5"/>
  <c r="AO548" i="5"/>
  <c r="AO529" i="5"/>
  <c r="AN529" i="5"/>
  <c r="AO513" i="5"/>
  <c r="AN513" i="5"/>
  <c r="AN425" i="5"/>
  <c r="AO425" i="5"/>
  <c r="AO229" i="5"/>
  <c r="AN229" i="5"/>
  <c r="AN545" i="5"/>
  <c r="AO545" i="5"/>
  <c r="AN522" i="5"/>
  <c r="AO522" i="5"/>
  <c r="AN509" i="5"/>
  <c r="AO509" i="5"/>
  <c r="AN502" i="5"/>
  <c r="AO502" i="5"/>
  <c r="AO494" i="5"/>
  <c r="AN494" i="5"/>
  <c r="AN488" i="5"/>
  <c r="AO488" i="5"/>
  <c r="AN479" i="5"/>
  <c r="AO479" i="5"/>
  <c r="AN466" i="5"/>
  <c r="AO466" i="5"/>
  <c r="AO453" i="5"/>
  <c r="AN453" i="5"/>
  <c r="AN441" i="5"/>
  <c r="AO441" i="5"/>
  <c r="AO405" i="5"/>
  <c r="AN405" i="5"/>
  <c r="AO353" i="5"/>
  <c r="AN353" i="5"/>
  <c r="AO516" i="5"/>
  <c r="AN516" i="5"/>
  <c r="AO507" i="5"/>
  <c r="AN507" i="5"/>
  <c r="AO480" i="5"/>
  <c r="AN480" i="5"/>
  <c r="AN468" i="5"/>
  <c r="AO468" i="5"/>
  <c r="AO461" i="5"/>
  <c r="AN461" i="5"/>
  <c r="AO429" i="5"/>
  <c r="AN429" i="5"/>
  <c r="AN403" i="5"/>
  <c r="AO403" i="5"/>
  <c r="AO382" i="5"/>
  <c r="AN382" i="5"/>
  <c r="AO531" i="5"/>
  <c r="AN531" i="5"/>
  <c r="AN504" i="5"/>
  <c r="AO504" i="5"/>
  <c r="AO478" i="5"/>
  <c r="AN478" i="5"/>
  <c r="AN460" i="5"/>
  <c r="AO460" i="5"/>
  <c r="AN452" i="5"/>
  <c r="AO452" i="5"/>
  <c r="AN368" i="5"/>
  <c r="AO368" i="5"/>
  <c r="AN416" i="5"/>
  <c r="AO416" i="5"/>
  <c r="AN398" i="5"/>
  <c r="AO398" i="5"/>
  <c r="AN378" i="5"/>
  <c r="AO378" i="5"/>
  <c r="AN364" i="5"/>
  <c r="AO364" i="5"/>
  <c r="AO342" i="5"/>
  <c r="AN342" i="5"/>
  <c r="AN333" i="5"/>
  <c r="AO333" i="5"/>
  <c r="AO280" i="5"/>
  <c r="AN280" i="5"/>
  <c r="AN245" i="5"/>
  <c r="AO245" i="5"/>
  <c r="AO417" i="5"/>
  <c r="AN417" i="5"/>
  <c r="AO399" i="5"/>
  <c r="AN399" i="5"/>
  <c r="AN386" i="5"/>
  <c r="AO386" i="5"/>
  <c r="AN375" i="5"/>
  <c r="AO375" i="5"/>
  <c r="AO361" i="5"/>
  <c r="AN361" i="5"/>
  <c r="AN345" i="5"/>
  <c r="AO345" i="5"/>
  <c r="AO277" i="5"/>
  <c r="AN277" i="5"/>
  <c r="AN440" i="5"/>
  <c r="AO440" i="5"/>
  <c r="AN428" i="5"/>
  <c r="AO428" i="5"/>
  <c r="AN411" i="5"/>
  <c r="AO411" i="5"/>
  <c r="AO393" i="5"/>
  <c r="AN393" i="5"/>
  <c r="AN373" i="5"/>
  <c r="AO373" i="5"/>
  <c r="AO352" i="5"/>
  <c r="AN352" i="5"/>
  <c r="AO316" i="5"/>
  <c r="AN316" i="5"/>
  <c r="AO218" i="5"/>
  <c r="AN218" i="5"/>
  <c r="AN351" i="5"/>
  <c r="AO351" i="5"/>
  <c r="AN339" i="5"/>
  <c r="AO339" i="5"/>
  <c r="AO329" i="5"/>
  <c r="AN329" i="5"/>
  <c r="AN315" i="5"/>
  <c r="AO315" i="5"/>
  <c r="AN309" i="5"/>
  <c r="AO309" i="5"/>
  <c r="AO295" i="5"/>
  <c r="AN295" i="5"/>
  <c r="AN268" i="5"/>
  <c r="AO268" i="5"/>
  <c r="AO255" i="5"/>
  <c r="AN255" i="5"/>
  <c r="AO241" i="5"/>
  <c r="AN241" i="5"/>
  <c r="AN188" i="5"/>
  <c r="AO188" i="5"/>
  <c r="AN317" i="5"/>
  <c r="AO317" i="5"/>
  <c r="AO290" i="5"/>
  <c r="AN290" i="5"/>
  <c r="AO269" i="5"/>
  <c r="AN269" i="5"/>
  <c r="AO247" i="5"/>
  <c r="AN247" i="5"/>
  <c r="AN323" i="5"/>
  <c r="AO323" i="5"/>
  <c r="AO303" i="5"/>
  <c r="AN303" i="5"/>
  <c r="AN288" i="5"/>
  <c r="AO288" i="5"/>
  <c r="AO279" i="5"/>
  <c r="AN279" i="5"/>
  <c r="AN266" i="5"/>
  <c r="AO266" i="5"/>
  <c r="AO246" i="5"/>
  <c r="AN246" i="5"/>
  <c r="AN191" i="5"/>
  <c r="AO191" i="5"/>
  <c r="AO237" i="5"/>
  <c r="AN237" i="5"/>
  <c r="AN202" i="5"/>
  <c r="AO202" i="5"/>
  <c r="AO184" i="5"/>
  <c r="AN184" i="5"/>
  <c r="AO242" i="5"/>
  <c r="AN242" i="5"/>
  <c r="AN226" i="5"/>
  <c r="AO226" i="5"/>
  <c r="AN214" i="5"/>
  <c r="AO214" i="5"/>
  <c r="AO196" i="5"/>
  <c r="AN196" i="5"/>
  <c r="AO179" i="5"/>
  <c r="AN179" i="5"/>
  <c r="AO230" i="5"/>
  <c r="AN230" i="5"/>
  <c r="AN213" i="5"/>
  <c r="AO213" i="5"/>
  <c r="AO190" i="5"/>
  <c r="AN190" i="5"/>
  <c r="AO136" i="5"/>
  <c r="AN136" i="5"/>
  <c r="AO201" i="5"/>
  <c r="AN201" i="5"/>
  <c r="AN183" i="5"/>
  <c r="AO183" i="5"/>
  <c r="AN158" i="5"/>
  <c r="AO158" i="5"/>
  <c r="AO134" i="5"/>
  <c r="AN134" i="5"/>
  <c r="AN180" i="5"/>
  <c r="AO180" i="5"/>
  <c r="AN166" i="5"/>
  <c r="AO166" i="5"/>
  <c r="AN150" i="5"/>
  <c r="AO150" i="5"/>
  <c r="AO177" i="5"/>
  <c r="AN177" i="5"/>
  <c r="AO163" i="5"/>
  <c r="AN163" i="5"/>
  <c r="AO101" i="5"/>
  <c r="AN101" i="5"/>
  <c r="AO139" i="5"/>
  <c r="AN139" i="5"/>
  <c r="AN119" i="5"/>
  <c r="AO119" i="5"/>
  <c r="AN154" i="5"/>
  <c r="AO154" i="5"/>
  <c r="AN138" i="5"/>
  <c r="AO138" i="5"/>
  <c r="AN126" i="5"/>
  <c r="AO126" i="5"/>
  <c r="AN117" i="5"/>
  <c r="AO117" i="5"/>
  <c r="AN100" i="5"/>
  <c r="AO100" i="5"/>
  <c r="AO144" i="5"/>
  <c r="AN144" i="5"/>
  <c r="AN121" i="5"/>
  <c r="AO121" i="5"/>
  <c r="AN94" i="5"/>
  <c r="AO94" i="5"/>
  <c r="AO86" i="5"/>
  <c r="AN86" i="5"/>
  <c r="AO74" i="5"/>
  <c r="AN74" i="5"/>
  <c r="AO95" i="5"/>
  <c r="AN95" i="5"/>
  <c r="AO89" i="5"/>
  <c r="AN89" i="5"/>
  <c r="AO84" i="5"/>
  <c r="AN84" i="5"/>
  <c r="AO76" i="5"/>
  <c r="AN76" i="5"/>
  <c r="AN59" i="5"/>
  <c r="AO59" i="5"/>
  <c r="AN75" i="5"/>
  <c r="AO75" i="5"/>
  <c r="AO78" i="5"/>
  <c r="AN78" i="5"/>
  <c r="AO54" i="5"/>
  <c r="AN54" i="5"/>
  <c r="AN55" i="5"/>
  <c r="AO55" i="5"/>
  <c r="AN52" i="5"/>
  <c r="AO52" i="5"/>
  <c r="AO21" i="5"/>
  <c r="AN21" i="5"/>
  <c r="AO64" i="5"/>
  <c r="AN64" i="5"/>
  <c r="AO35" i="5"/>
  <c r="AN35" i="5"/>
  <c r="AO44" i="5"/>
  <c r="AN44" i="5"/>
  <c r="AO30" i="5"/>
  <c r="AN30" i="5"/>
  <c r="AN31" i="5"/>
  <c r="AO31" i="5"/>
  <c r="AN22" i="5"/>
  <c r="AO22" i="5"/>
  <c r="AN34" i="5"/>
  <c r="AO34" i="5"/>
  <c r="AP127" i="5"/>
  <c r="B26" i="5"/>
  <c r="B13" i="5"/>
  <c r="B21" i="3"/>
  <c r="B22" i="3" s="1"/>
  <c r="B11" i="2"/>
  <c r="H15" i="1" s="1"/>
  <c r="B18" i="2"/>
  <c r="B40" i="2" s="1"/>
  <c r="B269" i="2" s="1"/>
  <c r="B17" i="2"/>
  <c r="B184" i="2" l="1"/>
  <c r="AM134" i="4"/>
  <c r="AM118" i="4"/>
  <c r="AM70" i="4"/>
  <c r="AM54" i="4"/>
  <c r="AM141" i="4"/>
  <c r="AM125" i="4"/>
  <c r="AM77" i="4"/>
  <c r="AM61" i="4"/>
  <c r="AM143" i="4"/>
  <c r="AM127" i="4"/>
  <c r="AM79" i="4"/>
  <c r="AM63" i="4"/>
  <c r="AM148" i="4"/>
  <c r="AM116" i="4"/>
  <c r="AM84" i="4"/>
  <c r="AM52" i="4"/>
  <c r="AM20" i="4"/>
  <c r="AM27" i="4"/>
  <c r="AM155" i="4"/>
  <c r="AM139" i="4"/>
  <c r="AM123" i="4"/>
  <c r="AM107" i="4"/>
  <c r="AM91" i="4"/>
  <c r="AM75" i="4"/>
  <c r="AM59" i="4"/>
  <c r="AM43" i="4"/>
  <c r="AM10" i="4"/>
  <c r="AM144" i="4"/>
  <c r="AM128" i="4"/>
  <c r="AM112" i="4"/>
  <c r="AM96" i="4"/>
  <c r="AM80" i="4"/>
  <c r="AM64" i="4"/>
  <c r="AM48" i="4"/>
  <c r="AM12" i="4"/>
  <c r="AM146" i="4"/>
  <c r="AM130" i="4"/>
  <c r="AM114" i="4"/>
  <c r="AM98" i="4"/>
  <c r="AM82" i="4"/>
  <c r="AM66" i="4"/>
  <c r="AM50" i="4"/>
  <c r="AM24" i="4"/>
  <c r="AM153" i="4"/>
  <c r="AM137" i="4"/>
  <c r="AM121" i="4"/>
  <c r="AM105" i="4"/>
  <c r="AM89" i="4"/>
  <c r="AM73" i="4"/>
  <c r="AM57" i="4"/>
  <c r="AM34" i="4"/>
  <c r="AM28" i="4"/>
  <c r="AM37" i="4"/>
  <c r="AM29" i="4"/>
  <c r="AM21" i="4"/>
  <c r="AM102" i="4"/>
  <c r="AM40" i="4"/>
  <c r="AM109" i="4"/>
  <c r="AM45" i="4"/>
  <c r="AM111" i="4"/>
  <c r="AM47" i="4"/>
  <c r="AM132" i="4"/>
  <c r="AM68" i="4"/>
  <c r="AM35" i="4"/>
  <c r="AM19" i="4"/>
  <c r="AM7" i="4"/>
  <c r="AM13" i="4"/>
  <c r="AM147" i="4"/>
  <c r="AM131" i="4"/>
  <c r="AM115" i="4"/>
  <c r="AM99" i="4"/>
  <c r="AM83" i="4"/>
  <c r="AM67" i="4"/>
  <c r="AM51" i="4"/>
  <c r="AM26" i="4"/>
  <c r="AM152" i="4"/>
  <c r="AM136" i="4"/>
  <c r="AM120" i="4"/>
  <c r="AM104" i="4"/>
  <c r="AM88" i="4"/>
  <c r="AM72" i="4"/>
  <c r="AM56" i="4"/>
  <c r="AM32" i="4"/>
  <c r="AM154" i="4"/>
  <c r="AM138" i="4"/>
  <c r="AM122" i="4"/>
  <c r="AM106" i="4"/>
  <c r="AM90" i="4"/>
  <c r="AM74" i="4"/>
  <c r="AM58" i="4"/>
  <c r="AM42" i="4"/>
  <c r="AM11" i="4"/>
  <c r="AM145" i="4"/>
  <c r="AM129" i="4"/>
  <c r="AM113" i="4"/>
  <c r="AM97" i="4"/>
  <c r="AM81" i="4"/>
  <c r="AM65" i="4"/>
  <c r="AM49" i="4"/>
  <c r="AM16" i="4"/>
  <c r="AM41" i="4"/>
  <c r="AM33" i="4"/>
  <c r="AM25" i="4"/>
  <c r="AM17" i="4"/>
  <c r="AM150" i="4"/>
  <c r="AM86" i="4"/>
  <c r="AM157" i="4"/>
  <c r="AM93" i="4"/>
  <c r="AM9" i="4"/>
  <c r="AM95" i="4"/>
  <c r="AM14" i="4"/>
  <c r="AM100" i="4"/>
  <c r="AM30" i="4"/>
  <c r="AM8" i="4"/>
  <c r="AM142" i="4"/>
  <c r="AM126" i="4"/>
  <c r="AM110" i="4"/>
  <c r="AM94" i="4"/>
  <c r="AM78" i="4"/>
  <c r="AM62" i="4"/>
  <c r="AM46" i="4"/>
  <c r="AM22" i="4"/>
  <c r="AM149" i="4"/>
  <c r="AM133" i="4"/>
  <c r="AM117" i="4"/>
  <c r="AM101" i="4"/>
  <c r="AM85" i="4"/>
  <c r="AM69" i="4"/>
  <c r="AM53" i="4"/>
  <c r="AM18" i="4"/>
  <c r="AM151" i="4"/>
  <c r="AM135" i="4"/>
  <c r="AM119" i="4"/>
  <c r="AM103" i="4"/>
  <c r="AM87" i="4"/>
  <c r="AM71" i="4"/>
  <c r="AM55" i="4"/>
  <c r="AM38" i="4"/>
  <c r="AM156" i="4"/>
  <c r="AM140" i="4"/>
  <c r="AM124" i="4"/>
  <c r="AM108" i="4"/>
  <c r="AM92" i="4"/>
  <c r="AM76" i="4"/>
  <c r="AM60" i="4"/>
  <c r="AM44" i="4"/>
  <c r="AM36" i="4"/>
  <c r="AM39" i="4"/>
  <c r="AM31" i="4"/>
  <c r="AM23" i="4"/>
  <c r="AM15" i="4"/>
  <c r="B53" i="10"/>
  <c r="B55" i="10" s="1"/>
  <c r="Z263" i="10" s="1"/>
  <c r="B228" i="2"/>
  <c r="B267" i="2"/>
  <c r="AH13" i="10"/>
  <c r="AI13" i="10"/>
  <c r="AL12" i="10"/>
  <c r="AK12" i="10"/>
  <c r="AK13" i="10"/>
  <c r="AL13" i="10"/>
  <c r="AR12" i="10"/>
  <c r="AQ12" i="10"/>
  <c r="AR13" i="10"/>
  <c r="AQ13" i="10"/>
  <c r="AI12" i="10"/>
  <c r="AH12" i="10"/>
  <c r="AO13" i="10"/>
  <c r="AN13" i="10"/>
  <c r="AS13" i="10"/>
  <c r="AN12" i="10"/>
  <c r="AO12" i="10"/>
  <c r="AS12" i="10"/>
  <c r="AM10" i="10"/>
  <c r="AJ10" i="10"/>
  <c r="AG10" i="10"/>
  <c r="T10" i="10"/>
  <c r="AP10" i="10"/>
  <c r="V7" i="10"/>
  <c r="U7" i="10"/>
  <c r="B17" i="10"/>
  <c r="B45" i="10" s="1"/>
  <c r="B271" i="2"/>
  <c r="U13" i="10"/>
  <c r="V13" i="10"/>
  <c r="V12" i="10"/>
  <c r="U12" i="10"/>
  <c r="V8" i="10"/>
  <c r="U8" i="10"/>
  <c r="U436" i="10"/>
  <c r="V436" i="10"/>
  <c r="V256" i="10"/>
  <c r="U256" i="10"/>
  <c r="V69" i="10"/>
  <c r="U69" i="10"/>
  <c r="V40" i="10"/>
  <c r="U40" i="10"/>
  <c r="V405" i="10"/>
  <c r="U405" i="10"/>
  <c r="U353" i="10"/>
  <c r="V353" i="10"/>
  <c r="U169" i="10"/>
  <c r="V169" i="10"/>
  <c r="V150" i="10"/>
  <c r="U150" i="10"/>
  <c r="U45" i="10"/>
  <c r="V45" i="10"/>
  <c r="U282" i="10"/>
  <c r="V282" i="10"/>
  <c r="U480" i="10"/>
  <c r="V480" i="10"/>
  <c r="U290" i="10"/>
  <c r="V290" i="10"/>
  <c r="V128" i="10"/>
  <c r="U128" i="10"/>
  <c r="V68" i="10"/>
  <c r="U68" i="10"/>
  <c r="V130" i="10"/>
  <c r="U130" i="10"/>
  <c r="U305" i="10"/>
  <c r="V305" i="10"/>
  <c r="V513" i="10"/>
  <c r="U513" i="10"/>
  <c r="U350" i="10"/>
  <c r="V350" i="10"/>
  <c r="U262" i="10"/>
  <c r="V262" i="10"/>
  <c r="V300" i="10"/>
  <c r="U300" i="10"/>
  <c r="V126" i="10"/>
  <c r="U126" i="10"/>
  <c r="U83" i="10"/>
  <c r="V83" i="10"/>
  <c r="V203" i="10"/>
  <c r="U203" i="10"/>
  <c r="V121" i="10"/>
  <c r="U121" i="10"/>
  <c r="V183" i="10"/>
  <c r="U183" i="10"/>
  <c r="U253" i="10"/>
  <c r="V253" i="10"/>
  <c r="U277" i="10"/>
  <c r="V277" i="10"/>
  <c r="V312" i="10"/>
  <c r="U312" i="10"/>
  <c r="U119" i="10"/>
  <c r="V119" i="10"/>
  <c r="V211" i="10"/>
  <c r="U211" i="10"/>
  <c r="V323" i="10"/>
  <c r="U323" i="10"/>
  <c r="V371" i="10"/>
  <c r="U371" i="10"/>
  <c r="U406" i="10"/>
  <c r="V406" i="10"/>
  <c r="U382" i="10"/>
  <c r="V382" i="10"/>
  <c r="V466" i="10"/>
  <c r="U466" i="10"/>
  <c r="V508" i="10"/>
  <c r="U508" i="10"/>
  <c r="V541" i="10"/>
  <c r="U541" i="10"/>
  <c r="AT454" i="10"/>
  <c r="AU454" i="10"/>
  <c r="AT199" i="10"/>
  <c r="AU199" i="10"/>
  <c r="AU250" i="10"/>
  <c r="AT250" i="10"/>
  <c r="AU148" i="10"/>
  <c r="AT148" i="10"/>
  <c r="AU214" i="10"/>
  <c r="AT214" i="10"/>
  <c r="AU475" i="10"/>
  <c r="AT475" i="10"/>
  <c r="AU409" i="10"/>
  <c r="AT409" i="10"/>
  <c r="AT416" i="10"/>
  <c r="AU416" i="10"/>
  <c r="AU469" i="10"/>
  <c r="AT469" i="10"/>
  <c r="AU134" i="10"/>
  <c r="AT134" i="10"/>
  <c r="AT378" i="10"/>
  <c r="AU378" i="10"/>
  <c r="AT227" i="10"/>
  <c r="AU227" i="10"/>
  <c r="AT255" i="10"/>
  <c r="AU255" i="10"/>
  <c r="AU160" i="10"/>
  <c r="AT160" i="10"/>
  <c r="AU546" i="10"/>
  <c r="AT546" i="10"/>
  <c r="AU190" i="10"/>
  <c r="AT190" i="10"/>
  <c r="AU460" i="10"/>
  <c r="AT460" i="10"/>
  <c r="AT549" i="10"/>
  <c r="AU549" i="10"/>
  <c r="AU485" i="10"/>
  <c r="AT485" i="10"/>
  <c r="AT239" i="10"/>
  <c r="AU239" i="10"/>
  <c r="AU274" i="10"/>
  <c r="AT274" i="10"/>
  <c r="AU58" i="10"/>
  <c r="AT58" i="10"/>
  <c r="AU189" i="10"/>
  <c r="AT189" i="10"/>
  <c r="AU483" i="10"/>
  <c r="AT483" i="10"/>
  <c r="AU353" i="10"/>
  <c r="AT353" i="10"/>
  <c r="AT478" i="10"/>
  <c r="AU478" i="10"/>
  <c r="AU450" i="10"/>
  <c r="AT450" i="10"/>
  <c r="AU350" i="10"/>
  <c r="AT350" i="10"/>
  <c r="AT224" i="10"/>
  <c r="AU224" i="10"/>
  <c r="AT514" i="10"/>
  <c r="AU514" i="10"/>
  <c r="AU142" i="10"/>
  <c r="AT142" i="10"/>
  <c r="AU456" i="10"/>
  <c r="AT456" i="10"/>
  <c r="AU535" i="10"/>
  <c r="AT535" i="10"/>
  <c r="AU497" i="10"/>
  <c r="AT497" i="10"/>
  <c r="V505" i="10"/>
  <c r="U505" i="10"/>
  <c r="V419" i="10"/>
  <c r="U419" i="10"/>
  <c r="V393" i="10"/>
  <c r="U393" i="10"/>
  <c r="V132" i="10"/>
  <c r="U132" i="10"/>
  <c r="V100" i="10"/>
  <c r="U100" i="10"/>
  <c r="V280" i="10"/>
  <c r="U280" i="10"/>
  <c r="V248" i="10"/>
  <c r="U248" i="10"/>
  <c r="V39" i="10"/>
  <c r="U39" i="10"/>
  <c r="V196" i="10"/>
  <c r="U196" i="10"/>
  <c r="V166" i="10"/>
  <c r="U166" i="10"/>
  <c r="V106" i="10"/>
  <c r="U106" i="10"/>
  <c r="V49" i="10"/>
  <c r="U49" i="10"/>
  <c r="U559" i="10"/>
  <c r="V559" i="10"/>
  <c r="U515" i="10"/>
  <c r="V515" i="10"/>
  <c r="V516" i="10"/>
  <c r="U516" i="10"/>
  <c r="U494" i="10"/>
  <c r="V494" i="10"/>
  <c r="V415" i="10"/>
  <c r="U415" i="10"/>
  <c r="V389" i="10"/>
  <c r="U389" i="10"/>
  <c r="U338" i="10"/>
  <c r="V338" i="10"/>
  <c r="V465" i="10"/>
  <c r="U465" i="10"/>
  <c r="U345" i="10"/>
  <c r="V345" i="10"/>
  <c r="U313" i="10"/>
  <c r="V313" i="10"/>
  <c r="U254" i="10"/>
  <c r="V254" i="10"/>
  <c r="V387" i="10"/>
  <c r="U387" i="10"/>
  <c r="V152" i="10"/>
  <c r="U152" i="10"/>
  <c r="V180" i="10"/>
  <c r="U180" i="10"/>
  <c r="V210" i="10"/>
  <c r="U210" i="10"/>
  <c r="V31" i="10"/>
  <c r="U31" i="10"/>
  <c r="V134" i="10"/>
  <c r="U134" i="10"/>
  <c r="U57" i="10"/>
  <c r="V57" i="10"/>
  <c r="U38" i="10"/>
  <c r="V38" i="10"/>
  <c r="V21" i="10"/>
  <c r="U21" i="10"/>
  <c r="V522" i="10"/>
  <c r="U522" i="10"/>
  <c r="V444" i="10"/>
  <c r="U444" i="10"/>
  <c r="U250" i="10"/>
  <c r="V250" i="10"/>
  <c r="U558" i="10"/>
  <c r="V558" i="10"/>
  <c r="V528" i="10"/>
  <c r="U528" i="10"/>
  <c r="V489" i="10"/>
  <c r="U489" i="10"/>
  <c r="U476" i="10"/>
  <c r="V476" i="10"/>
  <c r="V483" i="10"/>
  <c r="U483" i="10"/>
  <c r="V411" i="10"/>
  <c r="U411" i="10"/>
  <c r="V401" i="10"/>
  <c r="U401" i="10"/>
  <c r="U274" i="10"/>
  <c r="V274" i="10"/>
  <c r="U221" i="10"/>
  <c r="V221" i="10"/>
  <c r="U165" i="10"/>
  <c r="V165" i="10"/>
  <c r="V120" i="10"/>
  <c r="U120" i="10"/>
  <c r="V168" i="10"/>
  <c r="U168" i="10"/>
  <c r="V268" i="10"/>
  <c r="U268" i="10"/>
  <c r="V222" i="10"/>
  <c r="U222" i="10"/>
  <c r="U58" i="10"/>
  <c r="V58" i="10"/>
  <c r="V208" i="10"/>
  <c r="U208" i="10"/>
  <c r="V170" i="10"/>
  <c r="U170" i="10"/>
  <c r="V114" i="10"/>
  <c r="U114" i="10"/>
  <c r="V70" i="10"/>
  <c r="U70" i="10"/>
  <c r="V546" i="10"/>
  <c r="U546" i="10"/>
  <c r="V363" i="10"/>
  <c r="U363" i="10"/>
  <c r="U213" i="10"/>
  <c r="V213" i="10"/>
  <c r="V548" i="10"/>
  <c r="U548" i="10"/>
  <c r="U510" i="10"/>
  <c r="V510" i="10"/>
  <c r="U506" i="10"/>
  <c r="V506" i="10"/>
  <c r="U460" i="10"/>
  <c r="V460" i="10"/>
  <c r="U432" i="10"/>
  <c r="V432" i="10"/>
  <c r="V407" i="10"/>
  <c r="U407" i="10"/>
  <c r="V413" i="10"/>
  <c r="U413" i="10"/>
  <c r="U342" i="10"/>
  <c r="V342" i="10"/>
  <c r="U310" i="10"/>
  <c r="V310" i="10"/>
  <c r="U341" i="10"/>
  <c r="V341" i="10"/>
  <c r="U309" i="10"/>
  <c r="V309" i="10"/>
  <c r="U246" i="10"/>
  <c r="V246" i="10"/>
  <c r="U193" i="10"/>
  <c r="V193" i="10"/>
  <c r="V202" i="10"/>
  <c r="U202" i="10"/>
  <c r="V234" i="10"/>
  <c r="U234" i="10"/>
  <c r="V61" i="10"/>
  <c r="U61" i="10"/>
  <c r="V204" i="10"/>
  <c r="U204" i="10"/>
  <c r="V110" i="10"/>
  <c r="U110" i="10"/>
  <c r="V37" i="10"/>
  <c r="U37" i="10"/>
  <c r="V24" i="10"/>
  <c r="U24" i="10"/>
  <c r="V44" i="10"/>
  <c r="U44" i="10"/>
  <c r="U67" i="10"/>
  <c r="V67" i="10"/>
  <c r="U87" i="10"/>
  <c r="V87" i="10"/>
  <c r="V53" i="10"/>
  <c r="U53" i="10"/>
  <c r="U63" i="10"/>
  <c r="V63" i="10"/>
  <c r="V51" i="10"/>
  <c r="U51" i="10"/>
  <c r="U77" i="10"/>
  <c r="V77" i="10"/>
  <c r="U93" i="10"/>
  <c r="V93" i="10"/>
  <c r="V109" i="10"/>
  <c r="U109" i="10"/>
  <c r="V125" i="10"/>
  <c r="U125" i="10"/>
  <c r="V141" i="10"/>
  <c r="U141" i="10"/>
  <c r="V157" i="10"/>
  <c r="U157" i="10"/>
  <c r="V171" i="10"/>
  <c r="U171" i="10"/>
  <c r="V187" i="10"/>
  <c r="U187" i="10"/>
  <c r="V220" i="10"/>
  <c r="U220" i="10"/>
  <c r="V236" i="10"/>
  <c r="U236" i="10"/>
  <c r="U247" i="10"/>
  <c r="V247" i="10"/>
  <c r="U255" i="10"/>
  <c r="V255" i="10"/>
  <c r="U263" i="10"/>
  <c r="V263" i="10"/>
  <c r="U271" i="10"/>
  <c r="V271" i="10"/>
  <c r="U279" i="10"/>
  <c r="V279" i="10"/>
  <c r="U287" i="10"/>
  <c r="V287" i="10"/>
  <c r="U295" i="10"/>
  <c r="V295" i="10"/>
  <c r="V316" i="10"/>
  <c r="U316" i="10"/>
  <c r="V332" i="10"/>
  <c r="U332" i="10"/>
  <c r="V348" i="10"/>
  <c r="U348" i="10"/>
  <c r="U107" i="10"/>
  <c r="V107" i="10"/>
  <c r="U123" i="10"/>
  <c r="V123" i="10"/>
  <c r="U139" i="10"/>
  <c r="V139" i="10"/>
  <c r="U155" i="10"/>
  <c r="V155" i="10"/>
  <c r="V215" i="10"/>
  <c r="U215" i="10"/>
  <c r="V231" i="10"/>
  <c r="U231" i="10"/>
  <c r="U372" i="10"/>
  <c r="V372" i="10"/>
  <c r="V311" i="10"/>
  <c r="U311" i="10"/>
  <c r="V327" i="10"/>
  <c r="U327" i="10"/>
  <c r="V343" i="10"/>
  <c r="U343" i="10"/>
  <c r="V359" i="10"/>
  <c r="U359" i="10"/>
  <c r="U368" i="10"/>
  <c r="V368" i="10"/>
  <c r="V307" i="10"/>
  <c r="U307" i="10"/>
  <c r="V375" i="10"/>
  <c r="U375" i="10"/>
  <c r="U394" i="10"/>
  <c r="V394" i="10"/>
  <c r="U410" i="10"/>
  <c r="V410" i="10"/>
  <c r="U426" i="10"/>
  <c r="V426" i="10"/>
  <c r="V447" i="10"/>
  <c r="U447" i="10"/>
  <c r="V370" i="10"/>
  <c r="U370" i="10"/>
  <c r="U388" i="10"/>
  <c r="V388" i="10"/>
  <c r="U404" i="10"/>
  <c r="V404" i="10"/>
  <c r="U420" i="10"/>
  <c r="V420" i="10"/>
  <c r="V454" i="10"/>
  <c r="U454" i="10"/>
  <c r="U441" i="10"/>
  <c r="V441" i="10"/>
  <c r="V474" i="10"/>
  <c r="U474" i="10"/>
  <c r="V442" i="10"/>
  <c r="U442" i="10"/>
  <c r="U498" i="10"/>
  <c r="V498" i="10"/>
  <c r="U496" i="10"/>
  <c r="V496" i="10"/>
  <c r="V512" i="10"/>
  <c r="U512" i="10"/>
  <c r="V529" i="10"/>
  <c r="U529" i="10"/>
  <c r="U527" i="10"/>
  <c r="V527" i="10"/>
  <c r="V549" i="10"/>
  <c r="U549" i="10"/>
  <c r="V552" i="10"/>
  <c r="U552" i="10"/>
  <c r="AU559" i="10"/>
  <c r="AT559" i="10"/>
  <c r="AT560" i="10"/>
  <c r="AU560" i="10"/>
  <c r="AU507" i="10"/>
  <c r="AT507" i="10"/>
  <c r="AT470" i="10"/>
  <c r="AU470" i="10"/>
  <c r="AU477" i="10"/>
  <c r="AT477" i="10"/>
  <c r="AT382" i="10"/>
  <c r="AU382" i="10"/>
  <c r="AU427" i="10"/>
  <c r="AT427" i="10"/>
  <c r="AT327" i="10"/>
  <c r="AU327" i="10"/>
  <c r="AT231" i="10"/>
  <c r="AU231" i="10"/>
  <c r="AU330" i="10"/>
  <c r="AT330" i="10"/>
  <c r="AU266" i="10"/>
  <c r="AT266" i="10"/>
  <c r="AT259" i="10"/>
  <c r="AU259" i="10"/>
  <c r="AT161" i="10"/>
  <c r="AU161" i="10"/>
  <c r="AT188" i="10"/>
  <c r="AU188" i="10"/>
  <c r="AU43" i="10"/>
  <c r="AT43" i="10"/>
  <c r="AU100" i="10"/>
  <c r="AT100" i="10"/>
  <c r="AU54" i="10"/>
  <c r="AT54" i="10"/>
  <c r="AU170" i="10"/>
  <c r="AT170" i="10"/>
  <c r="AU308" i="10"/>
  <c r="AT308" i="10"/>
  <c r="AU532" i="10"/>
  <c r="AT532" i="10"/>
  <c r="AU37" i="10"/>
  <c r="AT37" i="10"/>
  <c r="AU234" i="10"/>
  <c r="AT234" i="10"/>
  <c r="AT197" i="10"/>
  <c r="AU197" i="10"/>
  <c r="AU491" i="10"/>
  <c r="AT491" i="10"/>
  <c r="AU513" i="10"/>
  <c r="AT513" i="10"/>
  <c r="AU547" i="10"/>
  <c r="AT547" i="10"/>
  <c r="AU74" i="10"/>
  <c r="AT74" i="10"/>
  <c r="AU182" i="10"/>
  <c r="AT182" i="10"/>
  <c r="AU70" i="10"/>
  <c r="AT70" i="10"/>
  <c r="AU242" i="10"/>
  <c r="AT242" i="10"/>
  <c r="AU401" i="10"/>
  <c r="AT401" i="10"/>
  <c r="AT552" i="10"/>
  <c r="AU552" i="10"/>
  <c r="AT512" i="10"/>
  <c r="AU512" i="10"/>
  <c r="AT496" i="10"/>
  <c r="AU496" i="10"/>
  <c r="AU442" i="10"/>
  <c r="AT442" i="10"/>
  <c r="AT371" i="10"/>
  <c r="AU371" i="10"/>
  <c r="AT339" i="10"/>
  <c r="AU339" i="10"/>
  <c r="AT243" i="10"/>
  <c r="AU243" i="10"/>
  <c r="AU342" i="10"/>
  <c r="AT342" i="10"/>
  <c r="AU278" i="10"/>
  <c r="AT278" i="10"/>
  <c r="AT216" i="10"/>
  <c r="AU216" i="10"/>
  <c r="AT271" i="10"/>
  <c r="AU271" i="10"/>
  <c r="AT60" i="10"/>
  <c r="AU60" i="10"/>
  <c r="AT65" i="10"/>
  <c r="AU65" i="10"/>
  <c r="AU112" i="10"/>
  <c r="AT112" i="10"/>
  <c r="AU61" i="10"/>
  <c r="AT61" i="10"/>
  <c r="AU209" i="10"/>
  <c r="AT209" i="10"/>
  <c r="AU368" i="10"/>
  <c r="AT368" i="10"/>
  <c r="AT420" i="10"/>
  <c r="AU420" i="10"/>
  <c r="AU476" i="10"/>
  <c r="AT476" i="10"/>
  <c r="AT204" i="10"/>
  <c r="AU204" i="10"/>
  <c r="AT125" i="10"/>
  <c r="AU125" i="10"/>
  <c r="AU173" i="10"/>
  <c r="AT173" i="10"/>
  <c r="AU32" i="10"/>
  <c r="AT32" i="10"/>
  <c r="AT201" i="10"/>
  <c r="AU201" i="10"/>
  <c r="AU365" i="10"/>
  <c r="AT365" i="10"/>
  <c r="AU452" i="10"/>
  <c r="AT452" i="10"/>
  <c r="AU45" i="10"/>
  <c r="AT45" i="10"/>
  <c r="AT89" i="10"/>
  <c r="AU89" i="10"/>
  <c r="AU165" i="10"/>
  <c r="AT165" i="10"/>
  <c r="AU313" i="10"/>
  <c r="AT313" i="10"/>
  <c r="AT525" i="10"/>
  <c r="AU525" i="10"/>
  <c r="AT482" i="10"/>
  <c r="AU482" i="10"/>
  <c r="AU449" i="10"/>
  <c r="AT449" i="10"/>
  <c r="AT428" i="10"/>
  <c r="AU428" i="10"/>
  <c r="AT386" i="10"/>
  <c r="AU386" i="10"/>
  <c r="AT383" i="10"/>
  <c r="AU383" i="10"/>
  <c r="AT351" i="10"/>
  <c r="AU351" i="10"/>
  <c r="AT303" i="10"/>
  <c r="AU303" i="10"/>
  <c r="AU354" i="10"/>
  <c r="AT354" i="10"/>
  <c r="AT175" i="10"/>
  <c r="AU175" i="10"/>
  <c r="AT75" i="10"/>
  <c r="AU75" i="10"/>
  <c r="AU290" i="10"/>
  <c r="AT290" i="10"/>
  <c r="AT228" i="10"/>
  <c r="AU228" i="10"/>
  <c r="AT283" i="10"/>
  <c r="AU283" i="10"/>
  <c r="AU124" i="10"/>
  <c r="AT124" i="10"/>
  <c r="AU185" i="10"/>
  <c r="AT185" i="10"/>
  <c r="AU372" i="10"/>
  <c r="AT372" i="10"/>
  <c r="AU389" i="10"/>
  <c r="AT389" i="10"/>
  <c r="AU509" i="10"/>
  <c r="AT509" i="10"/>
  <c r="AT301" i="10"/>
  <c r="AU301" i="10"/>
  <c r="AU126" i="10"/>
  <c r="AT126" i="10"/>
  <c r="AT113" i="10"/>
  <c r="AU113" i="10"/>
  <c r="AU341" i="10"/>
  <c r="AT341" i="10"/>
  <c r="AU465" i="10"/>
  <c r="AT465" i="10"/>
  <c r="AT422" i="10"/>
  <c r="AU422" i="10"/>
  <c r="AU527" i="10"/>
  <c r="AT527" i="10"/>
  <c r="AT265" i="10"/>
  <c r="AU265" i="10"/>
  <c r="AT205" i="10"/>
  <c r="AU205" i="10"/>
  <c r="AU69" i="10"/>
  <c r="AT69" i="10"/>
  <c r="AU177" i="10"/>
  <c r="AT177" i="10"/>
  <c r="AU380" i="10"/>
  <c r="AT380" i="10"/>
  <c r="AU413" i="10"/>
  <c r="AT413" i="10"/>
  <c r="AU34" i="10"/>
  <c r="AT34" i="10"/>
  <c r="AU139" i="10"/>
  <c r="AT139" i="10"/>
  <c r="AT297" i="10"/>
  <c r="AU297" i="10"/>
  <c r="AU320" i="10"/>
  <c r="AT320" i="10"/>
  <c r="AU461" i="10"/>
  <c r="AT461" i="10"/>
  <c r="AT533" i="10"/>
  <c r="AU533" i="10"/>
  <c r="AU495" i="10"/>
  <c r="AT495" i="10"/>
  <c r="AT467" i="10"/>
  <c r="AU467" i="10"/>
  <c r="AT398" i="10"/>
  <c r="AU398" i="10"/>
  <c r="AU399" i="10"/>
  <c r="AT399" i="10"/>
  <c r="AT362" i="10"/>
  <c r="AU362" i="10"/>
  <c r="AT187" i="10"/>
  <c r="AU187" i="10"/>
  <c r="AT87" i="10"/>
  <c r="AU87" i="10"/>
  <c r="AT240" i="10"/>
  <c r="AU240" i="10"/>
  <c r="AT295" i="10"/>
  <c r="AU295" i="10"/>
  <c r="AT26" i="10"/>
  <c r="AU26" i="10"/>
  <c r="AT172" i="10"/>
  <c r="AU172" i="10"/>
  <c r="AU76" i="10"/>
  <c r="AT76" i="10"/>
  <c r="AU136" i="10"/>
  <c r="AT136" i="10"/>
  <c r="AT44" i="10"/>
  <c r="AU44" i="10"/>
  <c r="AU88" i="10"/>
  <c r="AT88" i="10"/>
  <c r="AU154" i="10"/>
  <c r="AT154" i="10"/>
  <c r="AU288" i="10"/>
  <c r="AT288" i="10"/>
  <c r="AT451" i="10"/>
  <c r="AU451" i="10"/>
  <c r="AT494" i="10"/>
  <c r="AU494" i="10"/>
  <c r="AT261" i="10"/>
  <c r="AU261" i="10"/>
  <c r="AU329" i="10"/>
  <c r="AT329" i="10"/>
  <c r="AU78" i="10"/>
  <c r="AT78" i="10"/>
  <c r="AT101" i="10"/>
  <c r="AU101" i="10"/>
  <c r="AU317" i="10"/>
  <c r="AT317" i="10"/>
  <c r="AU193" i="10"/>
  <c r="AT193" i="10"/>
  <c r="AU22" i="10"/>
  <c r="AT22" i="10"/>
  <c r="AT200" i="10"/>
  <c r="AU200" i="10"/>
  <c r="AU226" i="10"/>
  <c r="AT226" i="10"/>
  <c r="AU385" i="10"/>
  <c r="AT385" i="10"/>
  <c r="V409" i="10"/>
  <c r="U409" i="10"/>
  <c r="V288" i="10"/>
  <c r="U288" i="10"/>
  <c r="V174" i="10"/>
  <c r="U174" i="10"/>
  <c r="V532" i="10"/>
  <c r="U532" i="10"/>
  <c r="V440" i="10"/>
  <c r="U440" i="10"/>
  <c r="U314" i="10"/>
  <c r="V314" i="10"/>
  <c r="U209" i="10"/>
  <c r="V209" i="10"/>
  <c r="U66" i="10"/>
  <c r="V66" i="10"/>
  <c r="V86" i="10"/>
  <c r="U86" i="10"/>
  <c r="U554" i="10"/>
  <c r="V554" i="10"/>
  <c r="V497" i="10"/>
  <c r="U497" i="10"/>
  <c r="V417" i="10"/>
  <c r="U417" i="10"/>
  <c r="V184" i="10"/>
  <c r="U184" i="10"/>
  <c r="V238" i="10"/>
  <c r="U238" i="10"/>
  <c r="V82" i="10"/>
  <c r="U82" i="10"/>
  <c r="V555" i="10"/>
  <c r="U555" i="10"/>
  <c r="V487" i="10"/>
  <c r="U487" i="10"/>
  <c r="V429" i="10"/>
  <c r="U429" i="10"/>
  <c r="U317" i="10"/>
  <c r="V317" i="10"/>
  <c r="V144" i="10"/>
  <c r="U144" i="10"/>
  <c r="V78" i="10"/>
  <c r="U78" i="10"/>
  <c r="V207" i="10"/>
  <c r="U207" i="10"/>
  <c r="U73" i="10"/>
  <c r="V73" i="10"/>
  <c r="V105" i="10"/>
  <c r="U105" i="10"/>
  <c r="V167" i="10"/>
  <c r="U167" i="10"/>
  <c r="U245" i="10"/>
  <c r="V245" i="10"/>
  <c r="U269" i="10"/>
  <c r="V269" i="10"/>
  <c r="V328" i="10"/>
  <c r="U328" i="10"/>
  <c r="U135" i="10"/>
  <c r="V135" i="10"/>
  <c r="V227" i="10"/>
  <c r="U227" i="10"/>
  <c r="V339" i="10"/>
  <c r="U339" i="10"/>
  <c r="U437" i="10"/>
  <c r="V437" i="10"/>
  <c r="U422" i="10"/>
  <c r="V422" i="10"/>
  <c r="U400" i="10"/>
  <c r="V400" i="10"/>
  <c r="U453" i="10"/>
  <c r="V453" i="10"/>
  <c r="U492" i="10"/>
  <c r="V492" i="10"/>
  <c r="V545" i="10"/>
  <c r="U545" i="10"/>
  <c r="AT410" i="10"/>
  <c r="AU410" i="10"/>
  <c r="AU363" i="10"/>
  <c r="AT363" i="10"/>
  <c r="AU314" i="10"/>
  <c r="AT314" i="10"/>
  <c r="AU96" i="10"/>
  <c r="AT96" i="10"/>
  <c r="AU106" i="10"/>
  <c r="AT106" i="10"/>
  <c r="AT439" i="10"/>
  <c r="AU439" i="10"/>
  <c r="AU328" i="10"/>
  <c r="AT328" i="10"/>
  <c r="AU464" i="10"/>
  <c r="AT464" i="10"/>
  <c r="AT93" i="10"/>
  <c r="AU93" i="10"/>
  <c r="AU38" i="10"/>
  <c r="AT38" i="10"/>
  <c r="AT466" i="10"/>
  <c r="AU466" i="10"/>
  <c r="AU432" i="10"/>
  <c r="AT432" i="10"/>
  <c r="AU127" i="10"/>
  <c r="AT127" i="10"/>
  <c r="AT29" i="10"/>
  <c r="AU29" i="10"/>
  <c r="AU324" i="10"/>
  <c r="AT324" i="10"/>
  <c r="AU213" i="10"/>
  <c r="AT213" i="10"/>
  <c r="AU90" i="10"/>
  <c r="AT90" i="10"/>
  <c r="AU86" i="10"/>
  <c r="AT86" i="10"/>
  <c r="AU438" i="10"/>
  <c r="AT438" i="10"/>
  <c r="AT212" i="10"/>
  <c r="AU212" i="10"/>
  <c r="AT63" i="10"/>
  <c r="AU63" i="10"/>
  <c r="AU515" i="10"/>
  <c r="AT515" i="10"/>
  <c r="AU166" i="10"/>
  <c r="AT166" i="10"/>
  <c r="AU210" i="10"/>
  <c r="AT210" i="10"/>
  <c r="AT518" i="10"/>
  <c r="AU518" i="10"/>
  <c r="AT379" i="10"/>
  <c r="AU379" i="10"/>
  <c r="AT67" i="10"/>
  <c r="AU67" i="10"/>
  <c r="AU120" i="10"/>
  <c r="AT120" i="10"/>
  <c r="AT388" i="10"/>
  <c r="AU388" i="10"/>
  <c r="AU64" i="10"/>
  <c r="AT64" i="10"/>
  <c r="AU349" i="10"/>
  <c r="AT349" i="10"/>
  <c r="AT281" i="10"/>
  <c r="AU281" i="10"/>
  <c r="AT208" i="10"/>
  <c r="AU208" i="10"/>
  <c r="AT245" i="10"/>
  <c r="AU245" i="10"/>
  <c r="V491" i="10"/>
  <c r="U491" i="10"/>
  <c r="V403" i="10"/>
  <c r="U403" i="10"/>
  <c r="U229" i="10"/>
  <c r="V229" i="10"/>
  <c r="V124" i="10"/>
  <c r="U124" i="10"/>
  <c r="V192" i="10"/>
  <c r="U192" i="10"/>
  <c r="V272" i="10"/>
  <c r="U272" i="10"/>
  <c r="V230" i="10"/>
  <c r="U230" i="10"/>
  <c r="V33" i="10"/>
  <c r="U33" i="10"/>
  <c r="V190" i="10"/>
  <c r="U190" i="10"/>
  <c r="V154" i="10"/>
  <c r="U154" i="10"/>
  <c r="V90" i="10"/>
  <c r="U90" i="10"/>
  <c r="V42" i="10"/>
  <c r="U42" i="10"/>
  <c r="V536" i="10"/>
  <c r="U536" i="10"/>
  <c r="V507" i="10"/>
  <c r="U507" i="10"/>
  <c r="V503" i="10"/>
  <c r="U503" i="10"/>
  <c r="U468" i="10"/>
  <c r="V468" i="10"/>
  <c r="V399" i="10"/>
  <c r="U399" i="10"/>
  <c r="V367" i="10"/>
  <c r="U367" i="10"/>
  <c r="U330" i="10"/>
  <c r="V330" i="10"/>
  <c r="U435" i="10"/>
  <c r="V435" i="10"/>
  <c r="U337" i="10"/>
  <c r="V337" i="10"/>
  <c r="U302" i="10"/>
  <c r="V302" i="10"/>
  <c r="U241" i="10"/>
  <c r="V241" i="10"/>
  <c r="V381" i="10"/>
  <c r="U381" i="10"/>
  <c r="V136" i="10"/>
  <c r="U136" i="10"/>
  <c r="V164" i="10"/>
  <c r="U164" i="10"/>
  <c r="V96" i="10"/>
  <c r="U96" i="10"/>
  <c r="U35" i="10"/>
  <c r="V35" i="10"/>
  <c r="V118" i="10"/>
  <c r="U118" i="10"/>
  <c r="U54" i="10"/>
  <c r="V54" i="10"/>
  <c r="V200" i="10"/>
  <c r="U200" i="10"/>
  <c r="V551" i="10"/>
  <c r="U551" i="10"/>
  <c r="V473" i="10"/>
  <c r="U473" i="10"/>
  <c r="V469" i="10"/>
  <c r="U469" i="10"/>
  <c r="U173" i="10"/>
  <c r="V173" i="10"/>
  <c r="U540" i="10"/>
  <c r="V540" i="10"/>
  <c r="V511" i="10"/>
  <c r="U511" i="10"/>
  <c r="V481" i="10"/>
  <c r="U481" i="10"/>
  <c r="U472" i="10"/>
  <c r="V472" i="10"/>
  <c r="V452" i="10"/>
  <c r="U452" i="10"/>
  <c r="V395" i="10"/>
  <c r="U395" i="10"/>
  <c r="V385" i="10"/>
  <c r="U385" i="10"/>
  <c r="U258" i="10"/>
  <c r="V258" i="10"/>
  <c r="U205" i="10"/>
  <c r="V205" i="10"/>
  <c r="V156" i="10"/>
  <c r="U156" i="10"/>
  <c r="V112" i="10"/>
  <c r="U112" i="10"/>
  <c r="V292" i="10"/>
  <c r="U292" i="10"/>
  <c r="V260" i="10"/>
  <c r="U260" i="10"/>
  <c r="V92" i="10"/>
  <c r="U92" i="10"/>
  <c r="U48" i="10"/>
  <c r="V48" i="10"/>
  <c r="V194" i="10"/>
  <c r="U194" i="10"/>
  <c r="V162" i="10"/>
  <c r="U162" i="10"/>
  <c r="U25" i="10"/>
  <c r="V25" i="10"/>
  <c r="V47" i="10"/>
  <c r="U47" i="10"/>
  <c r="V538" i="10"/>
  <c r="U538" i="10"/>
  <c r="U298" i="10"/>
  <c r="V298" i="10"/>
  <c r="U189" i="10"/>
  <c r="V189" i="10"/>
  <c r="U544" i="10"/>
  <c r="V544" i="10"/>
  <c r="V501" i="10"/>
  <c r="U501" i="10"/>
  <c r="V499" i="10"/>
  <c r="U499" i="10"/>
  <c r="V467" i="10"/>
  <c r="U467" i="10"/>
  <c r="V448" i="10"/>
  <c r="U448" i="10"/>
  <c r="V391" i="10"/>
  <c r="U391" i="10"/>
  <c r="V397" i="10"/>
  <c r="U397" i="10"/>
  <c r="U334" i="10"/>
  <c r="V334" i="10"/>
  <c r="V361" i="10"/>
  <c r="U361" i="10"/>
  <c r="U333" i="10"/>
  <c r="V333" i="10"/>
  <c r="U294" i="10"/>
  <c r="V294" i="10"/>
  <c r="U233" i="10"/>
  <c r="V233" i="10"/>
  <c r="U177" i="10"/>
  <c r="V177" i="10"/>
  <c r="V188" i="10"/>
  <c r="U188" i="10"/>
  <c r="V218" i="10"/>
  <c r="U218" i="10"/>
  <c r="V41" i="10"/>
  <c r="U41" i="10"/>
  <c r="V158" i="10"/>
  <c r="U158" i="10"/>
  <c r="U52" i="10"/>
  <c r="V52" i="10"/>
  <c r="V32" i="10"/>
  <c r="U32" i="10"/>
  <c r="U26" i="10"/>
  <c r="V26" i="10"/>
  <c r="V46" i="10"/>
  <c r="U46" i="10"/>
  <c r="U75" i="10"/>
  <c r="V75" i="10"/>
  <c r="U91" i="10"/>
  <c r="V91" i="10"/>
  <c r="V59" i="10"/>
  <c r="U59" i="10"/>
  <c r="U65" i="10"/>
  <c r="V65" i="10"/>
  <c r="V199" i="10"/>
  <c r="U199" i="10"/>
  <c r="U81" i="10"/>
  <c r="V81" i="10"/>
  <c r="U97" i="10"/>
  <c r="V97" i="10"/>
  <c r="V113" i="10"/>
  <c r="U113" i="10"/>
  <c r="V129" i="10"/>
  <c r="U129" i="10"/>
  <c r="V145" i="10"/>
  <c r="U145" i="10"/>
  <c r="V161" i="10"/>
  <c r="U161" i="10"/>
  <c r="V175" i="10"/>
  <c r="U175" i="10"/>
  <c r="V191" i="10"/>
  <c r="U191" i="10"/>
  <c r="V224" i="10"/>
  <c r="U224" i="10"/>
  <c r="V240" i="10"/>
  <c r="U240" i="10"/>
  <c r="U249" i="10"/>
  <c r="V249" i="10"/>
  <c r="U257" i="10"/>
  <c r="V257" i="10"/>
  <c r="U265" i="10"/>
  <c r="V265" i="10"/>
  <c r="U273" i="10"/>
  <c r="V273" i="10"/>
  <c r="U281" i="10"/>
  <c r="V281" i="10"/>
  <c r="U289" i="10"/>
  <c r="V289" i="10"/>
  <c r="U297" i="10"/>
  <c r="V297" i="10"/>
  <c r="V320" i="10"/>
  <c r="U320" i="10"/>
  <c r="V336" i="10"/>
  <c r="U336" i="10"/>
  <c r="V352" i="10"/>
  <c r="U352" i="10"/>
  <c r="U111" i="10"/>
  <c r="V111" i="10"/>
  <c r="U127" i="10"/>
  <c r="V127" i="10"/>
  <c r="U143" i="10"/>
  <c r="V143" i="10"/>
  <c r="U159" i="10"/>
  <c r="V159" i="10"/>
  <c r="V219" i="10"/>
  <c r="U219" i="10"/>
  <c r="V235" i="10"/>
  <c r="U235" i="10"/>
  <c r="U380" i="10"/>
  <c r="V380" i="10"/>
  <c r="V315" i="10"/>
  <c r="U315" i="10"/>
  <c r="V331" i="10"/>
  <c r="U331" i="10"/>
  <c r="V347" i="10"/>
  <c r="U347" i="10"/>
  <c r="U384" i="10"/>
  <c r="V384" i="10"/>
  <c r="U376" i="10"/>
  <c r="V376" i="10"/>
  <c r="U362" i="10"/>
  <c r="V362" i="10"/>
  <c r="V379" i="10"/>
  <c r="U379" i="10"/>
  <c r="U398" i="10"/>
  <c r="V398" i="10"/>
  <c r="U414" i="10"/>
  <c r="V414" i="10"/>
  <c r="U430" i="10"/>
  <c r="V430" i="10"/>
  <c r="V451" i="10"/>
  <c r="U451" i="10"/>
  <c r="U374" i="10"/>
  <c r="V374" i="10"/>
  <c r="U392" i="10"/>
  <c r="V392" i="10"/>
  <c r="U408" i="10"/>
  <c r="V408" i="10"/>
  <c r="U424" i="10"/>
  <c r="V424" i="10"/>
  <c r="V458" i="10"/>
  <c r="U458" i="10"/>
  <c r="U445" i="10"/>
  <c r="V445" i="10"/>
  <c r="V478" i="10"/>
  <c r="U478" i="10"/>
  <c r="V446" i="10"/>
  <c r="U446" i="10"/>
  <c r="U523" i="10"/>
  <c r="V523" i="10"/>
  <c r="U500" i="10"/>
  <c r="V500" i="10"/>
  <c r="V517" i="10"/>
  <c r="U517" i="10"/>
  <c r="V531" i="10"/>
  <c r="U531" i="10"/>
  <c r="U533" i="10"/>
  <c r="V533" i="10"/>
  <c r="V553" i="10"/>
  <c r="U553" i="10"/>
  <c r="V556" i="10"/>
  <c r="U556" i="10"/>
  <c r="AT517" i="10"/>
  <c r="AU517" i="10"/>
  <c r="AT474" i="10"/>
  <c r="AU474" i="10"/>
  <c r="AU441" i="10"/>
  <c r="AT441" i="10"/>
  <c r="AU446" i="10"/>
  <c r="AT446" i="10"/>
  <c r="AT375" i="10"/>
  <c r="AU375" i="10"/>
  <c r="AT343" i="10"/>
  <c r="AU343" i="10"/>
  <c r="AT299" i="10"/>
  <c r="AU299" i="10"/>
  <c r="AU346" i="10"/>
  <c r="AT346" i="10"/>
  <c r="AT167" i="10"/>
  <c r="AU167" i="10"/>
  <c r="AU282" i="10"/>
  <c r="AT282" i="10"/>
  <c r="AT220" i="10"/>
  <c r="AU220" i="10"/>
  <c r="AT275" i="10"/>
  <c r="AU275" i="10"/>
  <c r="AU116" i="10"/>
  <c r="AT116" i="10"/>
  <c r="AT196" i="10"/>
  <c r="AU196" i="10"/>
  <c r="AU300" i="10"/>
  <c r="AT300" i="10"/>
  <c r="AU360" i="10"/>
  <c r="AT360" i="10"/>
  <c r="AT404" i="10"/>
  <c r="AU404" i="10"/>
  <c r="AU421" i="10"/>
  <c r="AT421" i="10"/>
  <c r="AU522" i="10"/>
  <c r="AT522" i="10"/>
  <c r="AU534" i="10"/>
  <c r="AT534" i="10"/>
  <c r="AU158" i="10"/>
  <c r="AT158" i="10"/>
  <c r="AT121" i="10"/>
  <c r="AU121" i="10"/>
  <c r="AU357" i="10"/>
  <c r="AT357" i="10"/>
  <c r="AT293" i="10"/>
  <c r="AU293" i="10"/>
  <c r="AU345" i="10"/>
  <c r="AT345" i="10"/>
  <c r="AU27" i="10"/>
  <c r="AT27" i="10"/>
  <c r="AU71" i="10"/>
  <c r="AT71" i="10"/>
  <c r="AU304" i="10"/>
  <c r="AT304" i="10"/>
  <c r="AU364" i="10"/>
  <c r="AT364" i="10"/>
  <c r="AT412" i="10"/>
  <c r="AU412" i="10"/>
  <c r="AT73" i="10"/>
  <c r="AU73" i="10"/>
  <c r="AU352" i="10"/>
  <c r="AT352" i="10"/>
  <c r="AU472" i="10"/>
  <c r="AT472" i="10"/>
  <c r="AT529" i="10"/>
  <c r="AU529" i="10"/>
  <c r="AU453" i="10"/>
  <c r="AT453" i="10"/>
  <c r="AT459" i="10"/>
  <c r="AU459" i="10"/>
  <c r="AT390" i="10"/>
  <c r="AU390" i="10"/>
  <c r="AU391" i="10"/>
  <c r="AT391" i="10"/>
  <c r="AT355" i="10"/>
  <c r="AU355" i="10"/>
  <c r="AU358" i="10"/>
  <c r="AT358" i="10"/>
  <c r="AT179" i="10"/>
  <c r="AU179" i="10"/>
  <c r="AT95" i="10"/>
  <c r="AU95" i="10"/>
  <c r="AT79" i="10"/>
  <c r="AU79" i="10"/>
  <c r="AU294" i="10"/>
  <c r="AT294" i="10"/>
  <c r="AT232" i="10"/>
  <c r="AU232" i="10"/>
  <c r="AT287" i="10"/>
  <c r="AU287" i="10"/>
  <c r="AU128" i="10"/>
  <c r="AT128" i="10"/>
  <c r="AU41" i="10"/>
  <c r="AT41" i="10"/>
  <c r="AU169" i="10"/>
  <c r="AT169" i="10"/>
  <c r="AU501" i="10"/>
  <c r="AT501" i="10"/>
  <c r="AT289" i="10"/>
  <c r="AU289" i="10"/>
  <c r="AU28" i="10"/>
  <c r="AT28" i="10"/>
  <c r="AU110" i="10"/>
  <c r="AT110" i="10"/>
  <c r="AT109" i="10"/>
  <c r="AU109" i="10"/>
  <c r="AU333" i="10"/>
  <c r="AT333" i="10"/>
  <c r="AU479" i="10"/>
  <c r="AT479" i="10"/>
  <c r="AU516" i="10"/>
  <c r="AT516" i="10"/>
  <c r="AU457" i="10"/>
  <c r="AT457" i="10"/>
  <c r="AT557" i="10"/>
  <c r="AU557" i="10"/>
  <c r="AU292" i="10"/>
  <c r="AT292" i="10"/>
  <c r="AU397" i="10"/>
  <c r="AT397" i="10"/>
  <c r="AU21" i="10"/>
  <c r="AT21" i="10"/>
  <c r="AT285" i="10"/>
  <c r="AU285" i="10"/>
  <c r="AU237" i="10"/>
  <c r="AT237" i="10"/>
  <c r="AU551" i="10"/>
  <c r="AT551" i="10"/>
  <c r="AU548" i="10"/>
  <c r="AT548" i="10"/>
  <c r="AU511" i="10"/>
  <c r="AT511" i="10"/>
  <c r="AT402" i="10"/>
  <c r="AU402" i="10"/>
  <c r="AU403" i="10"/>
  <c r="AT403" i="10"/>
  <c r="AT366" i="10"/>
  <c r="AU366" i="10"/>
  <c r="AT191" i="10"/>
  <c r="AU191" i="10"/>
  <c r="AT91" i="10"/>
  <c r="AU91" i="10"/>
  <c r="AU244" i="10"/>
  <c r="AT244" i="10"/>
  <c r="AT137" i="10"/>
  <c r="AU137" i="10"/>
  <c r="AT176" i="10"/>
  <c r="AU176" i="10"/>
  <c r="AU80" i="10"/>
  <c r="AT80" i="10"/>
  <c r="AU140" i="10"/>
  <c r="AT140" i="10"/>
  <c r="AU59" i="10"/>
  <c r="AT59" i="10"/>
  <c r="AT46" i="10"/>
  <c r="AU46" i="10"/>
  <c r="AT168" i="10"/>
  <c r="AU168" i="10"/>
  <c r="AU23" i="10"/>
  <c r="AT23" i="10"/>
  <c r="AU138" i="10"/>
  <c r="AT138" i="10"/>
  <c r="AU280" i="10"/>
  <c r="AT280" i="10"/>
  <c r="AT447" i="10"/>
  <c r="AU447" i="10"/>
  <c r="AU468" i="10"/>
  <c r="AT468" i="10"/>
  <c r="AU52" i="10"/>
  <c r="AT52" i="10"/>
  <c r="AT56" i="10"/>
  <c r="AU56" i="10"/>
  <c r="AT97" i="10"/>
  <c r="AU97" i="10"/>
  <c r="AU309" i="10"/>
  <c r="AT309" i="10"/>
  <c r="AU498" i="10"/>
  <c r="AT498" i="10"/>
  <c r="AU35" i="10"/>
  <c r="AT35" i="10"/>
  <c r="AU222" i="10"/>
  <c r="AT222" i="10"/>
  <c r="AU268" i="10"/>
  <c r="AT268" i="10"/>
  <c r="AU487" i="10"/>
  <c r="AT487" i="10"/>
  <c r="AT553" i="10"/>
  <c r="AU553" i="10"/>
  <c r="AT257" i="10"/>
  <c r="AU257" i="10"/>
  <c r="AU540" i="10"/>
  <c r="AT540" i="10"/>
  <c r="AU528" i="10"/>
  <c r="AT528" i="10"/>
  <c r="AT458" i="10"/>
  <c r="AU458" i="10"/>
  <c r="AT414" i="10"/>
  <c r="AU414" i="10"/>
  <c r="AT370" i="10"/>
  <c r="AU370" i="10"/>
  <c r="AU415" i="10"/>
  <c r="AT415" i="10"/>
  <c r="AT315" i="10"/>
  <c r="AU315" i="10"/>
  <c r="AU367" i="10"/>
  <c r="AT367" i="10"/>
  <c r="AT219" i="10"/>
  <c r="AU219" i="10"/>
  <c r="AT203" i="10"/>
  <c r="AU203" i="10"/>
  <c r="AU302" i="10"/>
  <c r="AT302" i="10"/>
  <c r="AU318" i="10"/>
  <c r="AT318" i="10"/>
  <c r="AU119" i="10"/>
  <c r="AT119" i="10"/>
  <c r="AU103" i="10"/>
  <c r="AT103" i="10"/>
  <c r="AU254" i="10"/>
  <c r="AT254" i="10"/>
  <c r="AT247" i="10"/>
  <c r="AU247" i="10"/>
  <c r="AT149" i="10"/>
  <c r="AU149" i="10"/>
  <c r="AU206" i="10"/>
  <c r="AT206" i="10"/>
  <c r="AT164" i="10"/>
  <c r="AU164" i="10"/>
  <c r="AU152" i="10"/>
  <c r="AT152" i="10"/>
  <c r="AT55" i="10"/>
  <c r="AU55" i="10"/>
  <c r="AU19" i="10"/>
  <c r="AT19" i="10"/>
  <c r="AU98" i="10"/>
  <c r="AT98" i="10"/>
  <c r="AU194" i="10"/>
  <c r="AT194" i="10"/>
  <c r="AT85" i="10"/>
  <c r="AU85" i="10"/>
  <c r="AU256" i="10"/>
  <c r="AT256" i="10"/>
  <c r="AU373" i="10"/>
  <c r="AT373" i="10"/>
  <c r="AU356" i="10"/>
  <c r="AT356" i="10"/>
  <c r="AU147" i="10"/>
  <c r="AT147" i="10"/>
  <c r="AU312" i="10"/>
  <c r="AT312" i="10"/>
  <c r="AT392" i="10"/>
  <c r="AU392" i="10"/>
  <c r="AU393" i="10"/>
  <c r="AT393" i="10"/>
  <c r="AU506" i="10"/>
  <c r="AT506" i="10"/>
  <c r="AU519" i="10"/>
  <c r="AT519" i="10"/>
  <c r="AT400" i="10"/>
  <c r="AU400" i="10"/>
  <c r="AU471" i="10"/>
  <c r="AT471" i="10"/>
  <c r="AU130" i="10"/>
  <c r="AT130" i="10"/>
  <c r="AU238" i="10"/>
  <c r="AT238" i="10"/>
  <c r="AU276" i="10"/>
  <c r="AT276" i="10"/>
  <c r="AT396" i="10"/>
  <c r="AU396" i="10"/>
  <c r="AU429" i="10"/>
  <c r="AT429" i="10"/>
  <c r="AU155" i="10"/>
  <c r="AT155" i="10"/>
  <c r="AU305" i="10"/>
  <c r="AT305" i="10"/>
  <c r="AU336" i="10"/>
  <c r="AT336" i="10"/>
  <c r="AU502" i="10"/>
  <c r="AT502" i="10"/>
  <c r="AT537" i="10"/>
  <c r="AU537" i="10"/>
  <c r="V509" i="10"/>
  <c r="U509" i="10"/>
  <c r="V373" i="10"/>
  <c r="U373" i="10"/>
  <c r="V108" i="10"/>
  <c r="U108" i="10"/>
  <c r="V84" i="10"/>
  <c r="U84" i="10"/>
  <c r="V122" i="10"/>
  <c r="U122" i="10"/>
  <c r="V56" i="10"/>
  <c r="U56" i="10"/>
  <c r="V530" i="10"/>
  <c r="U530" i="10"/>
  <c r="V477" i="10"/>
  <c r="U477" i="10"/>
  <c r="U346" i="10"/>
  <c r="V346" i="10"/>
  <c r="U321" i="10"/>
  <c r="V321" i="10"/>
  <c r="U270" i="10"/>
  <c r="V270" i="10"/>
  <c r="V198" i="10"/>
  <c r="U198" i="10"/>
  <c r="V226" i="10"/>
  <c r="U226" i="10"/>
  <c r="V71" i="10"/>
  <c r="U71" i="10"/>
  <c r="V518" i="10"/>
  <c r="U518" i="10"/>
  <c r="V475" i="10"/>
  <c r="U475" i="10"/>
  <c r="V542" i="10"/>
  <c r="U542" i="10"/>
  <c r="V463" i="10"/>
  <c r="U463" i="10"/>
  <c r="V427" i="10"/>
  <c r="U427" i="10"/>
  <c r="U237" i="10"/>
  <c r="V237" i="10"/>
  <c r="U181" i="10"/>
  <c r="V181" i="10"/>
  <c r="V276" i="10"/>
  <c r="U276" i="10"/>
  <c r="V19" i="10"/>
  <c r="U19" i="10"/>
  <c r="V178" i="10"/>
  <c r="U178" i="10"/>
  <c r="V27" i="10"/>
  <c r="U27" i="10"/>
  <c r="V434" i="10"/>
  <c r="U434" i="10"/>
  <c r="U514" i="10"/>
  <c r="V514" i="10"/>
  <c r="V479" i="10"/>
  <c r="U479" i="10"/>
  <c r="V423" i="10"/>
  <c r="U423" i="10"/>
  <c r="U318" i="10"/>
  <c r="V318" i="10"/>
  <c r="U349" i="10"/>
  <c r="V349" i="10"/>
  <c r="U201" i="10"/>
  <c r="V201" i="10"/>
  <c r="V72" i="10"/>
  <c r="U72" i="10"/>
  <c r="U64" i="10"/>
  <c r="V64" i="10"/>
  <c r="V20" i="10"/>
  <c r="U20" i="10"/>
  <c r="V36" i="10"/>
  <c r="U36" i="10"/>
  <c r="U99" i="10"/>
  <c r="V99" i="10"/>
  <c r="U60" i="10"/>
  <c r="V60" i="10"/>
  <c r="U89" i="10"/>
  <c r="V89" i="10"/>
  <c r="V137" i="10"/>
  <c r="U137" i="10"/>
  <c r="V153" i="10"/>
  <c r="U153" i="10"/>
  <c r="V216" i="10"/>
  <c r="U216" i="10"/>
  <c r="V232" i="10"/>
  <c r="U232" i="10"/>
  <c r="U261" i="10"/>
  <c r="V261" i="10"/>
  <c r="U285" i="10"/>
  <c r="V285" i="10"/>
  <c r="U293" i="10"/>
  <c r="V293" i="10"/>
  <c r="V344" i="10"/>
  <c r="U344" i="10"/>
  <c r="U103" i="10"/>
  <c r="V103" i="10"/>
  <c r="U151" i="10"/>
  <c r="V151" i="10"/>
  <c r="V243" i="10"/>
  <c r="U243" i="10"/>
  <c r="U303" i="10"/>
  <c r="V303" i="10"/>
  <c r="V355" i="10"/>
  <c r="U355" i="10"/>
  <c r="U364" i="10"/>
  <c r="V364" i="10"/>
  <c r="U390" i="10"/>
  <c r="V390" i="10"/>
  <c r="V443" i="10"/>
  <c r="U443" i="10"/>
  <c r="V470" i="10"/>
  <c r="U470" i="10"/>
  <c r="U416" i="10"/>
  <c r="V416" i="10"/>
  <c r="V438" i="10"/>
  <c r="U438" i="10"/>
  <c r="U486" i="10"/>
  <c r="V486" i="10"/>
  <c r="V493" i="10"/>
  <c r="U493" i="10"/>
  <c r="V525" i="10"/>
  <c r="U525" i="10"/>
  <c r="V557" i="10"/>
  <c r="U557" i="10"/>
  <c r="AU524" i="10"/>
  <c r="AT524" i="10"/>
  <c r="AU411" i="10"/>
  <c r="AT411" i="10"/>
  <c r="AT311" i="10"/>
  <c r="AU311" i="10"/>
  <c r="AT215" i="10"/>
  <c r="AU215" i="10"/>
  <c r="AU115" i="10"/>
  <c r="AT115" i="10"/>
  <c r="AT145" i="10"/>
  <c r="AU145" i="10"/>
  <c r="AT36" i="10"/>
  <c r="AU36" i="10"/>
  <c r="AT53" i="10"/>
  <c r="AU53" i="10"/>
  <c r="AU33" i="10"/>
  <c r="AT33" i="10"/>
  <c r="AU264" i="10"/>
  <c r="AT264" i="10"/>
  <c r="AT47" i="10"/>
  <c r="AU47" i="10"/>
  <c r="AT408" i="10"/>
  <c r="AU408" i="10"/>
  <c r="AT539" i="10"/>
  <c r="AU539" i="10"/>
  <c r="AU146" i="10"/>
  <c r="AT146" i="10"/>
  <c r="AU252" i="10"/>
  <c r="AT252" i="10"/>
  <c r="AU526" i="10"/>
  <c r="AT526" i="10"/>
  <c r="AT249" i="10"/>
  <c r="AU249" i="10"/>
  <c r="AT556" i="10"/>
  <c r="AU556" i="10"/>
  <c r="AU473" i="10"/>
  <c r="AT473" i="10"/>
  <c r="AU423" i="10"/>
  <c r="AT423" i="10"/>
  <c r="AT323" i="10"/>
  <c r="AU323" i="10"/>
  <c r="AU326" i="10"/>
  <c r="AT326" i="10"/>
  <c r="AU262" i="10"/>
  <c r="AT262" i="10"/>
  <c r="AT157" i="10"/>
  <c r="AU157" i="10"/>
  <c r="AT184" i="10"/>
  <c r="AU184" i="10"/>
  <c r="AU178" i="10"/>
  <c r="AT178" i="10"/>
  <c r="AT435" i="10"/>
  <c r="AU435" i="10"/>
  <c r="AU381" i="10"/>
  <c r="AT381" i="10"/>
  <c r="AU135" i="10"/>
  <c r="AT135" i="10"/>
  <c r="AU316" i="10"/>
  <c r="AT316" i="10"/>
  <c r="AU417" i="10"/>
  <c r="AT417" i="10"/>
  <c r="AT508" i="10"/>
  <c r="AU508" i="10"/>
  <c r="AT492" i="10"/>
  <c r="AU492" i="10"/>
  <c r="AT335" i="10"/>
  <c r="AU335" i="10"/>
  <c r="AU338" i="10"/>
  <c r="AT338" i="10"/>
  <c r="AT267" i="10"/>
  <c r="AU267" i="10"/>
  <c r="AU108" i="10"/>
  <c r="AT108" i="10"/>
  <c r="AU225" i="10"/>
  <c r="AT225" i="10"/>
  <c r="AT129" i="10"/>
  <c r="AU129" i="10"/>
  <c r="AU520" i="10"/>
  <c r="AT520" i="10"/>
  <c r="AU217" i="10"/>
  <c r="AT217" i="10"/>
  <c r="AU181" i="10"/>
  <c r="AT181" i="10"/>
  <c r="AT521" i="10"/>
  <c r="AU521" i="10"/>
  <c r="AU445" i="10"/>
  <c r="AT445" i="10"/>
  <c r="AT455" i="10"/>
  <c r="AU455" i="10"/>
  <c r="AT347" i="10"/>
  <c r="AU347" i="10"/>
  <c r="AT171" i="10"/>
  <c r="AU171" i="10"/>
  <c r="AU286" i="10"/>
  <c r="AT286" i="10"/>
  <c r="AT279" i="10"/>
  <c r="AU279" i="10"/>
  <c r="AU405" i="10"/>
  <c r="AT405" i="10"/>
  <c r="AU530" i="10"/>
  <c r="AT530" i="10"/>
  <c r="AT117" i="10"/>
  <c r="AU117" i="10"/>
  <c r="AT426" i="10"/>
  <c r="AU426" i="10"/>
  <c r="AU321" i="10"/>
  <c r="AT321" i="10"/>
  <c r="AU40" i="10"/>
  <c r="AT40" i="10"/>
  <c r="AU348" i="10"/>
  <c r="AT348" i="10"/>
  <c r="AU118" i="10"/>
  <c r="AT118" i="10"/>
  <c r="U539" i="10"/>
  <c r="V539" i="10"/>
  <c r="V455" i="10"/>
  <c r="U455" i="10"/>
  <c r="V425" i="10"/>
  <c r="U425" i="10"/>
  <c r="U197" i="10"/>
  <c r="V197" i="10"/>
  <c r="V116" i="10"/>
  <c r="U116" i="10"/>
  <c r="V296" i="10"/>
  <c r="U296" i="10"/>
  <c r="V264" i="10"/>
  <c r="U264" i="10"/>
  <c r="V214" i="10"/>
  <c r="U214" i="10"/>
  <c r="U22" i="10"/>
  <c r="V22" i="10"/>
  <c r="V182" i="10"/>
  <c r="U182" i="10"/>
  <c r="V138" i="10"/>
  <c r="U138" i="10"/>
  <c r="V74" i="10"/>
  <c r="U74" i="10"/>
  <c r="V30" i="10"/>
  <c r="U30" i="10"/>
  <c r="V524" i="10"/>
  <c r="U524" i="10"/>
  <c r="V534" i="10"/>
  <c r="U534" i="10"/>
  <c r="U495" i="10"/>
  <c r="V495" i="10"/>
  <c r="V459" i="10"/>
  <c r="U459" i="10"/>
  <c r="V421" i="10"/>
  <c r="U421" i="10"/>
  <c r="U354" i="10"/>
  <c r="V354" i="10"/>
  <c r="U322" i="10"/>
  <c r="V322" i="10"/>
  <c r="V369" i="10"/>
  <c r="U369" i="10"/>
  <c r="U329" i="10"/>
  <c r="V329" i="10"/>
  <c r="U286" i="10"/>
  <c r="V286" i="10"/>
  <c r="U225" i="10"/>
  <c r="V225" i="10"/>
  <c r="U185" i="10"/>
  <c r="V185" i="10"/>
  <c r="V206" i="10"/>
  <c r="U206" i="10"/>
  <c r="V242" i="10"/>
  <c r="U242" i="10"/>
  <c r="V80" i="10"/>
  <c r="U80" i="10"/>
  <c r="U28" i="10"/>
  <c r="V28" i="10"/>
  <c r="V102" i="10"/>
  <c r="U102" i="10"/>
  <c r="U50" i="10"/>
  <c r="V50" i="10"/>
  <c r="U62" i="10"/>
  <c r="V62" i="10"/>
  <c r="U519" i="10"/>
  <c r="V519" i="10"/>
  <c r="U490" i="10"/>
  <c r="V490" i="10"/>
  <c r="V365" i="10"/>
  <c r="U365" i="10"/>
  <c r="V176" i="10"/>
  <c r="U176" i="10"/>
  <c r="V550" i="10"/>
  <c r="U550" i="10"/>
  <c r="V526" i="10"/>
  <c r="U526" i="10"/>
  <c r="U484" i="10"/>
  <c r="V484" i="10"/>
  <c r="U464" i="10"/>
  <c r="V464" i="10"/>
  <c r="V431" i="10"/>
  <c r="U431" i="10"/>
  <c r="V471" i="10"/>
  <c r="U471" i="10"/>
  <c r="V306" i="10"/>
  <c r="U306" i="10"/>
  <c r="V377" i="10"/>
  <c r="U377" i="10"/>
  <c r="V304" i="10"/>
  <c r="U304" i="10"/>
  <c r="V140" i="10"/>
  <c r="U140" i="10"/>
  <c r="V104" i="10"/>
  <c r="U104" i="10"/>
  <c r="V284" i="10"/>
  <c r="U284" i="10"/>
  <c r="V252" i="10"/>
  <c r="U252" i="10"/>
  <c r="V76" i="10"/>
  <c r="U76" i="10"/>
  <c r="U43" i="10"/>
  <c r="V43" i="10"/>
  <c r="V186" i="10"/>
  <c r="U186" i="10"/>
  <c r="V146" i="10"/>
  <c r="U146" i="10"/>
  <c r="V98" i="10"/>
  <c r="U98" i="10"/>
  <c r="V34" i="10"/>
  <c r="U34" i="10"/>
  <c r="U456" i="10"/>
  <c r="V456" i="10"/>
  <c r="U266" i="10"/>
  <c r="V266" i="10"/>
  <c r="V148" i="10"/>
  <c r="U148" i="10"/>
  <c r="U543" i="10"/>
  <c r="V543" i="10"/>
  <c r="V520" i="10"/>
  <c r="U520" i="10"/>
  <c r="V485" i="10"/>
  <c r="U485" i="10"/>
  <c r="U502" i="10"/>
  <c r="V502" i="10"/>
  <c r="V457" i="10"/>
  <c r="U457" i="10"/>
  <c r="V461" i="10"/>
  <c r="U461" i="10"/>
  <c r="U358" i="10"/>
  <c r="V358" i="10"/>
  <c r="U326" i="10"/>
  <c r="V326" i="10"/>
  <c r="U357" i="10"/>
  <c r="V357" i="10"/>
  <c r="U325" i="10"/>
  <c r="V325" i="10"/>
  <c r="U278" i="10"/>
  <c r="V278" i="10"/>
  <c r="U217" i="10"/>
  <c r="V217" i="10"/>
  <c r="V160" i="10"/>
  <c r="U160" i="10"/>
  <c r="V172" i="10"/>
  <c r="U172" i="10"/>
  <c r="V88" i="10"/>
  <c r="U88" i="10"/>
  <c r="V23" i="10"/>
  <c r="U23" i="10"/>
  <c r="V142" i="10"/>
  <c r="U142" i="10"/>
  <c r="V94" i="10"/>
  <c r="U94" i="10"/>
  <c r="V29" i="10"/>
  <c r="U29" i="10"/>
  <c r="V55" i="10"/>
  <c r="U55" i="10"/>
  <c r="U79" i="10"/>
  <c r="V79" i="10"/>
  <c r="U95" i="10"/>
  <c r="V95" i="10"/>
  <c r="V195" i="10"/>
  <c r="U195" i="10"/>
  <c r="U85" i="10"/>
  <c r="V85" i="10"/>
  <c r="V101" i="10"/>
  <c r="U101" i="10"/>
  <c r="V117" i="10"/>
  <c r="U117" i="10"/>
  <c r="V133" i="10"/>
  <c r="U133" i="10"/>
  <c r="V149" i="10"/>
  <c r="U149" i="10"/>
  <c r="U301" i="10"/>
  <c r="V301" i="10"/>
  <c r="V179" i="10"/>
  <c r="U179" i="10"/>
  <c r="V212" i="10"/>
  <c r="U212" i="10"/>
  <c r="V228" i="10"/>
  <c r="U228" i="10"/>
  <c r="V244" i="10"/>
  <c r="U244" i="10"/>
  <c r="U251" i="10"/>
  <c r="V251" i="10"/>
  <c r="U259" i="10"/>
  <c r="V259" i="10"/>
  <c r="U267" i="10"/>
  <c r="V267" i="10"/>
  <c r="U275" i="10"/>
  <c r="V275" i="10"/>
  <c r="U283" i="10"/>
  <c r="V283" i="10"/>
  <c r="U291" i="10"/>
  <c r="V291" i="10"/>
  <c r="V308" i="10"/>
  <c r="U308" i="10"/>
  <c r="V324" i="10"/>
  <c r="U324" i="10"/>
  <c r="V340" i="10"/>
  <c r="U340" i="10"/>
  <c r="V356" i="10"/>
  <c r="U356" i="10"/>
  <c r="U115" i="10"/>
  <c r="V115" i="10"/>
  <c r="U131" i="10"/>
  <c r="V131" i="10"/>
  <c r="U147" i="10"/>
  <c r="V147" i="10"/>
  <c r="U163" i="10"/>
  <c r="V163" i="10"/>
  <c r="V223" i="10"/>
  <c r="U223" i="10"/>
  <c r="V239" i="10"/>
  <c r="U239" i="10"/>
  <c r="U299" i="10"/>
  <c r="V299" i="10"/>
  <c r="V319" i="10"/>
  <c r="U319" i="10"/>
  <c r="V335" i="10"/>
  <c r="U335" i="10"/>
  <c r="V351" i="10"/>
  <c r="U351" i="10"/>
  <c r="U360" i="10"/>
  <c r="V360" i="10"/>
  <c r="U433" i="10"/>
  <c r="V433" i="10"/>
  <c r="U366" i="10"/>
  <c r="V366" i="10"/>
  <c r="V383" i="10"/>
  <c r="U383" i="10"/>
  <c r="U402" i="10"/>
  <c r="V402" i="10"/>
  <c r="U418" i="10"/>
  <c r="V418" i="10"/>
  <c r="V439" i="10"/>
  <c r="U439" i="10"/>
  <c r="U386" i="10"/>
  <c r="V386" i="10"/>
  <c r="V378" i="10"/>
  <c r="U378" i="10"/>
  <c r="U396" i="10"/>
  <c r="V396" i="10"/>
  <c r="U412" i="10"/>
  <c r="V412" i="10"/>
  <c r="U428" i="10"/>
  <c r="V428" i="10"/>
  <c r="V462" i="10"/>
  <c r="U462" i="10"/>
  <c r="U449" i="10"/>
  <c r="V449" i="10"/>
  <c r="V482" i="10"/>
  <c r="U482" i="10"/>
  <c r="V450" i="10"/>
  <c r="U450" i="10"/>
  <c r="U488" i="10"/>
  <c r="V488" i="10"/>
  <c r="V504" i="10"/>
  <c r="U504" i="10"/>
  <c r="V521" i="10"/>
  <c r="U521" i="10"/>
  <c r="U535" i="10"/>
  <c r="V535" i="10"/>
  <c r="V537" i="10"/>
  <c r="U537" i="10"/>
  <c r="U547" i="10"/>
  <c r="V547" i="10"/>
  <c r="V560" i="10"/>
  <c r="U560" i="10"/>
  <c r="AT541" i="10"/>
  <c r="AU541" i="10"/>
  <c r="AU536" i="10"/>
  <c r="AT536" i="10"/>
  <c r="AT500" i="10"/>
  <c r="AU500" i="10"/>
  <c r="AT463" i="10"/>
  <c r="AU463" i="10"/>
  <c r="AT394" i="10"/>
  <c r="AU394" i="10"/>
  <c r="AU395" i="10"/>
  <c r="AT395" i="10"/>
  <c r="AT433" i="10"/>
  <c r="AU433" i="10"/>
  <c r="AT359" i="10"/>
  <c r="AU359" i="10"/>
  <c r="AT183" i="10"/>
  <c r="AU183" i="10"/>
  <c r="AU99" i="10"/>
  <c r="AT99" i="10"/>
  <c r="AT83" i="10"/>
  <c r="AU83" i="10"/>
  <c r="AU298" i="10"/>
  <c r="AT298" i="10"/>
  <c r="AT236" i="10"/>
  <c r="AU236" i="10"/>
  <c r="AT291" i="10"/>
  <c r="AU291" i="10"/>
  <c r="AT24" i="10"/>
  <c r="AU24" i="10"/>
  <c r="AU68" i="10"/>
  <c r="AT68" i="10"/>
  <c r="AU72" i="10"/>
  <c r="AT72" i="10"/>
  <c r="AU132" i="10"/>
  <c r="AT132" i="10"/>
  <c r="AU198" i="10"/>
  <c r="AT198" i="10"/>
  <c r="AU84" i="10"/>
  <c r="AT84" i="10"/>
  <c r="AU296" i="10"/>
  <c r="AT296" i="10"/>
  <c r="AU505" i="10"/>
  <c r="AT505" i="10"/>
  <c r="AT273" i="10"/>
  <c r="AU273" i="10"/>
  <c r="AU337" i="10"/>
  <c r="AT337" i="10"/>
  <c r="AU94" i="10"/>
  <c r="AT94" i="10"/>
  <c r="AU163" i="10"/>
  <c r="AT163" i="10"/>
  <c r="AT105" i="10"/>
  <c r="AU105" i="10"/>
  <c r="AU325" i="10"/>
  <c r="AT325" i="10"/>
  <c r="AU448" i="10"/>
  <c r="AT448" i="10"/>
  <c r="AU284" i="10"/>
  <c r="AT284" i="10"/>
  <c r="AU377" i="10"/>
  <c r="AT377" i="10"/>
  <c r="AU484" i="10"/>
  <c r="AT484" i="10"/>
  <c r="AU554" i="10"/>
  <c r="AT554" i="10"/>
  <c r="AT277" i="10"/>
  <c r="AU277" i="10"/>
  <c r="AU221" i="10"/>
  <c r="AT221" i="10"/>
  <c r="AU233" i="10"/>
  <c r="AT233" i="10"/>
  <c r="AT531" i="10"/>
  <c r="AU531" i="10"/>
  <c r="AU503" i="10"/>
  <c r="AT503" i="10"/>
  <c r="AT504" i="10"/>
  <c r="AU504" i="10"/>
  <c r="AU489" i="10"/>
  <c r="AT489" i="10"/>
  <c r="AU434" i="10"/>
  <c r="AT434" i="10"/>
  <c r="AT406" i="10"/>
  <c r="AU406" i="10"/>
  <c r="AU407" i="10"/>
  <c r="AT407" i="10"/>
  <c r="AT307" i="10"/>
  <c r="AU307" i="10"/>
  <c r="AT211" i="10"/>
  <c r="AU211" i="10"/>
  <c r="AT195" i="10"/>
  <c r="AU195" i="10"/>
  <c r="AU310" i="10"/>
  <c r="AT310" i="10"/>
  <c r="AU111" i="10"/>
  <c r="AT111" i="10"/>
  <c r="AU246" i="10"/>
  <c r="AT246" i="10"/>
  <c r="AT141" i="10"/>
  <c r="AU141" i="10"/>
  <c r="AU92" i="10"/>
  <c r="AT92" i="10"/>
  <c r="AU144" i="10"/>
  <c r="AT144" i="10"/>
  <c r="AT51" i="10"/>
  <c r="AU51" i="10"/>
  <c r="AT192" i="10"/>
  <c r="AU192" i="10"/>
  <c r="AU31" i="10"/>
  <c r="AT31" i="10"/>
  <c r="AT25" i="10"/>
  <c r="AU25" i="10"/>
  <c r="AU122" i="10"/>
  <c r="AT122" i="10"/>
  <c r="AU143" i="10"/>
  <c r="AT143" i="10"/>
  <c r="AU230" i="10"/>
  <c r="AT230" i="10"/>
  <c r="AU272" i="10"/>
  <c r="AT272" i="10"/>
  <c r="AT431" i="10"/>
  <c r="AU431" i="10"/>
  <c r="AT443" i="10"/>
  <c r="AU443" i="10"/>
  <c r="AU523" i="10"/>
  <c r="AT523" i="10"/>
  <c r="AU50" i="10"/>
  <c r="AT50" i="10"/>
  <c r="AU49" i="10"/>
  <c r="AT49" i="10"/>
  <c r="AT81" i="10"/>
  <c r="AU81" i="10"/>
  <c r="AU344" i="10"/>
  <c r="AT344" i="10"/>
  <c r="AU369" i="10"/>
  <c r="AT369" i="10"/>
  <c r="AT424" i="10"/>
  <c r="AU424" i="10"/>
  <c r="AU425" i="10"/>
  <c r="AT425" i="10"/>
  <c r="AU486" i="10"/>
  <c r="AT486" i="10"/>
  <c r="AU542" i="10"/>
  <c r="AT542" i="10"/>
  <c r="AU361" i="10"/>
  <c r="AT361" i="10"/>
  <c r="AU493" i="10"/>
  <c r="AT493" i="10"/>
  <c r="AU162" i="10"/>
  <c r="AT162" i="10"/>
  <c r="AT133" i="10"/>
  <c r="AU133" i="10"/>
  <c r="AU260" i="10"/>
  <c r="AT260" i="10"/>
  <c r="AT543" i="10"/>
  <c r="AU543" i="10"/>
  <c r="AU150" i="10"/>
  <c r="AT150" i="10"/>
  <c r="AT253" i="10"/>
  <c r="AU253" i="10"/>
  <c r="AT77" i="10"/>
  <c r="AU77" i="10"/>
  <c r="AU555" i="10"/>
  <c r="AT555" i="10"/>
  <c r="AU499" i="10"/>
  <c r="AT499" i="10"/>
  <c r="AT462" i="10"/>
  <c r="AU462" i="10"/>
  <c r="AT418" i="10"/>
  <c r="AU418" i="10"/>
  <c r="AT374" i="10"/>
  <c r="AU374" i="10"/>
  <c r="AU419" i="10"/>
  <c r="AT419" i="10"/>
  <c r="AU437" i="10"/>
  <c r="AT437" i="10"/>
  <c r="AT319" i="10"/>
  <c r="AU319" i="10"/>
  <c r="AU306" i="10"/>
  <c r="AT306" i="10"/>
  <c r="AT223" i="10"/>
  <c r="AU223" i="10"/>
  <c r="AT207" i="10"/>
  <c r="AU207" i="10"/>
  <c r="AU322" i="10"/>
  <c r="AT322" i="10"/>
  <c r="AU123" i="10"/>
  <c r="AT123" i="10"/>
  <c r="AU107" i="10"/>
  <c r="AT107" i="10"/>
  <c r="AU258" i="10"/>
  <c r="AT258" i="10"/>
  <c r="AT251" i="10"/>
  <c r="AU251" i="10"/>
  <c r="AT153" i="10"/>
  <c r="AU153" i="10"/>
  <c r="AT20" i="10"/>
  <c r="AU20" i="10"/>
  <c r="AT180" i="10"/>
  <c r="AU180" i="10"/>
  <c r="AU156" i="10"/>
  <c r="AT156" i="10"/>
  <c r="AU82" i="10"/>
  <c r="AT82" i="10"/>
  <c r="AU186" i="10"/>
  <c r="AT186" i="10"/>
  <c r="AU159" i="10"/>
  <c r="AT159" i="10"/>
  <c r="AU248" i="10"/>
  <c r="AT248" i="10"/>
  <c r="AU340" i="10"/>
  <c r="AT340" i="10"/>
  <c r="AT430" i="10"/>
  <c r="AU430" i="10"/>
  <c r="AU550" i="10"/>
  <c r="AT550" i="10"/>
  <c r="AU510" i="10"/>
  <c r="AT510" i="10"/>
  <c r="AU57" i="10"/>
  <c r="AT57" i="10"/>
  <c r="AU131" i="10"/>
  <c r="AT131" i="10"/>
  <c r="AU229" i="10"/>
  <c r="AT229" i="10"/>
  <c r="AU376" i="10"/>
  <c r="AT376" i="10"/>
  <c r="AU480" i="10"/>
  <c r="AT480" i="10"/>
  <c r="AT384" i="10"/>
  <c r="AU384" i="10"/>
  <c r="AU440" i="10"/>
  <c r="AT440" i="10"/>
  <c r="AU114" i="10"/>
  <c r="AT114" i="10"/>
  <c r="AU62" i="10"/>
  <c r="AT62" i="10"/>
  <c r="AU151" i="10"/>
  <c r="AT151" i="10"/>
  <c r="AU332" i="10"/>
  <c r="AT332" i="10"/>
  <c r="AT66" i="10"/>
  <c r="AU66" i="10"/>
  <c r="AU102" i="10"/>
  <c r="AT102" i="10"/>
  <c r="AT545" i="10"/>
  <c r="AU545" i="10"/>
  <c r="AU544" i="10"/>
  <c r="AT544" i="10"/>
  <c r="AT488" i="10"/>
  <c r="AU488" i="10"/>
  <c r="AU481" i="10"/>
  <c r="AT481" i="10"/>
  <c r="AU436" i="10"/>
  <c r="AT436" i="10"/>
  <c r="AT331" i="10"/>
  <c r="AU331" i="10"/>
  <c r="AT235" i="10"/>
  <c r="AU235" i="10"/>
  <c r="AU334" i="10"/>
  <c r="AT334" i="10"/>
  <c r="AU270" i="10"/>
  <c r="AT270" i="10"/>
  <c r="AT263" i="10"/>
  <c r="AU263" i="10"/>
  <c r="AU202" i="10"/>
  <c r="AT202" i="10"/>
  <c r="AU48" i="10"/>
  <c r="AT48" i="10"/>
  <c r="AU104" i="10"/>
  <c r="AT104" i="10"/>
  <c r="AU39" i="10"/>
  <c r="AT39" i="10"/>
  <c r="AU241" i="10"/>
  <c r="AT241" i="10"/>
  <c r="AU444" i="10"/>
  <c r="AT444" i="10"/>
  <c r="AU538" i="10"/>
  <c r="AT538" i="10"/>
  <c r="AU30" i="10"/>
  <c r="AT30" i="10"/>
  <c r="AU218" i="10"/>
  <c r="AT218" i="10"/>
  <c r="AU387" i="10"/>
  <c r="AT387" i="10"/>
  <c r="AU42" i="10"/>
  <c r="AT42" i="10"/>
  <c r="AU174" i="10"/>
  <c r="AT174" i="10"/>
  <c r="AU490" i="10"/>
  <c r="AT490" i="10"/>
  <c r="AU558" i="10"/>
  <c r="AT558" i="10"/>
  <c r="AT269" i="10"/>
  <c r="AU269" i="10"/>
  <c r="B230" i="2"/>
  <c r="F232" i="2"/>
  <c r="E230" i="2"/>
  <c r="B178" i="2"/>
  <c r="B186" i="2"/>
  <c r="B17" i="5"/>
  <c r="B45" i="5" s="1"/>
  <c r="B46" i="5" s="1"/>
  <c r="B180" i="2"/>
  <c r="B52" i="5"/>
  <c r="B53" i="5" s="1"/>
  <c r="B55" i="5" s="1"/>
  <c r="H18" i="1"/>
  <c r="H19" i="1"/>
  <c r="B80" i="2"/>
  <c r="B88" i="2"/>
  <c r="B84" i="2"/>
  <c r="B75" i="2"/>
  <c r="H23" i="1" s="1"/>
  <c r="U7" i="5"/>
  <c r="B113" i="2"/>
  <c r="B195" i="2"/>
  <c r="AR7" i="5"/>
  <c r="AQ7" i="5"/>
  <c r="B291" i="2"/>
  <c r="S17" i="4"/>
  <c r="AW17" i="4" s="1"/>
  <c r="S22" i="4"/>
  <c r="AW22" i="4" s="1"/>
  <c r="S25" i="4"/>
  <c r="AW25" i="4" s="1"/>
  <c r="S30" i="4"/>
  <c r="AW30" i="4" s="1"/>
  <c r="S33" i="4"/>
  <c r="AW33" i="4" s="1"/>
  <c r="S38" i="4"/>
  <c r="AW38" i="4" s="1"/>
  <c r="S41" i="4"/>
  <c r="AW41" i="4" s="1"/>
  <c r="S43" i="4"/>
  <c r="AW43" i="4" s="1"/>
  <c r="S45" i="4"/>
  <c r="AW45" i="4" s="1"/>
  <c r="S47" i="4"/>
  <c r="AW47" i="4" s="1"/>
  <c r="S49" i="4"/>
  <c r="AW49" i="4" s="1"/>
  <c r="S51" i="4"/>
  <c r="AW51" i="4" s="1"/>
  <c r="S53" i="4"/>
  <c r="AW53" i="4" s="1"/>
  <c r="S55" i="4"/>
  <c r="AW55" i="4" s="1"/>
  <c r="S57" i="4"/>
  <c r="AW57" i="4" s="1"/>
  <c r="S59" i="4"/>
  <c r="AW59" i="4" s="1"/>
  <c r="S61" i="4"/>
  <c r="AW61" i="4" s="1"/>
  <c r="S63" i="4"/>
  <c r="AW63" i="4" s="1"/>
  <c r="S65" i="4"/>
  <c r="AW65" i="4" s="1"/>
  <c r="S67" i="4"/>
  <c r="AW67" i="4" s="1"/>
  <c r="S69" i="4"/>
  <c r="AW69" i="4" s="1"/>
  <c r="S71" i="4"/>
  <c r="AW71" i="4" s="1"/>
  <c r="S73" i="4"/>
  <c r="AW73" i="4" s="1"/>
  <c r="S75" i="4"/>
  <c r="AW75" i="4" s="1"/>
  <c r="S77" i="4"/>
  <c r="AW77" i="4" s="1"/>
  <c r="S79" i="4"/>
  <c r="AW79" i="4" s="1"/>
  <c r="S81" i="4"/>
  <c r="AW81" i="4" s="1"/>
  <c r="S83" i="4"/>
  <c r="AW83" i="4" s="1"/>
  <c r="S85" i="4"/>
  <c r="AW85" i="4" s="1"/>
  <c r="S87" i="4"/>
  <c r="AW87" i="4" s="1"/>
  <c r="S89" i="4"/>
  <c r="AW89" i="4" s="1"/>
  <c r="S91" i="4"/>
  <c r="AW91" i="4" s="1"/>
  <c r="S93" i="4"/>
  <c r="AW93" i="4" s="1"/>
  <c r="S95" i="4"/>
  <c r="AW95" i="4" s="1"/>
  <c r="S97" i="4"/>
  <c r="AW97" i="4" s="1"/>
  <c r="S99" i="4"/>
  <c r="AW99" i="4" s="1"/>
  <c r="S101" i="4"/>
  <c r="AW101" i="4" s="1"/>
  <c r="S103" i="4"/>
  <c r="AW103" i="4" s="1"/>
  <c r="S105" i="4"/>
  <c r="AW105" i="4" s="1"/>
  <c r="S107" i="4"/>
  <c r="AW107" i="4" s="1"/>
  <c r="S109" i="4"/>
  <c r="AW109" i="4" s="1"/>
  <c r="S111" i="4"/>
  <c r="AW111" i="4" s="1"/>
  <c r="S113" i="4"/>
  <c r="AW113" i="4" s="1"/>
  <c r="S115" i="4"/>
  <c r="AW115" i="4" s="1"/>
  <c r="S117" i="4"/>
  <c r="AW117" i="4" s="1"/>
  <c r="S119" i="4"/>
  <c r="AW119" i="4" s="1"/>
  <c r="S121" i="4"/>
  <c r="AW121" i="4" s="1"/>
  <c r="S123" i="4"/>
  <c r="AW123" i="4" s="1"/>
  <c r="S125" i="4"/>
  <c r="AW125" i="4" s="1"/>
  <c r="S127" i="4"/>
  <c r="AW127" i="4" s="1"/>
  <c r="S129" i="4"/>
  <c r="AW129" i="4" s="1"/>
  <c r="S131" i="4"/>
  <c r="AW131" i="4" s="1"/>
  <c r="S133" i="4"/>
  <c r="AW133" i="4" s="1"/>
  <c r="S135" i="4"/>
  <c r="AW135" i="4" s="1"/>
  <c r="S137" i="4"/>
  <c r="AW137" i="4" s="1"/>
  <c r="S139" i="4"/>
  <c r="AW139" i="4" s="1"/>
  <c r="S141" i="4"/>
  <c r="AW141" i="4" s="1"/>
  <c r="S143" i="4"/>
  <c r="AW143" i="4" s="1"/>
  <c r="S145" i="4"/>
  <c r="AW145" i="4" s="1"/>
  <c r="S147" i="4"/>
  <c r="AW147" i="4" s="1"/>
  <c r="S149" i="4"/>
  <c r="AW149" i="4" s="1"/>
  <c r="S151" i="4"/>
  <c r="AW151" i="4" s="1"/>
  <c r="S153" i="4"/>
  <c r="AW153" i="4" s="1"/>
  <c r="S155" i="4"/>
  <c r="AW155" i="4" s="1"/>
  <c r="S157" i="4"/>
  <c r="AW157" i="4" s="1"/>
  <c r="S9" i="4"/>
  <c r="AW9" i="4" s="1"/>
  <c r="S11" i="4"/>
  <c r="AW11" i="4" s="1"/>
  <c r="S13" i="4"/>
  <c r="AW13" i="4" s="1"/>
  <c r="S19" i="4"/>
  <c r="AW19" i="4" s="1"/>
  <c r="S23" i="4"/>
  <c r="AW23" i="4" s="1"/>
  <c r="S26" i="4"/>
  <c r="AW26" i="4" s="1"/>
  <c r="S37" i="4"/>
  <c r="AW37" i="4" s="1"/>
  <c r="S40" i="4"/>
  <c r="AW40" i="4" s="1"/>
  <c r="S46" i="4"/>
  <c r="AW46" i="4" s="1"/>
  <c r="S54" i="4"/>
  <c r="AW54" i="4" s="1"/>
  <c r="S62" i="4"/>
  <c r="AW62" i="4" s="1"/>
  <c r="S70" i="4"/>
  <c r="AW70" i="4" s="1"/>
  <c r="S78" i="4"/>
  <c r="AW78" i="4" s="1"/>
  <c r="S86" i="4"/>
  <c r="AW86" i="4" s="1"/>
  <c r="S94" i="4"/>
  <c r="AW94" i="4" s="1"/>
  <c r="S102" i="4"/>
  <c r="AW102" i="4" s="1"/>
  <c r="S110" i="4"/>
  <c r="AW110" i="4" s="1"/>
  <c r="S118" i="4"/>
  <c r="AW118" i="4" s="1"/>
  <c r="S126" i="4"/>
  <c r="AW126" i="4" s="1"/>
  <c r="S134" i="4"/>
  <c r="AW134" i="4" s="1"/>
  <c r="S142" i="4"/>
  <c r="AW142" i="4" s="1"/>
  <c r="S150" i="4"/>
  <c r="AW150" i="4" s="1"/>
  <c r="S8" i="4"/>
  <c r="S16" i="4"/>
  <c r="AW16" i="4" s="1"/>
  <c r="S20" i="4"/>
  <c r="AW20" i="4" s="1"/>
  <c r="S27" i="4"/>
  <c r="AW27" i="4" s="1"/>
  <c r="S31" i="4"/>
  <c r="AW31" i="4" s="1"/>
  <c r="S34" i="4"/>
  <c r="AW34" i="4" s="1"/>
  <c r="S44" i="4"/>
  <c r="AW44" i="4" s="1"/>
  <c r="S52" i="4"/>
  <c r="AW52" i="4" s="1"/>
  <c r="S60" i="4"/>
  <c r="AW60" i="4" s="1"/>
  <c r="S68" i="4"/>
  <c r="AW68" i="4" s="1"/>
  <c r="S76" i="4"/>
  <c r="AW76" i="4" s="1"/>
  <c r="S84" i="4"/>
  <c r="AW84" i="4" s="1"/>
  <c r="S92" i="4"/>
  <c r="AW92" i="4" s="1"/>
  <c r="S100" i="4"/>
  <c r="AW100" i="4" s="1"/>
  <c r="S108" i="4"/>
  <c r="AW108" i="4" s="1"/>
  <c r="S116" i="4"/>
  <c r="AW116" i="4" s="1"/>
  <c r="S124" i="4"/>
  <c r="AW124" i="4" s="1"/>
  <c r="S132" i="4"/>
  <c r="AW132" i="4" s="1"/>
  <c r="S140" i="4"/>
  <c r="AW140" i="4" s="1"/>
  <c r="S148" i="4"/>
  <c r="AW148" i="4" s="1"/>
  <c r="S156" i="4"/>
  <c r="AW156" i="4" s="1"/>
  <c r="S14" i="4"/>
  <c r="AW14" i="4" s="1"/>
  <c r="S21" i="4"/>
  <c r="AW21" i="4" s="1"/>
  <c r="S24" i="4"/>
  <c r="AW24" i="4" s="1"/>
  <c r="S28" i="4"/>
  <c r="AW28" i="4" s="1"/>
  <c r="S35" i="4"/>
  <c r="AW35" i="4" s="1"/>
  <c r="S39" i="4"/>
  <c r="AW39" i="4" s="1"/>
  <c r="S42" i="4"/>
  <c r="AW42" i="4" s="1"/>
  <c r="S50" i="4"/>
  <c r="AW50" i="4" s="1"/>
  <c r="S58" i="4"/>
  <c r="AW58" i="4" s="1"/>
  <c r="S66" i="4"/>
  <c r="AW66" i="4" s="1"/>
  <c r="S74" i="4"/>
  <c r="AW74" i="4" s="1"/>
  <c r="S82" i="4"/>
  <c r="AW82" i="4" s="1"/>
  <c r="S90" i="4"/>
  <c r="AW90" i="4" s="1"/>
  <c r="S98" i="4"/>
  <c r="AW98" i="4" s="1"/>
  <c r="S106" i="4"/>
  <c r="AW106" i="4" s="1"/>
  <c r="S114" i="4"/>
  <c r="AW114" i="4" s="1"/>
  <c r="S122" i="4"/>
  <c r="AW122" i="4" s="1"/>
  <c r="S130" i="4"/>
  <c r="AW130" i="4" s="1"/>
  <c r="S138" i="4"/>
  <c r="AW138" i="4" s="1"/>
  <c r="S146" i="4"/>
  <c r="AW146" i="4" s="1"/>
  <c r="S154" i="4"/>
  <c r="AW154" i="4" s="1"/>
  <c r="S12" i="4"/>
  <c r="AW12" i="4" s="1"/>
  <c r="S15" i="4"/>
  <c r="AW15" i="4" s="1"/>
  <c r="S18" i="4"/>
  <c r="AW18" i="4" s="1"/>
  <c r="S29" i="4"/>
  <c r="AW29" i="4" s="1"/>
  <c r="S32" i="4"/>
  <c r="AW32" i="4" s="1"/>
  <c r="S36" i="4"/>
  <c r="AW36" i="4" s="1"/>
  <c r="S48" i="4"/>
  <c r="AW48" i="4" s="1"/>
  <c r="S56" i="4"/>
  <c r="AW56" i="4" s="1"/>
  <c r="S64" i="4"/>
  <c r="AW64" i="4" s="1"/>
  <c r="S72" i="4"/>
  <c r="AW72" i="4" s="1"/>
  <c r="S80" i="4"/>
  <c r="AW80" i="4" s="1"/>
  <c r="S88" i="4"/>
  <c r="AW88" i="4" s="1"/>
  <c r="S96" i="4"/>
  <c r="AW96" i="4" s="1"/>
  <c r="S104" i="4"/>
  <c r="AW104" i="4" s="1"/>
  <c r="S112" i="4"/>
  <c r="AW112" i="4" s="1"/>
  <c r="S120" i="4"/>
  <c r="AW120" i="4" s="1"/>
  <c r="S128" i="4"/>
  <c r="AW128" i="4" s="1"/>
  <c r="S136" i="4"/>
  <c r="AW136" i="4" s="1"/>
  <c r="S144" i="4"/>
  <c r="AW144" i="4" s="1"/>
  <c r="S152" i="4"/>
  <c r="AW152" i="4" s="1"/>
  <c r="S10" i="4"/>
  <c r="AW10" i="4" s="1"/>
  <c r="B16" i="5"/>
  <c r="P15" i="5" s="1"/>
  <c r="S7" i="4"/>
  <c r="O9" i="4"/>
  <c r="V8" i="5"/>
  <c r="AQ8" i="5"/>
  <c r="AL13" i="5"/>
  <c r="AK13" i="5"/>
  <c r="AN12" i="5"/>
  <c r="AO12" i="5"/>
  <c r="AI13" i="5"/>
  <c r="AH13" i="5"/>
  <c r="AP13" i="5"/>
  <c r="U13" i="5"/>
  <c r="V13" i="5"/>
  <c r="AI12" i="5"/>
  <c r="AH12" i="5"/>
  <c r="AP12" i="5"/>
  <c r="U12" i="5"/>
  <c r="V12" i="5"/>
  <c r="AG10" i="5"/>
  <c r="T10" i="5"/>
  <c r="AM10" i="5"/>
  <c r="AJ10" i="5"/>
  <c r="AO13" i="5"/>
  <c r="AN13" i="5"/>
  <c r="AK12" i="5"/>
  <c r="AL12" i="5"/>
  <c r="AR57" i="5"/>
  <c r="AQ57" i="5"/>
  <c r="AR101" i="5"/>
  <c r="AQ101" i="5"/>
  <c r="AR116" i="5"/>
  <c r="AQ116" i="5"/>
  <c r="AQ245" i="5"/>
  <c r="AR245" i="5"/>
  <c r="AR244" i="5"/>
  <c r="AQ244" i="5"/>
  <c r="AQ406" i="5"/>
  <c r="AR406" i="5"/>
  <c r="AQ419" i="5"/>
  <c r="AR419" i="5"/>
  <c r="AR448" i="5"/>
  <c r="AQ448" i="5"/>
  <c r="AR540" i="5"/>
  <c r="AQ540" i="5"/>
  <c r="AQ19" i="5"/>
  <c r="AR19" i="5"/>
  <c r="AR425" i="5"/>
  <c r="AQ425" i="5"/>
  <c r="AR49" i="5"/>
  <c r="AQ49" i="5"/>
  <c r="AR145" i="5"/>
  <c r="AQ145" i="5"/>
  <c r="AR155" i="5"/>
  <c r="AQ155" i="5"/>
  <c r="AQ254" i="5"/>
  <c r="AR254" i="5"/>
  <c r="AQ349" i="5"/>
  <c r="AR349" i="5"/>
  <c r="AQ371" i="5"/>
  <c r="AR371" i="5"/>
  <c r="AQ435" i="5"/>
  <c r="AR435" i="5"/>
  <c r="AR543" i="5"/>
  <c r="AQ543" i="5"/>
  <c r="AQ486" i="5"/>
  <c r="AR486" i="5"/>
  <c r="V547" i="5"/>
  <c r="U547" i="5"/>
  <c r="V497" i="5"/>
  <c r="U497" i="5"/>
  <c r="V539" i="5"/>
  <c r="U539" i="5"/>
  <c r="V560" i="5"/>
  <c r="U560" i="5"/>
  <c r="U473" i="5"/>
  <c r="V473" i="5"/>
  <c r="U401" i="5"/>
  <c r="V401" i="5"/>
  <c r="U503" i="5"/>
  <c r="V503" i="5"/>
  <c r="U454" i="5"/>
  <c r="V454" i="5"/>
  <c r="V339" i="5"/>
  <c r="U339" i="5"/>
  <c r="U472" i="5"/>
  <c r="V472" i="5"/>
  <c r="V287" i="5"/>
  <c r="U287" i="5"/>
  <c r="V379" i="5"/>
  <c r="U379" i="5"/>
  <c r="U162" i="5"/>
  <c r="V162" i="5"/>
  <c r="U437" i="5"/>
  <c r="V437" i="5"/>
  <c r="U393" i="5"/>
  <c r="V393" i="5"/>
  <c r="U312" i="5"/>
  <c r="V312" i="5"/>
  <c r="V310" i="5"/>
  <c r="U310" i="5"/>
  <c r="U269" i="5"/>
  <c r="V269" i="5"/>
  <c r="V313" i="5"/>
  <c r="U313" i="5"/>
  <c r="U250" i="5"/>
  <c r="V250" i="5"/>
  <c r="U279" i="5"/>
  <c r="V279" i="5"/>
  <c r="U252" i="5"/>
  <c r="V252" i="5"/>
  <c r="U221" i="5"/>
  <c r="V221" i="5"/>
  <c r="U222" i="5"/>
  <c r="V222" i="5"/>
  <c r="V239" i="5"/>
  <c r="U239" i="5"/>
  <c r="V188" i="5"/>
  <c r="U188" i="5"/>
  <c r="V183" i="5"/>
  <c r="U183" i="5"/>
  <c r="V169" i="5"/>
  <c r="U169" i="5"/>
  <c r="V134" i="5"/>
  <c r="U134" i="5"/>
  <c r="V151" i="5"/>
  <c r="U151" i="5"/>
  <c r="U155" i="5"/>
  <c r="V155" i="5"/>
  <c r="U91" i="5"/>
  <c r="V91" i="5"/>
  <c r="U98" i="5"/>
  <c r="V98" i="5"/>
  <c r="V57" i="5"/>
  <c r="U57" i="5"/>
  <c r="U56" i="5"/>
  <c r="V56" i="5"/>
  <c r="U43" i="5"/>
  <c r="V43" i="5"/>
  <c r="V32" i="5"/>
  <c r="U32" i="5"/>
  <c r="AR454" i="5"/>
  <c r="AQ454" i="5"/>
  <c r="AR528" i="5"/>
  <c r="AQ528" i="5"/>
  <c r="AQ35" i="5"/>
  <c r="AR35" i="5"/>
  <c r="AR83" i="5"/>
  <c r="AQ83" i="5"/>
  <c r="AQ163" i="5"/>
  <c r="AR163" i="5"/>
  <c r="AR224" i="5"/>
  <c r="AQ224" i="5"/>
  <c r="AQ322" i="5"/>
  <c r="AR322" i="5"/>
  <c r="AQ291" i="5"/>
  <c r="AR291" i="5"/>
  <c r="AQ433" i="5"/>
  <c r="AR433" i="5"/>
  <c r="AQ431" i="5"/>
  <c r="AR431" i="5"/>
  <c r="AR515" i="5"/>
  <c r="AQ515" i="5"/>
  <c r="AR546" i="5"/>
  <c r="AQ546" i="5"/>
  <c r="AQ34" i="5"/>
  <c r="AR34" i="5"/>
  <c r="AR100" i="5"/>
  <c r="AQ100" i="5"/>
  <c r="AQ218" i="5"/>
  <c r="AR218" i="5"/>
  <c r="AR273" i="5"/>
  <c r="AQ273" i="5"/>
  <c r="AQ299" i="5"/>
  <c r="AR299" i="5"/>
  <c r="AR436" i="5"/>
  <c r="AQ436" i="5"/>
  <c r="AR474" i="5"/>
  <c r="AQ474" i="5"/>
  <c r="AQ495" i="5"/>
  <c r="AR495" i="5"/>
  <c r="AQ37" i="5"/>
  <c r="AR37" i="5"/>
  <c r="AR178" i="5"/>
  <c r="AQ178" i="5"/>
  <c r="AQ232" i="5"/>
  <c r="AR232" i="5"/>
  <c r="AQ318" i="5"/>
  <c r="AR318" i="5"/>
  <c r="AQ405" i="5"/>
  <c r="AR405" i="5"/>
  <c r="AQ434" i="5"/>
  <c r="AR434" i="5"/>
  <c r="AR392" i="5"/>
  <c r="AQ392" i="5"/>
  <c r="AQ461" i="5"/>
  <c r="AR461" i="5"/>
  <c r="AR46" i="5"/>
  <c r="AQ46" i="5"/>
  <c r="AQ76" i="5"/>
  <c r="AR76" i="5"/>
  <c r="AQ132" i="5"/>
  <c r="AR132" i="5"/>
  <c r="AR179" i="5"/>
  <c r="AQ179" i="5"/>
  <c r="AQ188" i="5"/>
  <c r="AR188" i="5"/>
  <c r="AR309" i="5"/>
  <c r="AQ309" i="5"/>
  <c r="AR174" i="5"/>
  <c r="AQ174" i="5"/>
  <c r="AR391" i="5"/>
  <c r="AQ391" i="5"/>
  <c r="AR369" i="5"/>
  <c r="AQ369" i="5"/>
  <c r="AQ469" i="5"/>
  <c r="AR469" i="5"/>
  <c r="AQ554" i="5"/>
  <c r="AR554" i="5"/>
  <c r="U469" i="5"/>
  <c r="V469" i="5"/>
  <c r="U524" i="5"/>
  <c r="V524" i="5"/>
  <c r="V545" i="5"/>
  <c r="U545" i="5"/>
  <c r="V344" i="5"/>
  <c r="U344" i="5"/>
  <c r="U486" i="5"/>
  <c r="V486" i="5"/>
  <c r="U422" i="5"/>
  <c r="V422" i="5"/>
  <c r="U522" i="5"/>
  <c r="V522" i="5"/>
  <c r="U474" i="5"/>
  <c r="V474" i="5"/>
  <c r="U427" i="5"/>
  <c r="V427" i="5"/>
  <c r="V491" i="5"/>
  <c r="U491" i="5"/>
  <c r="U432" i="5"/>
  <c r="V432" i="5"/>
  <c r="V370" i="5"/>
  <c r="U370" i="5"/>
  <c r="U417" i="5"/>
  <c r="V417" i="5"/>
  <c r="U404" i="5"/>
  <c r="V404" i="5"/>
  <c r="U388" i="5"/>
  <c r="V388" i="5"/>
  <c r="V336" i="5"/>
  <c r="U336" i="5"/>
  <c r="U272" i="5"/>
  <c r="V272" i="5"/>
  <c r="V418" i="5"/>
  <c r="U418" i="5"/>
  <c r="U391" i="5"/>
  <c r="V391" i="5"/>
  <c r="V380" i="5"/>
  <c r="U380" i="5"/>
  <c r="V371" i="5"/>
  <c r="U371" i="5"/>
  <c r="V297" i="5"/>
  <c r="U297" i="5"/>
  <c r="U436" i="5"/>
  <c r="V436" i="5"/>
  <c r="U421" i="5"/>
  <c r="V421" i="5"/>
  <c r="U405" i="5"/>
  <c r="V405" i="5"/>
  <c r="V390" i="5"/>
  <c r="U390" i="5"/>
  <c r="V367" i="5"/>
  <c r="U367" i="5"/>
  <c r="U359" i="5"/>
  <c r="V359" i="5"/>
  <c r="V337" i="5"/>
  <c r="U337" i="5"/>
  <c r="V309" i="5"/>
  <c r="U309" i="5"/>
  <c r="U267" i="5"/>
  <c r="V267" i="5"/>
  <c r="U349" i="5"/>
  <c r="V349" i="5"/>
  <c r="U326" i="5"/>
  <c r="V326" i="5"/>
  <c r="U307" i="5"/>
  <c r="V307" i="5"/>
  <c r="V298" i="5"/>
  <c r="U298" i="5"/>
  <c r="V285" i="5"/>
  <c r="U285" i="5"/>
  <c r="U268" i="5"/>
  <c r="V268" i="5"/>
  <c r="U256" i="5"/>
  <c r="V256" i="5"/>
  <c r="U226" i="5"/>
  <c r="V226" i="5"/>
  <c r="U325" i="5"/>
  <c r="V325" i="5"/>
  <c r="V311" i="5"/>
  <c r="U311" i="5"/>
  <c r="V291" i="5"/>
  <c r="U291" i="5"/>
  <c r="U266" i="5"/>
  <c r="V266" i="5"/>
  <c r="U244" i="5"/>
  <c r="V244" i="5"/>
  <c r="V332" i="5"/>
  <c r="U332" i="5"/>
  <c r="U314" i="5"/>
  <c r="V314" i="5"/>
  <c r="U295" i="5"/>
  <c r="V295" i="5"/>
  <c r="U278" i="5"/>
  <c r="V278" i="5"/>
  <c r="U270" i="5"/>
  <c r="V270" i="5"/>
  <c r="V257" i="5"/>
  <c r="U257" i="5"/>
  <c r="U249" i="5"/>
  <c r="V249" i="5"/>
  <c r="V153" i="5"/>
  <c r="U153" i="5"/>
  <c r="U233" i="5"/>
  <c r="V233" i="5"/>
  <c r="U219" i="5"/>
  <c r="V219" i="5"/>
  <c r="U192" i="5"/>
  <c r="V192" i="5"/>
  <c r="U168" i="5"/>
  <c r="V168" i="5"/>
  <c r="U238" i="5"/>
  <c r="V238" i="5"/>
  <c r="U217" i="5"/>
  <c r="V217" i="5"/>
  <c r="U193" i="5"/>
  <c r="V193" i="5"/>
  <c r="U144" i="5"/>
  <c r="V144" i="5"/>
  <c r="U234" i="5"/>
  <c r="V234" i="5"/>
  <c r="U220" i="5"/>
  <c r="V220" i="5"/>
  <c r="U209" i="5"/>
  <c r="V209" i="5"/>
  <c r="U202" i="5"/>
  <c r="V202" i="5"/>
  <c r="U164" i="5"/>
  <c r="V164" i="5"/>
  <c r="U198" i="5"/>
  <c r="V198" i="5"/>
  <c r="V189" i="5"/>
  <c r="U189" i="5"/>
  <c r="V179" i="5"/>
  <c r="U179" i="5"/>
  <c r="U158" i="5"/>
  <c r="V158" i="5"/>
  <c r="U184" i="5"/>
  <c r="V184" i="5"/>
  <c r="U163" i="5"/>
  <c r="V163" i="5"/>
  <c r="V111" i="5"/>
  <c r="U111" i="5"/>
  <c r="U178" i="5"/>
  <c r="V178" i="5"/>
  <c r="U167" i="5"/>
  <c r="V167" i="5"/>
  <c r="V128" i="5"/>
  <c r="U128" i="5"/>
  <c r="U145" i="5"/>
  <c r="V145" i="5"/>
  <c r="U122" i="5"/>
  <c r="V122" i="5"/>
  <c r="V104" i="5"/>
  <c r="U104" i="5"/>
  <c r="U148" i="5"/>
  <c r="V148" i="5"/>
  <c r="U129" i="5"/>
  <c r="V129" i="5"/>
  <c r="U116" i="5"/>
  <c r="V116" i="5"/>
  <c r="U103" i="5"/>
  <c r="V103" i="5"/>
  <c r="U147" i="5"/>
  <c r="V147" i="5"/>
  <c r="U132" i="5"/>
  <c r="V132" i="5"/>
  <c r="U113" i="5"/>
  <c r="V113" i="5"/>
  <c r="U110" i="5"/>
  <c r="V110" i="5"/>
  <c r="U90" i="5"/>
  <c r="V90" i="5"/>
  <c r="U72" i="5"/>
  <c r="V72" i="5"/>
  <c r="U102" i="5"/>
  <c r="V102" i="5"/>
  <c r="U97" i="5"/>
  <c r="V97" i="5"/>
  <c r="V81" i="5"/>
  <c r="U81" i="5"/>
  <c r="U78" i="5"/>
  <c r="V78" i="5"/>
  <c r="U77" i="5"/>
  <c r="V77" i="5"/>
  <c r="U71" i="5"/>
  <c r="V71" i="5"/>
  <c r="V58" i="5"/>
  <c r="U58" i="5"/>
  <c r="U65" i="5"/>
  <c r="V65" i="5"/>
  <c r="U51" i="5"/>
  <c r="V51" i="5"/>
  <c r="U23" i="5"/>
  <c r="V23" i="5"/>
  <c r="U54" i="5"/>
  <c r="V54" i="5"/>
  <c r="U49" i="5"/>
  <c r="V49" i="5"/>
  <c r="U40" i="5"/>
  <c r="V40" i="5"/>
  <c r="U45" i="5"/>
  <c r="V45" i="5"/>
  <c r="U31" i="5"/>
  <c r="V31" i="5"/>
  <c r="U21" i="5"/>
  <c r="V21" i="5"/>
  <c r="U29" i="5"/>
  <c r="V29" i="5"/>
  <c r="AR21" i="5"/>
  <c r="AQ21" i="5"/>
  <c r="AR31" i="5"/>
  <c r="AQ31" i="5"/>
  <c r="AR63" i="5"/>
  <c r="AQ63" i="5"/>
  <c r="AR52" i="5"/>
  <c r="AQ52" i="5"/>
  <c r="AQ90" i="5"/>
  <c r="AR90" i="5"/>
  <c r="AR88" i="5"/>
  <c r="AQ88" i="5"/>
  <c r="AR71" i="5"/>
  <c r="AQ71" i="5"/>
  <c r="AQ122" i="5"/>
  <c r="AR122" i="5"/>
  <c r="AQ138" i="5"/>
  <c r="AR138" i="5"/>
  <c r="AQ157" i="5"/>
  <c r="AR157" i="5"/>
  <c r="AR154" i="5"/>
  <c r="AQ154" i="5"/>
  <c r="AR215" i="5"/>
  <c r="AQ215" i="5"/>
  <c r="AQ209" i="5"/>
  <c r="AR209" i="5"/>
  <c r="AQ249" i="5"/>
  <c r="AR249" i="5"/>
  <c r="AQ255" i="5"/>
  <c r="AR255" i="5"/>
  <c r="AR295" i="5"/>
  <c r="AQ295" i="5"/>
  <c r="AQ312" i="5"/>
  <c r="AR312" i="5"/>
  <c r="AR246" i="5"/>
  <c r="AQ246" i="5"/>
  <c r="AQ271" i="5"/>
  <c r="AR271" i="5"/>
  <c r="AQ333" i="5"/>
  <c r="AR333" i="5"/>
  <c r="AQ409" i="5"/>
  <c r="AR409" i="5"/>
  <c r="AR353" i="5"/>
  <c r="AQ353" i="5"/>
  <c r="AQ390" i="5"/>
  <c r="AR390" i="5"/>
  <c r="AQ379" i="5"/>
  <c r="AR379" i="5"/>
  <c r="AQ450" i="5"/>
  <c r="AR450" i="5"/>
  <c r="AQ493" i="5"/>
  <c r="AR493" i="5"/>
  <c r="AR491" i="5"/>
  <c r="AQ491" i="5"/>
  <c r="AQ463" i="5"/>
  <c r="AR463" i="5"/>
  <c r="AQ482" i="5"/>
  <c r="AR482" i="5"/>
  <c r="AQ441" i="5"/>
  <c r="AR441" i="5"/>
  <c r="AQ484" i="5"/>
  <c r="AR484" i="5"/>
  <c r="AQ365" i="5"/>
  <c r="AR365" i="5"/>
  <c r="AQ432" i="5"/>
  <c r="AR432" i="5"/>
  <c r="AQ556" i="5"/>
  <c r="AR556" i="5"/>
  <c r="AQ446" i="5"/>
  <c r="AR446" i="5"/>
  <c r="AR42" i="5"/>
  <c r="AQ42" i="5"/>
  <c r="AR54" i="5"/>
  <c r="AQ54" i="5"/>
  <c r="AR66" i="5"/>
  <c r="AQ66" i="5"/>
  <c r="AQ93" i="5"/>
  <c r="AR93" i="5"/>
  <c r="AQ103" i="5"/>
  <c r="AR103" i="5"/>
  <c r="AQ91" i="5"/>
  <c r="AR91" i="5"/>
  <c r="AR89" i="5"/>
  <c r="AQ89" i="5"/>
  <c r="AR142" i="5"/>
  <c r="AQ142" i="5"/>
  <c r="AR135" i="5"/>
  <c r="AQ135" i="5"/>
  <c r="AQ131" i="5"/>
  <c r="AR131" i="5"/>
  <c r="AQ160" i="5"/>
  <c r="AR160" i="5"/>
  <c r="AQ176" i="5"/>
  <c r="AR176" i="5"/>
  <c r="AR211" i="5"/>
  <c r="AQ211" i="5"/>
  <c r="AQ221" i="5"/>
  <c r="AR221" i="5"/>
  <c r="AQ283" i="5"/>
  <c r="AR283" i="5"/>
  <c r="AQ314" i="5"/>
  <c r="AR314" i="5"/>
  <c r="AQ324" i="5"/>
  <c r="AR324" i="5"/>
  <c r="AR276" i="5"/>
  <c r="AQ276" i="5"/>
  <c r="AR286" i="5"/>
  <c r="AQ286" i="5"/>
  <c r="AR356" i="5"/>
  <c r="AQ356" i="5"/>
  <c r="AR284" i="5"/>
  <c r="AQ284" i="5"/>
  <c r="AQ397" i="5"/>
  <c r="AR397" i="5"/>
  <c r="AR262" i="5"/>
  <c r="AQ262" i="5"/>
  <c r="AR321" i="5"/>
  <c r="AQ321" i="5"/>
  <c r="AR396" i="5"/>
  <c r="AQ396" i="5"/>
  <c r="AR410" i="5"/>
  <c r="AQ410" i="5"/>
  <c r="AQ360" i="5"/>
  <c r="AR360" i="5"/>
  <c r="AR375" i="5"/>
  <c r="AQ375" i="5"/>
  <c r="AR275" i="5"/>
  <c r="AQ275" i="5"/>
  <c r="AR346" i="5"/>
  <c r="AQ346" i="5"/>
  <c r="AQ530" i="5"/>
  <c r="AR530" i="5"/>
  <c r="AR370" i="5"/>
  <c r="AQ370" i="5"/>
  <c r="AQ337" i="5"/>
  <c r="AR337" i="5"/>
  <c r="AQ459" i="5"/>
  <c r="AR459" i="5"/>
  <c r="AR377" i="5"/>
  <c r="AQ377" i="5"/>
  <c r="AQ558" i="5"/>
  <c r="AR558" i="5"/>
  <c r="AQ45" i="5"/>
  <c r="AR45" i="5"/>
  <c r="AQ70" i="5"/>
  <c r="AR70" i="5"/>
  <c r="AQ144" i="5"/>
  <c r="AR144" i="5"/>
  <c r="AQ166" i="5"/>
  <c r="AR166" i="5"/>
  <c r="AR306" i="5"/>
  <c r="AQ306" i="5"/>
  <c r="AQ364" i="5"/>
  <c r="AR364" i="5"/>
  <c r="AQ418" i="5"/>
  <c r="AR418" i="5"/>
  <c r="AQ499" i="5"/>
  <c r="AR499" i="5"/>
  <c r="AQ512" i="5"/>
  <c r="AR512" i="5"/>
  <c r="AR428" i="5"/>
  <c r="AQ428" i="5"/>
  <c r="AR542" i="5"/>
  <c r="AQ542" i="5"/>
  <c r="AR27" i="5"/>
  <c r="AQ27" i="5"/>
  <c r="AR86" i="5"/>
  <c r="AQ86" i="5"/>
  <c r="AR123" i="5"/>
  <c r="AQ123" i="5"/>
  <c r="AQ207" i="5"/>
  <c r="AR207" i="5"/>
  <c r="AQ203" i="5"/>
  <c r="AR203" i="5"/>
  <c r="AQ323" i="5"/>
  <c r="AR323" i="5"/>
  <c r="AQ502" i="5"/>
  <c r="AR502" i="5"/>
  <c r="AQ453" i="5"/>
  <c r="AR453" i="5"/>
  <c r="AQ358" i="5"/>
  <c r="AR358" i="5"/>
  <c r="U509" i="5"/>
  <c r="V509" i="5"/>
  <c r="U449" i="5"/>
  <c r="V449" i="5"/>
  <c r="U412" i="5"/>
  <c r="V412" i="5"/>
  <c r="V546" i="5"/>
  <c r="U546" i="5"/>
  <c r="V531" i="5"/>
  <c r="U531" i="5"/>
  <c r="U461" i="5"/>
  <c r="V461" i="5"/>
  <c r="U425" i="5"/>
  <c r="V425" i="5"/>
  <c r="U517" i="5"/>
  <c r="V517" i="5"/>
  <c r="U464" i="5"/>
  <c r="V464" i="5"/>
  <c r="U525" i="5"/>
  <c r="V525" i="5"/>
  <c r="V451" i="5"/>
  <c r="U451" i="5"/>
  <c r="U408" i="5"/>
  <c r="V408" i="5"/>
  <c r="U361" i="5"/>
  <c r="V361" i="5"/>
  <c r="V396" i="5"/>
  <c r="U396" i="5"/>
  <c r="V317" i="5"/>
  <c r="U317" i="5"/>
  <c r="U410" i="5"/>
  <c r="V410" i="5"/>
  <c r="U342" i="5"/>
  <c r="V342" i="5"/>
  <c r="U330" i="5"/>
  <c r="V330" i="5"/>
  <c r="U290" i="5"/>
  <c r="V290" i="5"/>
  <c r="U328" i="5"/>
  <c r="V328" i="5"/>
  <c r="V334" i="5"/>
  <c r="U334" i="5"/>
  <c r="V301" i="5"/>
  <c r="U301" i="5"/>
  <c r="U260" i="5"/>
  <c r="V260" i="5"/>
  <c r="V207" i="5"/>
  <c r="U207" i="5"/>
  <c r="V199" i="5"/>
  <c r="U199" i="5"/>
  <c r="V223" i="5"/>
  <c r="U223" i="5"/>
  <c r="U201" i="5"/>
  <c r="V201" i="5"/>
  <c r="V161" i="5"/>
  <c r="U161" i="5"/>
  <c r="U118" i="5"/>
  <c r="V118" i="5"/>
  <c r="U146" i="5"/>
  <c r="V146" i="5"/>
  <c r="U114" i="5"/>
  <c r="V114" i="5"/>
  <c r="U106" i="5"/>
  <c r="V106" i="5"/>
  <c r="V37" i="5"/>
  <c r="U37" i="5"/>
  <c r="U105" i="5"/>
  <c r="V105" i="5"/>
  <c r="V89" i="5"/>
  <c r="U89" i="5"/>
  <c r="U67" i="5"/>
  <c r="V67" i="5"/>
  <c r="U41" i="5"/>
  <c r="V41" i="5"/>
  <c r="U24" i="5"/>
  <c r="V24" i="5"/>
  <c r="AR525" i="5"/>
  <c r="AQ525" i="5"/>
  <c r="AQ544" i="5"/>
  <c r="AR544" i="5"/>
  <c r="AR43" i="5"/>
  <c r="AQ43" i="5"/>
  <c r="AQ126" i="5"/>
  <c r="AR126" i="5"/>
  <c r="AR173" i="5"/>
  <c r="AQ173" i="5"/>
  <c r="AQ191" i="5"/>
  <c r="AR191" i="5"/>
  <c r="AQ270" i="5"/>
  <c r="AR270" i="5"/>
  <c r="AQ374" i="5"/>
  <c r="AR374" i="5"/>
  <c r="AQ381" i="5"/>
  <c r="AR381" i="5"/>
  <c r="AR471" i="5"/>
  <c r="AQ471" i="5"/>
  <c r="AQ533" i="5"/>
  <c r="AR533" i="5"/>
  <c r="AR41" i="5"/>
  <c r="AQ41" i="5"/>
  <c r="AQ96" i="5"/>
  <c r="AR96" i="5"/>
  <c r="AR165" i="5"/>
  <c r="AQ165" i="5"/>
  <c r="AQ251" i="5"/>
  <c r="AR251" i="5"/>
  <c r="AQ237" i="5"/>
  <c r="AR237" i="5"/>
  <c r="AQ403" i="5"/>
  <c r="AR403" i="5"/>
  <c r="AQ494" i="5"/>
  <c r="AR494" i="5"/>
  <c r="AR553" i="5"/>
  <c r="AQ553" i="5"/>
  <c r="AQ521" i="5"/>
  <c r="AR521" i="5"/>
  <c r="AQ194" i="5"/>
  <c r="AR194" i="5"/>
  <c r="AQ274" i="5"/>
  <c r="AR274" i="5"/>
  <c r="AR319" i="5"/>
  <c r="AQ319" i="5"/>
  <c r="AQ267" i="5"/>
  <c r="AR267" i="5"/>
  <c r="AQ488" i="5"/>
  <c r="AR488" i="5"/>
  <c r="AQ452" i="5"/>
  <c r="AR452" i="5"/>
  <c r="AR552" i="5"/>
  <c r="AQ552" i="5"/>
  <c r="AR449" i="5"/>
  <c r="AQ449" i="5"/>
  <c r="AQ33" i="5"/>
  <c r="AR33" i="5"/>
  <c r="AQ60" i="5"/>
  <c r="AR60" i="5"/>
  <c r="AR114" i="5"/>
  <c r="AQ114" i="5"/>
  <c r="AR152" i="5"/>
  <c r="AQ152" i="5"/>
  <c r="AR197" i="5"/>
  <c r="AQ197" i="5"/>
  <c r="AQ213" i="5"/>
  <c r="AR213" i="5"/>
  <c r="AR196" i="5"/>
  <c r="AQ196" i="5"/>
  <c r="AR268" i="5"/>
  <c r="AQ268" i="5"/>
  <c r="AR317" i="5"/>
  <c r="AQ317" i="5"/>
  <c r="AR334" i="5"/>
  <c r="AQ334" i="5"/>
  <c r="AQ490" i="5"/>
  <c r="AR490" i="5"/>
  <c r="U19" i="5"/>
  <c r="V19" i="5"/>
  <c r="V559" i="5"/>
  <c r="U559" i="5"/>
  <c r="V552" i="5"/>
  <c r="U552" i="5"/>
  <c r="U406" i="5"/>
  <c r="V406" i="5"/>
  <c r="U465" i="5"/>
  <c r="V465" i="5"/>
  <c r="U493" i="5"/>
  <c r="V493" i="5"/>
  <c r="U457" i="5"/>
  <c r="V457" i="5"/>
  <c r="V368" i="5"/>
  <c r="U368" i="5"/>
  <c r="U501" i="5"/>
  <c r="V501" i="5"/>
  <c r="U462" i="5"/>
  <c r="V462" i="5"/>
  <c r="V537" i="5"/>
  <c r="U537" i="5"/>
  <c r="U466" i="5"/>
  <c r="V466" i="5"/>
  <c r="V355" i="5"/>
  <c r="U355" i="5"/>
  <c r="AR127" i="5"/>
  <c r="AQ127" i="5"/>
  <c r="AR58" i="5"/>
  <c r="AQ58" i="5"/>
  <c r="AR82" i="5"/>
  <c r="AQ82" i="5"/>
  <c r="AR140" i="5"/>
  <c r="AQ140" i="5"/>
  <c r="AQ223" i="5"/>
  <c r="AR223" i="5"/>
  <c r="AQ260" i="5"/>
  <c r="AR260" i="5"/>
  <c r="AR219" i="5"/>
  <c r="AQ219" i="5"/>
  <c r="AQ304" i="5"/>
  <c r="AR304" i="5"/>
  <c r="AQ359" i="5"/>
  <c r="AR359" i="5"/>
  <c r="AQ372" i="5"/>
  <c r="AR372" i="5"/>
  <c r="AQ466" i="5"/>
  <c r="AR466" i="5"/>
  <c r="AQ464" i="5"/>
  <c r="AR464" i="5"/>
  <c r="AQ498" i="5"/>
  <c r="AR498" i="5"/>
  <c r="AR547" i="5"/>
  <c r="AQ547" i="5"/>
  <c r="AR523" i="5"/>
  <c r="AQ523" i="5"/>
  <c r="AR108" i="5"/>
  <c r="AQ108" i="5"/>
  <c r="AQ171" i="5"/>
  <c r="AR171" i="5"/>
  <c r="AR227" i="5"/>
  <c r="AQ227" i="5"/>
  <c r="AR277" i="5"/>
  <c r="AQ277" i="5"/>
  <c r="AR292" i="5"/>
  <c r="AQ292" i="5"/>
  <c r="AQ180" i="5"/>
  <c r="AR180" i="5"/>
  <c r="AR352" i="5"/>
  <c r="AQ352" i="5"/>
  <c r="AR331" i="5"/>
  <c r="AQ331" i="5"/>
  <c r="AR456" i="5"/>
  <c r="AQ456" i="5"/>
  <c r="AQ272" i="5"/>
  <c r="AR272" i="5"/>
  <c r="AQ504" i="5"/>
  <c r="AR504" i="5"/>
  <c r="AR559" i="5"/>
  <c r="AQ559" i="5"/>
  <c r="AQ416" i="5"/>
  <c r="AR416" i="5"/>
  <c r="AQ509" i="5"/>
  <c r="AR509" i="5"/>
  <c r="AR555" i="5"/>
  <c r="AQ555" i="5"/>
  <c r="AQ467" i="5"/>
  <c r="AR467" i="5"/>
  <c r="AQ500" i="5"/>
  <c r="AR500" i="5"/>
  <c r="AQ534" i="5"/>
  <c r="AR534" i="5"/>
  <c r="V523" i="5"/>
  <c r="U523" i="5"/>
  <c r="U488" i="5"/>
  <c r="V488" i="5"/>
  <c r="U445" i="5"/>
  <c r="V445" i="5"/>
  <c r="V558" i="5"/>
  <c r="U558" i="5"/>
  <c r="U530" i="5"/>
  <c r="V530" i="5"/>
  <c r="U419" i="5"/>
  <c r="V419" i="5"/>
  <c r="V551" i="5"/>
  <c r="U551" i="5"/>
  <c r="U518" i="5"/>
  <c r="V518" i="5"/>
  <c r="U450" i="5"/>
  <c r="V450" i="5"/>
  <c r="U394" i="5"/>
  <c r="V394" i="5"/>
  <c r="V550" i="5"/>
  <c r="U550" i="5"/>
  <c r="V542" i="5"/>
  <c r="U542" i="5"/>
  <c r="U534" i="5"/>
  <c r="V534" i="5"/>
  <c r="U444" i="5"/>
  <c r="V444" i="5"/>
  <c r="V338" i="5"/>
  <c r="U338" i="5"/>
  <c r="V556" i="5"/>
  <c r="U556" i="5"/>
  <c r="U510" i="5"/>
  <c r="V510" i="5"/>
  <c r="U492" i="5"/>
  <c r="V492" i="5"/>
  <c r="U482" i="5"/>
  <c r="V482" i="5"/>
  <c r="U467" i="5"/>
  <c r="V467" i="5"/>
  <c r="U455" i="5"/>
  <c r="V455" i="5"/>
  <c r="V435" i="5"/>
  <c r="U435" i="5"/>
  <c r="V416" i="5"/>
  <c r="U416" i="5"/>
  <c r="U395" i="5"/>
  <c r="V395" i="5"/>
  <c r="U360" i="5"/>
  <c r="V360" i="5"/>
  <c r="U521" i="5"/>
  <c r="V521" i="5"/>
  <c r="U511" i="5"/>
  <c r="V511" i="5"/>
  <c r="U500" i="5"/>
  <c r="V500" i="5"/>
  <c r="V483" i="5"/>
  <c r="U483" i="5"/>
  <c r="V471" i="5"/>
  <c r="U471" i="5"/>
  <c r="U459" i="5"/>
  <c r="V459" i="5"/>
  <c r="U442" i="5"/>
  <c r="V442" i="5"/>
  <c r="U351" i="5"/>
  <c r="V351" i="5"/>
  <c r="U533" i="5"/>
  <c r="V533" i="5"/>
  <c r="V515" i="5"/>
  <c r="U515" i="5"/>
  <c r="U505" i="5"/>
  <c r="V505" i="5"/>
  <c r="V481" i="5"/>
  <c r="U481" i="5"/>
  <c r="U460" i="5"/>
  <c r="V460" i="5"/>
  <c r="U447" i="5"/>
  <c r="V447" i="5"/>
  <c r="U430" i="5"/>
  <c r="V430" i="5"/>
  <c r="U357" i="5"/>
  <c r="V357" i="5"/>
  <c r="U414" i="5"/>
  <c r="V414" i="5"/>
  <c r="U402" i="5"/>
  <c r="V402" i="5"/>
  <c r="V383" i="5"/>
  <c r="U383" i="5"/>
  <c r="U365" i="5"/>
  <c r="V365" i="5"/>
  <c r="U353" i="5"/>
  <c r="V353" i="5"/>
  <c r="U319" i="5"/>
  <c r="V319" i="5"/>
  <c r="U228" i="5"/>
  <c r="V228" i="5"/>
  <c r="U409" i="5"/>
  <c r="V409" i="5"/>
  <c r="V389" i="5"/>
  <c r="U389" i="5"/>
  <c r="V376" i="5"/>
  <c r="U376" i="5"/>
  <c r="U369" i="5"/>
  <c r="V369" i="5"/>
  <c r="U247" i="5"/>
  <c r="V247" i="5"/>
  <c r="U433" i="5"/>
  <c r="V433" i="5"/>
  <c r="U420" i="5"/>
  <c r="V420" i="5"/>
  <c r="U403" i="5"/>
  <c r="V403" i="5"/>
  <c r="U387" i="5"/>
  <c r="V387" i="5"/>
  <c r="U366" i="5"/>
  <c r="V366" i="5"/>
  <c r="U350" i="5"/>
  <c r="V350" i="5"/>
  <c r="V329" i="5"/>
  <c r="U329" i="5"/>
  <c r="U286" i="5"/>
  <c r="V286" i="5"/>
  <c r="U262" i="5"/>
  <c r="V262" i="5"/>
  <c r="V343" i="5"/>
  <c r="U343" i="5"/>
  <c r="V321" i="5"/>
  <c r="U321" i="5"/>
  <c r="V305" i="5"/>
  <c r="U305" i="5"/>
  <c r="V296" i="5"/>
  <c r="U296" i="5"/>
  <c r="V281" i="5"/>
  <c r="U281" i="5"/>
  <c r="U264" i="5"/>
  <c r="V264" i="5"/>
  <c r="U253" i="5"/>
  <c r="V253" i="5"/>
  <c r="U160" i="5"/>
  <c r="V160" i="5"/>
  <c r="U323" i="5"/>
  <c r="V323" i="5"/>
  <c r="U302" i="5"/>
  <c r="V302" i="5"/>
  <c r="V288" i="5"/>
  <c r="U288" i="5"/>
  <c r="U258" i="5"/>
  <c r="V258" i="5"/>
  <c r="U237" i="5"/>
  <c r="V237" i="5"/>
  <c r="V327" i="5"/>
  <c r="U327" i="5"/>
  <c r="V308" i="5"/>
  <c r="U308" i="5"/>
  <c r="V289" i="5"/>
  <c r="U289" i="5"/>
  <c r="U277" i="5"/>
  <c r="V277" i="5"/>
  <c r="U265" i="5"/>
  <c r="V265" i="5"/>
  <c r="U255" i="5"/>
  <c r="V255" i="5"/>
  <c r="U248" i="5"/>
  <c r="V248" i="5"/>
  <c r="U240" i="5"/>
  <c r="V240" i="5"/>
  <c r="U230" i="5"/>
  <c r="V230" i="5"/>
  <c r="U213" i="5"/>
  <c r="V213" i="5"/>
  <c r="U191" i="5"/>
  <c r="V191" i="5"/>
  <c r="V157" i="5"/>
  <c r="U157" i="5"/>
  <c r="U232" i="5"/>
  <c r="V232" i="5"/>
  <c r="U216" i="5"/>
  <c r="V216" i="5"/>
  <c r="U166" i="5"/>
  <c r="V166" i="5"/>
  <c r="U120" i="5"/>
  <c r="V120" i="5"/>
  <c r="V227" i="5"/>
  <c r="U227" i="5"/>
  <c r="U218" i="5"/>
  <c r="V218" i="5"/>
  <c r="U208" i="5"/>
  <c r="V208" i="5"/>
  <c r="U200" i="5"/>
  <c r="V200" i="5"/>
  <c r="U206" i="5"/>
  <c r="V206" i="5"/>
  <c r="U197" i="5"/>
  <c r="V197" i="5"/>
  <c r="V186" i="5"/>
  <c r="U186" i="5"/>
  <c r="V175" i="5"/>
  <c r="U175" i="5"/>
  <c r="U154" i="5"/>
  <c r="V154" i="5"/>
  <c r="U182" i="5"/>
  <c r="V182" i="5"/>
  <c r="U140" i="5"/>
  <c r="V140" i="5"/>
  <c r="V86" i="5"/>
  <c r="U86" i="5"/>
  <c r="V177" i="5"/>
  <c r="U177" i="5"/>
  <c r="V165" i="5"/>
  <c r="U165" i="5"/>
  <c r="U125" i="5"/>
  <c r="V125" i="5"/>
  <c r="V143" i="5"/>
  <c r="U143" i="5"/>
  <c r="U119" i="5"/>
  <c r="V119" i="5"/>
  <c r="U75" i="5"/>
  <c r="V75" i="5"/>
  <c r="U142" i="5"/>
  <c r="V142" i="5"/>
  <c r="U124" i="5"/>
  <c r="V124" i="5"/>
  <c r="V112" i="5"/>
  <c r="U112" i="5"/>
  <c r="U99" i="5"/>
  <c r="V99" i="5"/>
  <c r="U141" i="5"/>
  <c r="V141" i="5"/>
  <c r="V127" i="5"/>
  <c r="U127" i="5"/>
  <c r="U93" i="5"/>
  <c r="V93" i="5"/>
  <c r="U108" i="5"/>
  <c r="V108" i="5"/>
  <c r="U88" i="5"/>
  <c r="V88" i="5"/>
  <c r="U60" i="5"/>
  <c r="V60" i="5"/>
  <c r="U95" i="5"/>
  <c r="V95" i="5"/>
  <c r="U96" i="5"/>
  <c r="V96" i="5"/>
  <c r="U25" i="5"/>
  <c r="V25" i="5"/>
  <c r="V73" i="5"/>
  <c r="U73" i="5"/>
  <c r="U74" i="5"/>
  <c r="V74" i="5"/>
  <c r="U68" i="5"/>
  <c r="V68" i="5"/>
  <c r="V55" i="5"/>
  <c r="U55" i="5"/>
  <c r="U62" i="5"/>
  <c r="V62" i="5"/>
  <c r="U50" i="5"/>
  <c r="V50" i="5"/>
  <c r="U20" i="5"/>
  <c r="V20" i="5"/>
  <c r="U53" i="5"/>
  <c r="V53" i="5"/>
  <c r="U48" i="5"/>
  <c r="V48" i="5"/>
  <c r="U36" i="5"/>
  <c r="V36" i="5"/>
  <c r="U42" i="5"/>
  <c r="V42" i="5"/>
  <c r="V27" i="5"/>
  <c r="U27" i="5"/>
  <c r="U46" i="5"/>
  <c r="V46" i="5"/>
  <c r="V28" i="5"/>
  <c r="U28" i="5"/>
  <c r="AQ241" i="5"/>
  <c r="AR241" i="5"/>
  <c r="AR483" i="5"/>
  <c r="AQ483" i="5"/>
  <c r="AR536" i="5"/>
  <c r="AQ536" i="5"/>
  <c r="AR39" i="5"/>
  <c r="AQ39" i="5"/>
  <c r="AQ53" i="5"/>
  <c r="AR53" i="5"/>
  <c r="AQ20" i="5"/>
  <c r="AR20" i="5"/>
  <c r="AR22" i="5"/>
  <c r="AQ22" i="5"/>
  <c r="AR77" i="5"/>
  <c r="AQ77" i="5"/>
  <c r="AQ75" i="5"/>
  <c r="AR75" i="5"/>
  <c r="AQ136" i="5"/>
  <c r="AR136" i="5"/>
  <c r="AR129" i="5"/>
  <c r="AQ129" i="5"/>
  <c r="AR150" i="5"/>
  <c r="AQ150" i="5"/>
  <c r="AR111" i="5"/>
  <c r="AQ111" i="5"/>
  <c r="AR198" i="5"/>
  <c r="AQ198" i="5"/>
  <c r="AR248" i="5"/>
  <c r="AQ248" i="5"/>
  <c r="AQ238" i="5"/>
  <c r="AR238" i="5"/>
  <c r="AQ280" i="5"/>
  <c r="AR280" i="5"/>
  <c r="AQ297" i="5"/>
  <c r="AR297" i="5"/>
  <c r="AQ311" i="5"/>
  <c r="AR311" i="5"/>
  <c r="AR259" i="5"/>
  <c r="AQ259" i="5"/>
  <c r="AR335" i="5"/>
  <c r="AQ335" i="5"/>
  <c r="AQ231" i="5"/>
  <c r="AR231" i="5"/>
  <c r="AR330" i="5"/>
  <c r="AQ330" i="5"/>
  <c r="AQ401" i="5"/>
  <c r="AR401" i="5"/>
  <c r="AR420" i="5"/>
  <c r="AQ420" i="5"/>
  <c r="AR298" i="5"/>
  <c r="AQ298" i="5"/>
  <c r="AQ393" i="5"/>
  <c r="AR393" i="5"/>
  <c r="AQ339" i="5"/>
  <c r="AR339" i="5"/>
  <c r="AQ344" i="5"/>
  <c r="AR344" i="5"/>
  <c r="AR508" i="5"/>
  <c r="AQ508" i="5"/>
  <c r="AQ442" i="5"/>
  <c r="AR442" i="5"/>
  <c r="AQ475" i="5"/>
  <c r="AR475" i="5"/>
  <c r="AQ457" i="5"/>
  <c r="AR457" i="5"/>
  <c r="AQ505" i="5"/>
  <c r="AR505" i="5"/>
  <c r="AR524" i="5"/>
  <c r="AQ524" i="5"/>
  <c r="AQ204" i="5"/>
  <c r="AR204" i="5"/>
  <c r="AQ541" i="5"/>
  <c r="AR541" i="5"/>
  <c r="AR532" i="5"/>
  <c r="AQ532" i="5"/>
  <c r="AQ119" i="5"/>
  <c r="AR119" i="5"/>
  <c r="AQ29" i="5"/>
  <c r="AR29" i="5"/>
  <c r="AR24" i="5"/>
  <c r="AQ24" i="5"/>
  <c r="AR25" i="5"/>
  <c r="AQ25" i="5"/>
  <c r="AR78" i="5"/>
  <c r="AQ78" i="5"/>
  <c r="AQ79" i="5"/>
  <c r="AR79" i="5"/>
  <c r="AR141" i="5"/>
  <c r="AQ141" i="5"/>
  <c r="AQ118" i="5"/>
  <c r="AR118" i="5"/>
  <c r="AR110" i="5"/>
  <c r="AQ110" i="5"/>
  <c r="AR187" i="5"/>
  <c r="AQ187" i="5"/>
  <c r="AQ199" i="5"/>
  <c r="AR199" i="5"/>
  <c r="AR164" i="5"/>
  <c r="AQ164" i="5"/>
  <c r="AQ195" i="5"/>
  <c r="AR195" i="5"/>
  <c r="AQ233" i="5"/>
  <c r="AR233" i="5"/>
  <c r="AR250" i="5"/>
  <c r="AQ250" i="5"/>
  <c r="AQ316" i="5"/>
  <c r="AR316" i="5"/>
  <c r="AQ328" i="5"/>
  <c r="AR328" i="5"/>
  <c r="AR281" i="5"/>
  <c r="AQ281" i="5"/>
  <c r="AQ345" i="5"/>
  <c r="AR345" i="5"/>
  <c r="AQ378" i="5"/>
  <c r="AR378" i="5"/>
  <c r="AQ438" i="5"/>
  <c r="AR438" i="5"/>
  <c r="AQ451" i="5"/>
  <c r="AR451" i="5"/>
  <c r="AR496" i="5"/>
  <c r="AQ496" i="5"/>
  <c r="AQ439" i="5"/>
  <c r="AR439" i="5"/>
  <c r="AR507" i="5"/>
  <c r="AQ507" i="5"/>
  <c r="AR44" i="5"/>
  <c r="AQ44" i="5"/>
  <c r="AR26" i="5"/>
  <c r="AQ26" i="5"/>
  <c r="AQ94" i="5"/>
  <c r="AR94" i="5"/>
  <c r="AR143" i="5"/>
  <c r="AQ143" i="5"/>
  <c r="AR112" i="5"/>
  <c r="AQ112" i="5"/>
  <c r="AR214" i="5"/>
  <c r="AQ214" i="5"/>
  <c r="AR315" i="5"/>
  <c r="AQ315" i="5"/>
  <c r="AQ285" i="5"/>
  <c r="AR285" i="5"/>
  <c r="AQ326" i="5"/>
  <c r="AR326" i="5"/>
  <c r="AR350" i="5"/>
  <c r="AQ350" i="5"/>
  <c r="AR443" i="5"/>
  <c r="AQ443" i="5"/>
  <c r="AR485" i="5"/>
  <c r="AQ485" i="5"/>
  <c r="AR476" i="5"/>
  <c r="AQ476" i="5"/>
  <c r="AR389" i="5"/>
  <c r="AQ389" i="5"/>
  <c r="AQ529" i="5"/>
  <c r="AR529" i="5"/>
  <c r="AQ279" i="5"/>
  <c r="AR279" i="5"/>
  <c r="AR545" i="5"/>
  <c r="AQ545" i="5"/>
  <c r="AQ32" i="5"/>
  <c r="AR32" i="5"/>
  <c r="AR68" i="5"/>
  <c r="AQ68" i="5"/>
  <c r="AR107" i="5"/>
  <c r="AQ107" i="5"/>
  <c r="AQ106" i="5"/>
  <c r="AR106" i="5"/>
  <c r="AR125" i="5"/>
  <c r="AQ125" i="5"/>
  <c r="AQ206" i="5"/>
  <c r="AR206" i="5"/>
  <c r="AQ263" i="5"/>
  <c r="AR263" i="5"/>
  <c r="AR253" i="5"/>
  <c r="AQ253" i="5"/>
  <c r="AR411" i="5"/>
  <c r="AQ411" i="5"/>
  <c r="AR427" i="5"/>
  <c r="AQ427" i="5"/>
  <c r="AQ408" i="5"/>
  <c r="AR408" i="5"/>
  <c r="AQ468" i="5"/>
  <c r="AR468" i="5"/>
  <c r="AQ537" i="5"/>
  <c r="AR537" i="5"/>
  <c r="V476" i="5"/>
  <c r="U476" i="5"/>
  <c r="U397" i="5"/>
  <c r="V397" i="5"/>
  <c r="V553" i="5"/>
  <c r="U553" i="5"/>
  <c r="U527" i="5"/>
  <c r="V527" i="5"/>
  <c r="V541" i="5"/>
  <c r="U541" i="5"/>
  <c r="U484" i="5"/>
  <c r="V484" i="5"/>
  <c r="U346" i="5"/>
  <c r="V346" i="5"/>
  <c r="U495" i="5"/>
  <c r="V495" i="5"/>
  <c r="V487" i="5"/>
  <c r="U487" i="5"/>
  <c r="U446" i="5"/>
  <c r="V446" i="5"/>
  <c r="V374" i="5"/>
  <c r="U374" i="5"/>
  <c r="U333" i="5"/>
  <c r="V333" i="5"/>
  <c r="U496" i="5"/>
  <c r="V496" i="5"/>
  <c r="U475" i="5"/>
  <c r="V475" i="5"/>
  <c r="U431" i="5"/>
  <c r="V431" i="5"/>
  <c r="U508" i="5"/>
  <c r="V508" i="5"/>
  <c r="V494" i="5"/>
  <c r="U494" i="5"/>
  <c r="V441" i="5"/>
  <c r="U441" i="5"/>
  <c r="U384" i="5"/>
  <c r="V384" i="5"/>
  <c r="U392" i="5"/>
  <c r="V392" i="5"/>
  <c r="V340" i="5"/>
  <c r="U340" i="5"/>
  <c r="U275" i="5"/>
  <c r="V275" i="5"/>
  <c r="U385" i="5"/>
  <c r="V385" i="5"/>
  <c r="U372" i="5"/>
  <c r="V372" i="5"/>
  <c r="U424" i="5"/>
  <c r="V424" i="5"/>
  <c r="V378" i="5"/>
  <c r="U378" i="5"/>
  <c r="V362" i="5"/>
  <c r="U362" i="5"/>
  <c r="U280" i="5"/>
  <c r="V280" i="5"/>
  <c r="U354" i="5"/>
  <c r="V354" i="5"/>
  <c r="V300" i="5"/>
  <c r="U300" i="5"/>
  <c r="U259" i="5"/>
  <c r="V259" i="5"/>
  <c r="U231" i="5"/>
  <c r="V231" i="5"/>
  <c r="V292" i="5"/>
  <c r="U292" i="5"/>
  <c r="U276" i="5"/>
  <c r="V276" i="5"/>
  <c r="V318" i="5"/>
  <c r="U318" i="5"/>
  <c r="V273" i="5"/>
  <c r="U273" i="5"/>
  <c r="U176" i="5"/>
  <c r="V176" i="5"/>
  <c r="U235" i="5"/>
  <c r="V235" i="5"/>
  <c r="V174" i="5"/>
  <c r="U174" i="5"/>
  <c r="U242" i="5"/>
  <c r="V242" i="5"/>
  <c r="U150" i="5"/>
  <c r="V150" i="5"/>
  <c r="U211" i="5"/>
  <c r="V211" i="5"/>
  <c r="U203" i="5"/>
  <c r="V203" i="5"/>
  <c r="U190" i="5"/>
  <c r="V190" i="5"/>
  <c r="U79" i="5"/>
  <c r="V79" i="5"/>
  <c r="V181" i="5"/>
  <c r="U181" i="5"/>
  <c r="V171" i="5"/>
  <c r="U171" i="5"/>
  <c r="U130" i="5"/>
  <c r="V130" i="5"/>
  <c r="U131" i="5"/>
  <c r="V131" i="5"/>
  <c r="U117" i="5"/>
  <c r="V117" i="5"/>
  <c r="U136" i="5"/>
  <c r="V136" i="5"/>
  <c r="U121" i="5"/>
  <c r="V121" i="5"/>
  <c r="U83" i="5"/>
  <c r="V83" i="5"/>
  <c r="U82" i="5"/>
  <c r="V82" i="5"/>
  <c r="U76" i="5"/>
  <c r="V76" i="5"/>
  <c r="V63" i="5"/>
  <c r="U63" i="5"/>
  <c r="U30" i="5"/>
  <c r="V30" i="5"/>
  <c r="U64" i="5"/>
  <c r="V64" i="5"/>
  <c r="U22" i="5"/>
  <c r="V22" i="5"/>
  <c r="V38" i="5"/>
  <c r="U38" i="5"/>
  <c r="AQ492" i="5"/>
  <c r="AR492" i="5"/>
  <c r="AQ444" i="5"/>
  <c r="AR444" i="5"/>
  <c r="AR87" i="5"/>
  <c r="AQ87" i="5"/>
  <c r="AR115" i="5"/>
  <c r="AQ115" i="5"/>
  <c r="AR109" i="5"/>
  <c r="AQ109" i="5"/>
  <c r="AR172" i="5"/>
  <c r="AQ172" i="5"/>
  <c r="AR234" i="5"/>
  <c r="AQ234" i="5"/>
  <c r="AR265" i="5"/>
  <c r="AQ265" i="5"/>
  <c r="AR327" i="5"/>
  <c r="AQ327" i="5"/>
  <c r="AR307" i="5"/>
  <c r="AQ307" i="5"/>
  <c r="AQ394" i="5"/>
  <c r="AR394" i="5"/>
  <c r="AQ367" i="5"/>
  <c r="AR367" i="5"/>
  <c r="AQ414" i="5"/>
  <c r="AR414" i="5"/>
  <c r="AR302" i="5"/>
  <c r="AQ302" i="5"/>
  <c r="AR551" i="5"/>
  <c r="AQ551" i="5"/>
  <c r="AR413" i="5"/>
  <c r="AQ413" i="5"/>
  <c r="AR38" i="5"/>
  <c r="AQ38" i="5"/>
  <c r="AQ23" i="5"/>
  <c r="AR23" i="5"/>
  <c r="AQ69" i="5"/>
  <c r="AR69" i="5"/>
  <c r="AR153" i="5"/>
  <c r="AQ153" i="5"/>
  <c r="AQ175" i="5"/>
  <c r="AR175" i="5"/>
  <c r="AR229" i="5"/>
  <c r="AQ229" i="5"/>
  <c r="AR301" i="5"/>
  <c r="AQ301" i="5"/>
  <c r="AQ313" i="5"/>
  <c r="AR313" i="5"/>
  <c r="AQ341" i="5"/>
  <c r="AR341" i="5"/>
  <c r="AR487" i="5"/>
  <c r="AQ487" i="5"/>
  <c r="AQ516" i="5"/>
  <c r="AR516" i="5"/>
  <c r="AQ380" i="5"/>
  <c r="AR380" i="5"/>
  <c r="AR426" i="5"/>
  <c r="AQ426" i="5"/>
  <c r="AQ81" i="5"/>
  <c r="AR81" i="5"/>
  <c r="AQ146" i="5"/>
  <c r="AR146" i="5"/>
  <c r="AR184" i="5"/>
  <c r="AQ184" i="5"/>
  <c r="AQ201" i="5"/>
  <c r="AR201" i="5"/>
  <c r="AR235" i="5"/>
  <c r="AQ235" i="5"/>
  <c r="AQ258" i="5"/>
  <c r="AR258" i="5"/>
  <c r="AQ290" i="5"/>
  <c r="AR290" i="5"/>
  <c r="AQ398" i="5"/>
  <c r="AR398" i="5"/>
  <c r="AQ383" i="5"/>
  <c r="AR383" i="5"/>
  <c r="AQ384" i="5"/>
  <c r="AR384" i="5"/>
  <c r="AR363" i="5"/>
  <c r="AQ363" i="5"/>
  <c r="AQ557" i="5"/>
  <c r="AR557" i="5"/>
  <c r="AQ535" i="5"/>
  <c r="AR535" i="5"/>
  <c r="AR527" i="5"/>
  <c r="AQ527" i="5"/>
  <c r="AR193" i="5"/>
  <c r="AQ193" i="5"/>
  <c r="AQ473" i="5"/>
  <c r="AR473" i="5"/>
  <c r="AR40" i="5"/>
  <c r="AQ40" i="5"/>
  <c r="AQ73" i="5"/>
  <c r="AR73" i="5"/>
  <c r="AR98" i="5"/>
  <c r="AQ98" i="5"/>
  <c r="AR151" i="5"/>
  <c r="AQ151" i="5"/>
  <c r="AQ95" i="5"/>
  <c r="AR95" i="5"/>
  <c r="AR247" i="5"/>
  <c r="AQ247" i="5"/>
  <c r="AQ228" i="5"/>
  <c r="AR228" i="5"/>
  <c r="AR303" i="5"/>
  <c r="AQ303" i="5"/>
  <c r="AQ415" i="5"/>
  <c r="AR415" i="5"/>
  <c r="AQ407" i="5"/>
  <c r="AR407" i="5"/>
  <c r="AR385" i="5"/>
  <c r="AQ385" i="5"/>
  <c r="AQ489" i="5"/>
  <c r="AR489" i="5"/>
  <c r="AQ472" i="5"/>
  <c r="AR472" i="5"/>
  <c r="AQ440" i="5"/>
  <c r="AR440" i="5"/>
  <c r="U502" i="5"/>
  <c r="V502" i="5"/>
  <c r="V535" i="5"/>
  <c r="U535" i="5"/>
  <c r="U440" i="5"/>
  <c r="V440" i="5"/>
  <c r="U490" i="5"/>
  <c r="V490" i="5"/>
  <c r="V554" i="5"/>
  <c r="U554" i="5"/>
  <c r="U536" i="5"/>
  <c r="V536" i="5"/>
  <c r="V557" i="5"/>
  <c r="U557" i="5"/>
  <c r="U526" i="5"/>
  <c r="V526" i="5"/>
  <c r="U470" i="5"/>
  <c r="V470" i="5"/>
  <c r="U439" i="5"/>
  <c r="V439" i="5"/>
  <c r="U398" i="5"/>
  <c r="V398" i="5"/>
  <c r="U512" i="5"/>
  <c r="V512" i="5"/>
  <c r="U485" i="5"/>
  <c r="V485" i="5"/>
  <c r="U453" i="5"/>
  <c r="V453" i="5"/>
  <c r="U516" i="5"/>
  <c r="V516" i="5"/>
  <c r="V507" i="5"/>
  <c r="U507" i="5"/>
  <c r="U448" i="5"/>
  <c r="V448" i="5"/>
  <c r="V373" i="5"/>
  <c r="U373" i="5"/>
  <c r="AQ67" i="5"/>
  <c r="AR67" i="5"/>
  <c r="AR72" i="5"/>
  <c r="AQ72" i="5"/>
  <c r="AQ105" i="5"/>
  <c r="AR105" i="5"/>
  <c r="AQ148" i="5"/>
  <c r="AR148" i="5"/>
  <c r="AQ169" i="5"/>
  <c r="AR169" i="5"/>
  <c r="AR185" i="5"/>
  <c r="AQ185" i="5"/>
  <c r="AQ216" i="5"/>
  <c r="AR216" i="5"/>
  <c r="AQ222" i="5"/>
  <c r="AR222" i="5"/>
  <c r="AR287" i="5"/>
  <c r="AQ287" i="5"/>
  <c r="AQ332" i="5"/>
  <c r="AR332" i="5"/>
  <c r="AQ278" i="5"/>
  <c r="AR278" i="5"/>
  <c r="AQ289" i="5"/>
  <c r="AR289" i="5"/>
  <c r="AQ348" i="5"/>
  <c r="AR348" i="5"/>
  <c r="AQ382" i="5"/>
  <c r="AR382" i="5"/>
  <c r="AR387" i="5"/>
  <c r="AQ387" i="5"/>
  <c r="AQ305" i="5"/>
  <c r="AR305" i="5"/>
  <c r="AQ513" i="5"/>
  <c r="AR513" i="5"/>
  <c r="AQ517" i="5"/>
  <c r="AR517" i="5"/>
  <c r="AR477" i="5"/>
  <c r="AQ477" i="5"/>
  <c r="AQ549" i="5"/>
  <c r="AR549" i="5"/>
  <c r="AQ519" i="5"/>
  <c r="AR519" i="5"/>
  <c r="AQ470" i="5"/>
  <c r="AR470" i="5"/>
  <c r="AR128" i="5"/>
  <c r="AQ128" i="5"/>
  <c r="AR548" i="5"/>
  <c r="AQ548" i="5"/>
  <c r="AQ343" i="5"/>
  <c r="AR343" i="5"/>
  <c r="AR61" i="5"/>
  <c r="AQ61" i="5"/>
  <c r="AQ74" i="5"/>
  <c r="AR74" i="5"/>
  <c r="AQ124" i="5"/>
  <c r="AR124" i="5"/>
  <c r="AQ137" i="5"/>
  <c r="AR137" i="5"/>
  <c r="AQ170" i="5"/>
  <c r="AR170" i="5"/>
  <c r="AR186" i="5"/>
  <c r="AQ186" i="5"/>
  <c r="AR242" i="5"/>
  <c r="AQ242" i="5"/>
  <c r="AQ236" i="5"/>
  <c r="AR236" i="5"/>
  <c r="AQ293" i="5"/>
  <c r="AR293" i="5"/>
  <c r="AQ325" i="5"/>
  <c r="AR325" i="5"/>
  <c r="AQ310" i="5"/>
  <c r="AR310" i="5"/>
  <c r="AQ400" i="5"/>
  <c r="AR400" i="5"/>
  <c r="AQ329" i="5"/>
  <c r="AR329" i="5"/>
  <c r="AR168" i="5"/>
  <c r="AQ168" i="5"/>
  <c r="AQ445" i="5"/>
  <c r="AR445" i="5"/>
  <c r="AR514" i="5"/>
  <c r="AQ514" i="5"/>
  <c r="AR30" i="5"/>
  <c r="AQ30" i="5"/>
  <c r="AR28" i="5"/>
  <c r="AQ28" i="5"/>
  <c r="AQ36" i="5"/>
  <c r="AR36" i="5"/>
  <c r="AR48" i="5"/>
  <c r="AQ48" i="5"/>
  <c r="AR56" i="5"/>
  <c r="AQ56" i="5"/>
  <c r="AQ97" i="5"/>
  <c r="AR97" i="5"/>
  <c r="AR113" i="5"/>
  <c r="AQ113" i="5"/>
  <c r="AR104" i="5"/>
  <c r="AQ104" i="5"/>
  <c r="AR99" i="5"/>
  <c r="AQ99" i="5"/>
  <c r="AQ134" i="5"/>
  <c r="AR134" i="5"/>
  <c r="AR158" i="5"/>
  <c r="AQ158" i="5"/>
  <c r="AR149" i="5"/>
  <c r="AQ149" i="5"/>
  <c r="AR162" i="5"/>
  <c r="AQ162" i="5"/>
  <c r="AR192" i="5"/>
  <c r="AQ192" i="5"/>
  <c r="AR212" i="5"/>
  <c r="AQ212" i="5"/>
  <c r="AQ252" i="5"/>
  <c r="AR252" i="5"/>
  <c r="AQ264" i="5"/>
  <c r="AR264" i="5"/>
  <c r="AQ300" i="5"/>
  <c r="AR300" i="5"/>
  <c r="AQ338" i="5"/>
  <c r="AR338" i="5"/>
  <c r="AQ424" i="5"/>
  <c r="AR424" i="5"/>
  <c r="AQ437" i="5"/>
  <c r="AR437" i="5"/>
  <c r="AR355" i="5"/>
  <c r="AQ355" i="5"/>
  <c r="AQ202" i="5"/>
  <c r="AR202" i="5"/>
  <c r="AQ351" i="5"/>
  <c r="AR351" i="5"/>
  <c r="AQ361" i="5"/>
  <c r="AR361" i="5"/>
  <c r="AQ404" i="5"/>
  <c r="AR404" i="5"/>
  <c r="AQ294" i="5"/>
  <c r="AR294" i="5"/>
  <c r="AQ497" i="5"/>
  <c r="AR497" i="5"/>
  <c r="AQ462" i="5"/>
  <c r="AR462" i="5"/>
  <c r="AQ531" i="5"/>
  <c r="AR531" i="5"/>
  <c r="AQ506" i="5"/>
  <c r="AR506" i="5"/>
  <c r="AQ455" i="5"/>
  <c r="AR455" i="5"/>
  <c r="AQ560" i="5"/>
  <c r="AR560" i="5"/>
  <c r="AQ50" i="5"/>
  <c r="AR50" i="5"/>
  <c r="AQ59" i="5"/>
  <c r="AR59" i="5"/>
  <c r="AR80" i="5"/>
  <c r="AQ80" i="5"/>
  <c r="AR85" i="5"/>
  <c r="AQ85" i="5"/>
  <c r="AR120" i="5"/>
  <c r="AQ120" i="5"/>
  <c r="AR147" i="5"/>
  <c r="AQ147" i="5"/>
  <c r="AQ161" i="5"/>
  <c r="AR161" i="5"/>
  <c r="AQ167" i="5"/>
  <c r="AR167" i="5"/>
  <c r="AQ208" i="5"/>
  <c r="AR208" i="5"/>
  <c r="AQ220" i="5"/>
  <c r="AR220" i="5"/>
  <c r="AR225" i="5"/>
  <c r="AQ225" i="5"/>
  <c r="AQ320" i="5"/>
  <c r="AR320" i="5"/>
  <c r="AR266" i="5"/>
  <c r="AQ266" i="5"/>
  <c r="AR308" i="5"/>
  <c r="AQ308" i="5"/>
  <c r="AQ269" i="5"/>
  <c r="AR269" i="5"/>
  <c r="AR288" i="5"/>
  <c r="AQ288" i="5"/>
  <c r="AR342" i="5"/>
  <c r="AQ342" i="5"/>
  <c r="AR366" i="5"/>
  <c r="AQ366" i="5"/>
  <c r="AQ388" i="5"/>
  <c r="AR388" i="5"/>
  <c r="AQ429" i="5"/>
  <c r="AR429" i="5"/>
  <c r="AQ362" i="5"/>
  <c r="AR362" i="5"/>
  <c r="AR376" i="5"/>
  <c r="AQ376" i="5"/>
  <c r="AQ518" i="5"/>
  <c r="AR518" i="5"/>
  <c r="AR501" i="5"/>
  <c r="AQ501" i="5"/>
  <c r="AQ399" i="5"/>
  <c r="AR399" i="5"/>
  <c r="AQ478" i="5"/>
  <c r="AR478" i="5"/>
  <c r="AR550" i="5"/>
  <c r="AQ550" i="5"/>
  <c r="AR479" i="5"/>
  <c r="AQ479" i="5"/>
  <c r="AQ539" i="5"/>
  <c r="AR539" i="5"/>
  <c r="AQ465" i="5"/>
  <c r="AR465" i="5"/>
  <c r="AQ526" i="5"/>
  <c r="AR526" i="5"/>
  <c r="AQ395" i="5"/>
  <c r="AR395" i="5"/>
  <c r="AQ430" i="5"/>
  <c r="AR430" i="5"/>
  <c r="U520" i="5"/>
  <c r="V520" i="5"/>
  <c r="U479" i="5"/>
  <c r="V479" i="5"/>
  <c r="U423" i="5"/>
  <c r="V423" i="5"/>
  <c r="V549" i="5"/>
  <c r="U549" i="5"/>
  <c r="U528" i="5"/>
  <c r="V528" i="5"/>
  <c r="V555" i="5"/>
  <c r="U555" i="5"/>
  <c r="V543" i="5"/>
  <c r="U543" i="5"/>
  <c r="U514" i="5"/>
  <c r="V514" i="5"/>
  <c r="U426" i="5"/>
  <c r="V426" i="5"/>
  <c r="V544" i="5"/>
  <c r="U544" i="5"/>
  <c r="V548" i="5"/>
  <c r="U548" i="5"/>
  <c r="V540" i="5"/>
  <c r="U540" i="5"/>
  <c r="V529" i="5"/>
  <c r="U529" i="5"/>
  <c r="U352" i="5"/>
  <c r="V352" i="5"/>
  <c r="V304" i="5"/>
  <c r="U304" i="5"/>
  <c r="V538" i="5"/>
  <c r="U538" i="5"/>
  <c r="U506" i="5"/>
  <c r="V506" i="5"/>
  <c r="V489" i="5"/>
  <c r="U489" i="5"/>
  <c r="U477" i="5"/>
  <c r="V477" i="5"/>
  <c r="U463" i="5"/>
  <c r="V463" i="5"/>
  <c r="U452" i="5"/>
  <c r="V452" i="5"/>
  <c r="U434" i="5"/>
  <c r="V434" i="5"/>
  <c r="U413" i="5"/>
  <c r="V413" i="5"/>
  <c r="U377" i="5"/>
  <c r="V377" i="5"/>
  <c r="U358" i="5"/>
  <c r="V358" i="5"/>
  <c r="U519" i="5"/>
  <c r="V519" i="5"/>
  <c r="U504" i="5"/>
  <c r="V504" i="5"/>
  <c r="U498" i="5"/>
  <c r="V498" i="5"/>
  <c r="U480" i="5"/>
  <c r="V480" i="5"/>
  <c r="U468" i="5"/>
  <c r="V468" i="5"/>
  <c r="V456" i="5"/>
  <c r="U456" i="5"/>
  <c r="U438" i="5"/>
  <c r="V438" i="5"/>
  <c r="U347" i="5"/>
  <c r="V347" i="5"/>
  <c r="U532" i="5"/>
  <c r="V532" i="5"/>
  <c r="V513" i="5"/>
  <c r="U513" i="5"/>
  <c r="V499" i="5"/>
  <c r="U499" i="5"/>
  <c r="U478" i="5"/>
  <c r="V478" i="5"/>
  <c r="U458" i="5"/>
  <c r="V458" i="5"/>
  <c r="U443" i="5"/>
  <c r="V443" i="5"/>
  <c r="V428" i="5"/>
  <c r="U428" i="5"/>
  <c r="U324" i="5"/>
  <c r="V324" i="5"/>
  <c r="U411" i="5"/>
  <c r="V411" i="5"/>
  <c r="U399" i="5"/>
  <c r="V399" i="5"/>
  <c r="V382" i="5"/>
  <c r="U382" i="5"/>
  <c r="U363" i="5"/>
  <c r="V363" i="5"/>
  <c r="V348" i="5"/>
  <c r="U348" i="5"/>
  <c r="V294" i="5"/>
  <c r="U294" i="5"/>
  <c r="U195" i="5"/>
  <c r="V195" i="5"/>
  <c r="V407" i="5"/>
  <c r="U407" i="5"/>
  <c r="V386" i="5"/>
  <c r="U386" i="5"/>
  <c r="U375" i="5"/>
  <c r="V375" i="5"/>
  <c r="U341" i="5"/>
  <c r="V341" i="5"/>
  <c r="U214" i="5"/>
  <c r="V214" i="5"/>
  <c r="V429" i="5"/>
  <c r="U429" i="5"/>
  <c r="V415" i="5"/>
  <c r="U415" i="5"/>
  <c r="U400" i="5"/>
  <c r="V400" i="5"/>
  <c r="V381" i="5"/>
  <c r="U381" i="5"/>
  <c r="V364" i="5"/>
  <c r="U364" i="5"/>
  <c r="U345" i="5"/>
  <c r="V345" i="5"/>
  <c r="V315" i="5"/>
  <c r="U315" i="5"/>
  <c r="V283" i="5"/>
  <c r="U283" i="5"/>
  <c r="V356" i="5"/>
  <c r="U356" i="5"/>
  <c r="U335" i="5"/>
  <c r="V335" i="5"/>
  <c r="V320" i="5"/>
  <c r="U320" i="5"/>
  <c r="V303" i="5"/>
  <c r="U303" i="5"/>
  <c r="V293" i="5"/>
  <c r="U293" i="5"/>
  <c r="U271" i="5"/>
  <c r="V271" i="5"/>
  <c r="U261" i="5"/>
  <c r="V261" i="5"/>
  <c r="U246" i="5"/>
  <c r="V246" i="5"/>
  <c r="U331" i="5"/>
  <c r="V331" i="5"/>
  <c r="V316" i="5"/>
  <c r="U316" i="5"/>
  <c r="V299" i="5"/>
  <c r="U299" i="5"/>
  <c r="V284" i="5"/>
  <c r="U284" i="5"/>
  <c r="U251" i="5"/>
  <c r="V251" i="5"/>
  <c r="U135" i="5"/>
  <c r="V135" i="5"/>
  <c r="V322" i="5"/>
  <c r="U322" i="5"/>
  <c r="V306" i="5"/>
  <c r="U306" i="5"/>
  <c r="V282" i="5"/>
  <c r="U282" i="5"/>
  <c r="U274" i="5"/>
  <c r="V274" i="5"/>
  <c r="V263" i="5"/>
  <c r="U263" i="5"/>
  <c r="U254" i="5"/>
  <c r="V254" i="5"/>
  <c r="U241" i="5"/>
  <c r="V241" i="5"/>
  <c r="U236" i="5"/>
  <c r="V236" i="5"/>
  <c r="U225" i="5"/>
  <c r="V225" i="5"/>
  <c r="U210" i="5"/>
  <c r="V210" i="5"/>
  <c r="U180" i="5"/>
  <c r="V180" i="5"/>
  <c r="U243" i="5"/>
  <c r="V243" i="5"/>
  <c r="U229" i="5"/>
  <c r="V229" i="5"/>
  <c r="U212" i="5"/>
  <c r="V212" i="5"/>
  <c r="V159" i="5"/>
  <c r="U159" i="5"/>
  <c r="U245" i="5"/>
  <c r="V245" i="5"/>
  <c r="U224" i="5"/>
  <c r="V224" i="5"/>
  <c r="V215" i="5"/>
  <c r="U215" i="5"/>
  <c r="U205" i="5"/>
  <c r="V205" i="5"/>
  <c r="U196" i="5"/>
  <c r="V196" i="5"/>
  <c r="U204" i="5"/>
  <c r="V204" i="5"/>
  <c r="U194" i="5"/>
  <c r="V194" i="5"/>
  <c r="V185" i="5"/>
  <c r="U185" i="5"/>
  <c r="U172" i="5"/>
  <c r="V172" i="5"/>
  <c r="U100" i="5"/>
  <c r="V100" i="5"/>
  <c r="U170" i="5"/>
  <c r="V170" i="5"/>
  <c r="U133" i="5"/>
  <c r="V133" i="5"/>
  <c r="U187" i="5"/>
  <c r="V187" i="5"/>
  <c r="V173" i="5"/>
  <c r="U173" i="5"/>
  <c r="V149" i="5"/>
  <c r="U149" i="5"/>
  <c r="U152" i="5"/>
  <c r="V152" i="5"/>
  <c r="U138" i="5"/>
  <c r="V138" i="5"/>
  <c r="U115" i="5"/>
  <c r="V115" i="5"/>
  <c r="V156" i="5"/>
  <c r="U156" i="5"/>
  <c r="V137" i="5"/>
  <c r="U137" i="5"/>
  <c r="U123" i="5"/>
  <c r="V123" i="5"/>
  <c r="U109" i="5"/>
  <c r="V109" i="5"/>
  <c r="U84" i="5"/>
  <c r="V84" i="5"/>
  <c r="U139" i="5"/>
  <c r="V139" i="5"/>
  <c r="U126" i="5"/>
  <c r="V126" i="5"/>
  <c r="U87" i="5"/>
  <c r="V87" i="5"/>
  <c r="U101" i="5"/>
  <c r="V101" i="5"/>
  <c r="U85" i="5"/>
  <c r="V85" i="5"/>
  <c r="U107" i="5"/>
  <c r="V107" i="5"/>
  <c r="U69" i="5"/>
  <c r="V69" i="5"/>
  <c r="U94" i="5"/>
  <c r="V94" i="5"/>
  <c r="U92" i="5"/>
  <c r="V92" i="5"/>
  <c r="V61" i="5"/>
  <c r="U61" i="5"/>
  <c r="U80" i="5"/>
  <c r="V80" i="5"/>
  <c r="U66" i="5"/>
  <c r="V66" i="5"/>
  <c r="V35" i="5"/>
  <c r="U35" i="5"/>
  <c r="V59" i="5"/>
  <c r="U59" i="5"/>
  <c r="U33" i="5"/>
  <c r="V33" i="5"/>
  <c r="U70" i="5"/>
  <c r="V70" i="5"/>
  <c r="U52" i="5"/>
  <c r="V52" i="5"/>
  <c r="U47" i="5"/>
  <c r="V47" i="5"/>
  <c r="U34" i="5"/>
  <c r="V34" i="5"/>
  <c r="U39" i="5"/>
  <c r="V39" i="5"/>
  <c r="V26" i="5"/>
  <c r="U26" i="5"/>
  <c r="V44" i="5"/>
  <c r="U44" i="5"/>
  <c r="AQ130" i="5"/>
  <c r="AR130" i="5"/>
  <c r="AQ51" i="5"/>
  <c r="AR51" i="5"/>
  <c r="AQ62" i="5"/>
  <c r="AR62" i="5"/>
  <c r="AR102" i="5"/>
  <c r="AQ102" i="5"/>
  <c r="AQ156" i="5"/>
  <c r="AR156" i="5"/>
  <c r="AQ84" i="5"/>
  <c r="AR84" i="5"/>
  <c r="AQ183" i="5"/>
  <c r="AR183" i="5"/>
  <c r="AR181" i="5"/>
  <c r="AQ181" i="5"/>
  <c r="AQ189" i="5"/>
  <c r="AR189" i="5"/>
  <c r="AR243" i="5"/>
  <c r="AQ243" i="5"/>
  <c r="AQ230" i="5"/>
  <c r="AR230" i="5"/>
  <c r="AQ205" i="5"/>
  <c r="AR205" i="5"/>
  <c r="AQ282" i="5"/>
  <c r="AR282" i="5"/>
  <c r="AQ200" i="5"/>
  <c r="AR200" i="5"/>
  <c r="AQ354" i="5"/>
  <c r="AR354" i="5"/>
  <c r="AQ226" i="5"/>
  <c r="AR226" i="5"/>
  <c r="AQ373" i="5"/>
  <c r="AR373" i="5"/>
  <c r="AQ256" i="5"/>
  <c r="AR256" i="5"/>
  <c r="AQ481" i="5"/>
  <c r="AR481" i="5"/>
  <c r="AR522" i="5"/>
  <c r="AQ522" i="5"/>
  <c r="AQ357" i="5"/>
  <c r="AR357" i="5"/>
  <c r="AR422" i="5"/>
  <c r="AQ422" i="5"/>
  <c r="AQ458" i="5"/>
  <c r="AR458" i="5"/>
  <c r="AQ423" i="5"/>
  <c r="AR423" i="5"/>
  <c r="AQ480" i="5"/>
  <c r="AR480" i="5"/>
  <c r="AQ520" i="5"/>
  <c r="AR520" i="5"/>
  <c r="AQ511" i="5"/>
  <c r="AR511" i="5"/>
  <c r="AR503" i="5"/>
  <c r="AQ503" i="5"/>
  <c r="AQ538" i="5"/>
  <c r="AR538" i="5"/>
  <c r="AQ64" i="5"/>
  <c r="AR64" i="5"/>
  <c r="AQ217" i="5"/>
  <c r="AR217" i="5"/>
  <c r="AR47" i="5"/>
  <c r="AQ47" i="5"/>
  <c r="AQ65" i="5"/>
  <c r="AR65" i="5"/>
  <c r="AQ55" i="5"/>
  <c r="AR55" i="5"/>
  <c r="AR121" i="5"/>
  <c r="AQ121" i="5"/>
  <c r="AQ92" i="5"/>
  <c r="AR92" i="5"/>
  <c r="AQ139" i="5"/>
  <c r="AR139" i="5"/>
  <c r="AR177" i="5"/>
  <c r="AQ177" i="5"/>
  <c r="AR182" i="5"/>
  <c r="AQ182" i="5"/>
  <c r="AR133" i="5"/>
  <c r="AQ133" i="5"/>
  <c r="AR190" i="5"/>
  <c r="AQ190" i="5"/>
  <c r="AR239" i="5"/>
  <c r="AQ239" i="5"/>
  <c r="AR159" i="5"/>
  <c r="AQ159" i="5"/>
  <c r="AR240" i="5"/>
  <c r="AQ240" i="5"/>
  <c r="AR257" i="5"/>
  <c r="AQ257" i="5"/>
  <c r="AR210" i="5"/>
  <c r="AQ210" i="5"/>
  <c r="AQ261" i="5"/>
  <c r="AR261" i="5"/>
  <c r="AQ296" i="5"/>
  <c r="AR296" i="5"/>
  <c r="AQ336" i="5"/>
  <c r="AR336" i="5"/>
  <c r="AR421" i="5"/>
  <c r="AQ421" i="5"/>
  <c r="AQ340" i="5"/>
  <c r="AR340" i="5"/>
  <c r="AQ368" i="5"/>
  <c r="AR368" i="5"/>
  <c r="AQ386" i="5"/>
  <c r="AR386" i="5"/>
  <c r="AR347" i="5"/>
  <c r="AQ347" i="5"/>
  <c r="AQ402" i="5"/>
  <c r="AR402" i="5"/>
  <c r="AQ417" i="5"/>
  <c r="AR417" i="5"/>
  <c r="AQ412" i="5"/>
  <c r="AR412" i="5"/>
  <c r="AQ510" i="5"/>
  <c r="AR510" i="5"/>
  <c r="AQ447" i="5"/>
  <c r="AR447" i="5"/>
  <c r="AQ460" i="5"/>
  <c r="AR460" i="5"/>
  <c r="AQ117" i="5"/>
  <c r="AR117" i="5"/>
  <c r="B114" i="2"/>
  <c r="B89" i="2"/>
  <c r="B85" i="2"/>
  <c r="B81" i="2"/>
  <c r="AU15" i="4" l="1"/>
  <c r="AV15" i="4" s="1"/>
  <c r="AX15" i="4"/>
  <c r="AY15" i="4" s="1"/>
  <c r="AU36" i="4"/>
  <c r="AV36" i="4" s="1"/>
  <c r="AX36" i="4"/>
  <c r="AY36" i="4" s="1"/>
  <c r="AX92" i="4"/>
  <c r="AY92" i="4" s="1"/>
  <c r="AU92" i="4"/>
  <c r="AV92" i="4" s="1"/>
  <c r="AU156" i="4"/>
  <c r="AV156" i="4" s="1"/>
  <c r="AX156" i="4"/>
  <c r="AY156" i="4" s="1"/>
  <c r="AX87" i="4"/>
  <c r="AU87" i="4"/>
  <c r="AV87" i="4" s="1"/>
  <c r="AU151" i="4"/>
  <c r="AV151" i="4" s="1"/>
  <c r="AX151" i="4"/>
  <c r="AY151" i="4" s="1"/>
  <c r="AU85" i="4"/>
  <c r="AV85" i="4" s="1"/>
  <c r="AX85" i="4"/>
  <c r="AY85" i="4" s="1"/>
  <c r="AX149" i="4"/>
  <c r="AY149" i="4" s="1"/>
  <c r="AU149" i="4"/>
  <c r="AV149" i="4" s="1"/>
  <c r="AU78" i="4"/>
  <c r="AV78" i="4" s="1"/>
  <c r="AX78" i="4"/>
  <c r="AU142" i="4"/>
  <c r="AV142" i="4" s="1"/>
  <c r="AX142" i="4"/>
  <c r="AY142" i="4" s="1"/>
  <c r="AU14" i="4"/>
  <c r="AV14" i="4" s="1"/>
  <c r="AX14" i="4"/>
  <c r="AY14" i="4" s="1"/>
  <c r="AX157" i="4"/>
  <c r="AY157" i="4" s="1"/>
  <c r="AU157" i="4"/>
  <c r="AV157" i="4" s="1"/>
  <c r="AU25" i="4"/>
  <c r="AV25" i="4" s="1"/>
  <c r="AX25" i="4"/>
  <c r="AY25" i="4" s="1"/>
  <c r="AU49" i="4"/>
  <c r="AV49" i="4" s="1"/>
  <c r="AX49" i="4"/>
  <c r="AY49" i="4" s="1"/>
  <c r="AX113" i="4"/>
  <c r="AY113" i="4" s="1"/>
  <c r="AU113" i="4"/>
  <c r="AV113" i="4" s="1"/>
  <c r="AX42" i="4"/>
  <c r="AY42" i="4" s="1"/>
  <c r="AU42" i="4"/>
  <c r="AV42" i="4" s="1"/>
  <c r="AX106" i="4"/>
  <c r="AY106" i="4" s="1"/>
  <c r="AU106" i="4"/>
  <c r="AV106" i="4" s="1"/>
  <c r="AX32" i="4"/>
  <c r="AU32" i="4"/>
  <c r="AV32" i="4" s="1"/>
  <c r="AU104" i="4"/>
  <c r="AV104" i="4" s="1"/>
  <c r="AX104" i="4"/>
  <c r="AY104" i="4" s="1"/>
  <c r="AX26" i="4"/>
  <c r="AY26" i="4" s="1"/>
  <c r="AU26" i="4"/>
  <c r="AV26" i="4" s="1"/>
  <c r="AU99" i="4"/>
  <c r="AV99" i="4" s="1"/>
  <c r="AX99" i="4"/>
  <c r="AY99" i="4" s="1"/>
  <c r="AX13" i="4"/>
  <c r="AY13" i="4" s="1"/>
  <c r="AU13" i="4"/>
  <c r="AV13" i="4" s="1"/>
  <c r="AU68" i="4"/>
  <c r="AV68" i="4" s="1"/>
  <c r="AX68" i="4"/>
  <c r="AY68" i="4" s="1"/>
  <c r="AX45" i="4"/>
  <c r="AU45" i="4"/>
  <c r="AV45" i="4" s="1"/>
  <c r="AX21" i="4"/>
  <c r="AY21" i="4" s="1"/>
  <c r="AU21" i="4"/>
  <c r="AV21" i="4" s="1"/>
  <c r="AX34" i="4"/>
  <c r="AU34" i="4"/>
  <c r="AV34" i="4" s="1"/>
  <c r="AX105" i="4"/>
  <c r="AY105" i="4" s="1"/>
  <c r="AU105" i="4"/>
  <c r="AV105" i="4" s="1"/>
  <c r="AX24" i="4"/>
  <c r="AY24" i="4" s="1"/>
  <c r="AU24" i="4"/>
  <c r="AV24" i="4" s="1"/>
  <c r="AX98" i="4"/>
  <c r="AY98" i="4" s="1"/>
  <c r="AU98" i="4"/>
  <c r="AV98" i="4" s="1"/>
  <c r="AU12" i="4"/>
  <c r="AV12" i="4" s="1"/>
  <c r="AX12" i="4"/>
  <c r="AY12" i="4" s="1"/>
  <c r="AU96" i="4"/>
  <c r="AV96" i="4" s="1"/>
  <c r="AX96" i="4"/>
  <c r="AY96" i="4" s="1"/>
  <c r="AX10" i="4"/>
  <c r="AY10" i="4" s="1"/>
  <c r="AU10" i="4"/>
  <c r="AV10" i="4" s="1"/>
  <c r="AU91" i="4"/>
  <c r="AV91" i="4" s="1"/>
  <c r="AX91" i="4"/>
  <c r="AY91" i="4" s="1"/>
  <c r="AX155" i="4"/>
  <c r="AY155" i="4" s="1"/>
  <c r="AU155" i="4"/>
  <c r="AV155" i="4" s="1"/>
  <c r="AX84" i="4"/>
  <c r="AY84" i="4" s="1"/>
  <c r="AU84" i="4"/>
  <c r="AV84" i="4" s="1"/>
  <c r="AX79" i="4"/>
  <c r="AY79" i="4" s="1"/>
  <c r="AU79" i="4"/>
  <c r="AV79" i="4" s="1"/>
  <c r="AU77" i="4"/>
  <c r="AV77" i="4" s="1"/>
  <c r="AX77" i="4"/>
  <c r="AY77" i="4" s="1"/>
  <c r="AU70" i="4"/>
  <c r="AV70" i="4" s="1"/>
  <c r="AX70" i="4"/>
  <c r="AY70" i="4" s="1"/>
  <c r="AU23" i="4"/>
  <c r="AV23" i="4" s="1"/>
  <c r="AX23" i="4"/>
  <c r="AY23" i="4" s="1"/>
  <c r="AU44" i="4"/>
  <c r="AV44" i="4" s="1"/>
  <c r="AX44" i="4"/>
  <c r="AY44" i="4" s="1"/>
  <c r="AX108" i="4"/>
  <c r="AY108" i="4" s="1"/>
  <c r="AU108" i="4"/>
  <c r="AV108" i="4" s="1"/>
  <c r="AU38" i="4"/>
  <c r="AV38" i="4" s="1"/>
  <c r="AX38" i="4"/>
  <c r="AY38" i="4" s="1"/>
  <c r="AX103" i="4"/>
  <c r="AY103" i="4" s="1"/>
  <c r="AU103" i="4"/>
  <c r="AV103" i="4" s="1"/>
  <c r="AX18" i="4"/>
  <c r="AY18" i="4" s="1"/>
  <c r="AU18" i="4"/>
  <c r="AV18" i="4" s="1"/>
  <c r="AU101" i="4"/>
  <c r="AV101" i="4" s="1"/>
  <c r="AX101" i="4"/>
  <c r="AY101" i="4" s="1"/>
  <c r="AU22" i="4"/>
  <c r="AV22" i="4" s="1"/>
  <c r="AX22" i="4"/>
  <c r="AY22" i="4" s="1"/>
  <c r="AU94" i="4"/>
  <c r="AV94" i="4" s="1"/>
  <c r="AX94" i="4"/>
  <c r="AY94" i="4" s="1"/>
  <c r="AU8" i="4"/>
  <c r="AX8" i="4"/>
  <c r="AX95" i="4"/>
  <c r="AY95" i="4" s="1"/>
  <c r="AU95" i="4"/>
  <c r="AV95" i="4" s="1"/>
  <c r="AU86" i="4"/>
  <c r="AV86" i="4" s="1"/>
  <c r="AX86" i="4"/>
  <c r="AY86" i="4" s="1"/>
  <c r="AU33" i="4"/>
  <c r="AV33" i="4" s="1"/>
  <c r="AX33" i="4"/>
  <c r="AY33" i="4" s="1"/>
  <c r="AU65" i="4"/>
  <c r="AV65" i="4" s="1"/>
  <c r="AX65" i="4"/>
  <c r="AY65" i="4" s="1"/>
  <c r="AX129" i="4"/>
  <c r="AY129" i="4" s="1"/>
  <c r="AU129" i="4"/>
  <c r="AV129" i="4" s="1"/>
  <c r="AX58" i="4"/>
  <c r="AY58" i="4" s="1"/>
  <c r="AU58" i="4"/>
  <c r="AV58" i="4" s="1"/>
  <c r="AX122" i="4"/>
  <c r="AY122" i="4" s="1"/>
  <c r="AU122" i="4"/>
  <c r="AV122" i="4" s="1"/>
  <c r="AX56" i="4"/>
  <c r="AY56" i="4" s="1"/>
  <c r="AU56" i="4"/>
  <c r="AV56" i="4" s="1"/>
  <c r="AU120" i="4"/>
  <c r="AV120" i="4" s="1"/>
  <c r="AX120" i="4"/>
  <c r="AY120" i="4" s="1"/>
  <c r="AU51" i="4"/>
  <c r="AV51" i="4" s="1"/>
  <c r="AX51" i="4"/>
  <c r="AY51" i="4" s="1"/>
  <c r="AU115" i="4"/>
  <c r="AV115" i="4" s="1"/>
  <c r="AX115" i="4"/>
  <c r="AY115" i="4" s="1"/>
  <c r="AX132" i="4"/>
  <c r="AY132" i="4" s="1"/>
  <c r="AU132" i="4"/>
  <c r="AV132" i="4" s="1"/>
  <c r="AU109" i="4"/>
  <c r="AV109" i="4" s="1"/>
  <c r="AX109" i="4"/>
  <c r="AY109" i="4" s="1"/>
  <c r="AX29" i="4"/>
  <c r="AY29" i="4" s="1"/>
  <c r="AU29" i="4"/>
  <c r="AV29" i="4" s="1"/>
  <c r="AU57" i="4"/>
  <c r="AV57" i="4" s="1"/>
  <c r="AX57" i="4"/>
  <c r="AY57" i="4" s="1"/>
  <c r="AX121" i="4"/>
  <c r="AY121" i="4" s="1"/>
  <c r="AU121" i="4"/>
  <c r="AV121" i="4" s="1"/>
  <c r="AX50" i="4"/>
  <c r="AY50" i="4" s="1"/>
  <c r="AU50" i="4"/>
  <c r="AV50" i="4" s="1"/>
  <c r="AX114" i="4"/>
  <c r="AY114" i="4" s="1"/>
  <c r="AU114" i="4"/>
  <c r="AV114" i="4" s="1"/>
  <c r="AX48" i="4"/>
  <c r="AY48" i="4" s="1"/>
  <c r="AU48" i="4"/>
  <c r="AV48" i="4" s="1"/>
  <c r="AU112" i="4"/>
  <c r="AV112" i="4" s="1"/>
  <c r="AX112" i="4"/>
  <c r="AY112" i="4" s="1"/>
  <c r="AU43" i="4"/>
  <c r="AV43" i="4" s="1"/>
  <c r="AX43" i="4"/>
  <c r="AY43" i="4" s="1"/>
  <c r="AU107" i="4"/>
  <c r="AV107" i="4" s="1"/>
  <c r="AX107" i="4"/>
  <c r="AY107" i="4" s="1"/>
  <c r="AU27" i="4"/>
  <c r="AV27" i="4" s="1"/>
  <c r="AX27" i="4"/>
  <c r="AY27" i="4" s="1"/>
  <c r="AX116" i="4"/>
  <c r="AY116" i="4" s="1"/>
  <c r="AU116" i="4"/>
  <c r="AV116" i="4" s="1"/>
  <c r="AX127" i="4"/>
  <c r="AY127" i="4" s="1"/>
  <c r="AU127" i="4"/>
  <c r="AV127" i="4" s="1"/>
  <c r="AU125" i="4"/>
  <c r="AV125" i="4" s="1"/>
  <c r="AX125" i="4"/>
  <c r="AY125" i="4" s="1"/>
  <c r="AU118" i="4"/>
  <c r="AV118" i="4" s="1"/>
  <c r="AX118" i="4"/>
  <c r="AY118" i="4" s="1"/>
  <c r="AY32" i="4"/>
  <c r="AY78" i="4"/>
  <c r="AY87" i="4"/>
  <c r="AU31" i="4"/>
  <c r="AV31" i="4" s="1"/>
  <c r="AX31" i="4"/>
  <c r="AY31" i="4" s="1"/>
  <c r="AU60" i="4"/>
  <c r="AV60" i="4" s="1"/>
  <c r="AX60" i="4"/>
  <c r="AY60" i="4" s="1"/>
  <c r="AX124" i="4"/>
  <c r="AY124" i="4" s="1"/>
  <c r="AU124" i="4"/>
  <c r="AV124" i="4" s="1"/>
  <c r="AU55" i="4"/>
  <c r="AV55" i="4" s="1"/>
  <c r="AX55" i="4"/>
  <c r="AY55" i="4" s="1"/>
  <c r="AX119" i="4"/>
  <c r="AY119" i="4" s="1"/>
  <c r="AU119" i="4"/>
  <c r="AV119" i="4" s="1"/>
  <c r="AX53" i="4"/>
  <c r="AY53" i="4" s="1"/>
  <c r="AU53" i="4"/>
  <c r="AV53" i="4" s="1"/>
  <c r="AU117" i="4"/>
  <c r="AV117" i="4" s="1"/>
  <c r="AX117" i="4"/>
  <c r="AY117" i="4" s="1"/>
  <c r="AU46" i="4"/>
  <c r="AV46" i="4" s="1"/>
  <c r="AX46" i="4"/>
  <c r="AY46" i="4" s="1"/>
  <c r="AU110" i="4"/>
  <c r="AV110" i="4" s="1"/>
  <c r="AX110" i="4"/>
  <c r="AY110" i="4" s="1"/>
  <c r="AU30" i="4"/>
  <c r="AV30" i="4" s="1"/>
  <c r="AX30" i="4"/>
  <c r="AY30" i="4" s="1"/>
  <c r="AU9" i="4"/>
  <c r="AV9" i="4" s="1"/>
  <c r="AX9" i="4"/>
  <c r="AY9" i="4" s="1"/>
  <c r="AU150" i="4"/>
  <c r="AV150" i="4" s="1"/>
  <c r="AX150" i="4"/>
  <c r="AY150" i="4" s="1"/>
  <c r="AU41" i="4"/>
  <c r="AV41" i="4" s="1"/>
  <c r="AX41" i="4"/>
  <c r="AY41" i="4" s="1"/>
  <c r="AX81" i="4"/>
  <c r="AY81" i="4" s="1"/>
  <c r="AU81" i="4"/>
  <c r="AV81" i="4" s="1"/>
  <c r="AU145" i="4"/>
  <c r="AV145" i="4" s="1"/>
  <c r="AX145" i="4"/>
  <c r="AY145" i="4" s="1"/>
  <c r="AX74" i="4"/>
  <c r="AY74" i="4" s="1"/>
  <c r="AU74" i="4"/>
  <c r="AV74" i="4" s="1"/>
  <c r="AX138" i="4"/>
  <c r="AY138" i="4" s="1"/>
  <c r="AU138" i="4"/>
  <c r="AV138" i="4" s="1"/>
  <c r="AU72" i="4"/>
  <c r="AV72" i="4" s="1"/>
  <c r="AX72" i="4"/>
  <c r="AY72" i="4" s="1"/>
  <c r="AU136" i="4"/>
  <c r="AV136" i="4" s="1"/>
  <c r="AX136" i="4"/>
  <c r="AY136" i="4" s="1"/>
  <c r="AU67" i="4"/>
  <c r="AV67" i="4" s="1"/>
  <c r="AX67" i="4"/>
  <c r="AY67" i="4" s="1"/>
  <c r="AU131" i="4"/>
  <c r="AV131" i="4" s="1"/>
  <c r="AX131" i="4"/>
  <c r="AY131" i="4" s="1"/>
  <c r="AU19" i="4"/>
  <c r="AV19" i="4" s="1"/>
  <c r="AX19" i="4"/>
  <c r="AY19" i="4" s="1"/>
  <c r="AU47" i="4"/>
  <c r="AV47" i="4" s="1"/>
  <c r="AX47" i="4"/>
  <c r="AY47" i="4" s="1"/>
  <c r="AX40" i="4"/>
  <c r="AY40" i="4" s="1"/>
  <c r="AU40" i="4"/>
  <c r="AV40" i="4" s="1"/>
  <c r="AX37" i="4"/>
  <c r="AY37" i="4" s="1"/>
  <c r="AU37" i="4"/>
  <c r="AV37" i="4" s="1"/>
  <c r="AX73" i="4"/>
  <c r="AY73" i="4" s="1"/>
  <c r="AU73" i="4"/>
  <c r="AV73" i="4" s="1"/>
  <c r="AX137" i="4"/>
  <c r="AY137" i="4" s="1"/>
  <c r="AU137" i="4"/>
  <c r="AV137" i="4" s="1"/>
  <c r="AX66" i="4"/>
  <c r="AY66" i="4" s="1"/>
  <c r="AU66" i="4"/>
  <c r="AV66" i="4" s="1"/>
  <c r="AX130" i="4"/>
  <c r="AY130" i="4" s="1"/>
  <c r="AU130" i="4"/>
  <c r="AV130" i="4" s="1"/>
  <c r="AX64" i="4"/>
  <c r="AY64" i="4" s="1"/>
  <c r="AU64" i="4"/>
  <c r="AV64" i="4" s="1"/>
  <c r="AU128" i="4"/>
  <c r="AV128" i="4" s="1"/>
  <c r="AX128" i="4"/>
  <c r="AY128" i="4" s="1"/>
  <c r="AU59" i="4"/>
  <c r="AV59" i="4" s="1"/>
  <c r="AX59" i="4"/>
  <c r="AY59" i="4" s="1"/>
  <c r="AU123" i="4"/>
  <c r="AV123" i="4" s="1"/>
  <c r="AX123" i="4"/>
  <c r="AY123" i="4" s="1"/>
  <c r="AU20" i="4"/>
  <c r="AV20" i="4" s="1"/>
  <c r="AX20" i="4"/>
  <c r="AY20" i="4" s="1"/>
  <c r="AU148" i="4"/>
  <c r="AV148" i="4" s="1"/>
  <c r="AX148" i="4"/>
  <c r="AY148" i="4" s="1"/>
  <c r="AX143" i="4"/>
  <c r="AY143" i="4" s="1"/>
  <c r="AU143" i="4"/>
  <c r="AV143" i="4" s="1"/>
  <c r="AU141" i="4"/>
  <c r="AV141" i="4" s="1"/>
  <c r="AX141" i="4"/>
  <c r="AY141" i="4" s="1"/>
  <c r="AU134" i="4"/>
  <c r="AV134" i="4" s="1"/>
  <c r="AX134" i="4"/>
  <c r="AY134" i="4" s="1"/>
  <c r="AY34" i="4"/>
  <c r="AY45" i="4"/>
  <c r="AU39" i="4"/>
  <c r="AV39" i="4" s="1"/>
  <c r="AX39" i="4"/>
  <c r="AY39" i="4" s="1"/>
  <c r="AX76" i="4"/>
  <c r="AY76" i="4" s="1"/>
  <c r="AU76" i="4"/>
  <c r="AV76" i="4" s="1"/>
  <c r="AX140" i="4"/>
  <c r="AY140" i="4" s="1"/>
  <c r="AU140" i="4"/>
  <c r="AV140" i="4" s="1"/>
  <c r="AX71" i="4"/>
  <c r="AY71" i="4" s="1"/>
  <c r="AU71" i="4"/>
  <c r="AV71" i="4" s="1"/>
  <c r="AX135" i="4"/>
  <c r="AY135" i="4" s="1"/>
  <c r="AU135" i="4"/>
  <c r="AV135" i="4" s="1"/>
  <c r="AU69" i="4"/>
  <c r="AV69" i="4" s="1"/>
  <c r="AX69" i="4"/>
  <c r="AY69" i="4" s="1"/>
  <c r="AU133" i="4"/>
  <c r="AV133" i="4" s="1"/>
  <c r="AX133" i="4"/>
  <c r="AY133" i="4" s="1"/>
  <c r="AU62" i="4"/>
  <c r="AV62" i="4" s="1"/>
  <c r="AX62" i="4"/>
  <c r="AY62" i="4" s="1"/>
  <c r="AU126" i="4"/>
  <c r="AV126" i="4" s="1"/>
  <c r="AX126" i="4"/>
  <c r="AY126" i="4" s="1"/>
  <c r="AX100" i="4"/>
  <c r="AY100" i="4" s="1"/>
  <c r="AU100" i="4"/>
  <c r="AV100" i="4" s="1"/>
  <c r="AU93" i="4"/>
  <c r="AV93" i="4" s="1"/>
  <c r="AX93" i="4"/>
  <c r="AY93" i="4" s="1"/>
  <c r="AU17" i="4"/>
  <c r="AV17" i="4" s="1"/>
  <c r="AX17" i="4"/>
  <c r="AY17" i="4" s="1"/>
  <c r="AX16" i="4"/>
  <c r="AY16" i="4" s="1"/>
  <c r="AU16" i="4"/>
  <c r="AV16" i="4" s="1"/>
  <c r="AX97" i="4"/>
  <c r="AY97" i="4" s="1"/>
  <c r="AU97" i="4"/>
  <c r="AV97" i="4" s="1"/>
  <c r="AU11" i="4"/>
  <c r="AV11" i="4" s="1"/>
  <c r="AX11" i="4"/>
  <c r="AY11" i="4" s="1"/>
  <c r="AX90" i="4"/>
  <c r="AY90" i="4" s="1"/>
  <c r="AU90" i="4"/>
  <c r="AV90" i="4" s="1"/>
  <c r="AX154" i="4"/>
  <c r="AY154" i="4" s="1"/>
  <c r="AU154" i="4"/>
  <c r="AV154" i="4" s="1"/>
  <c r="AU88" i="4"/>
  <c r="AV88" i="4" s="1"/>
  <c r="AX88" i="4"/>
  <c r="AY88" i="4" s="1"/>
  <c r="AU152" i="4"/>
  <c r="AV152" i="4" s="1"/>
  <c r="AX152" i="4"/>
  <c r="AY152" i="4" s="1"/>
  <c r="AU83" i="4"/>
  <c r="AV83" i="4" s="1"/>
  <c r="AX83" i="4"/>
  <c r="AY83" i="4" s="1"/>
  <c r="AU147" i="4"/>
  <c r="AV147" i="4" s="1"/>
  <c r="AX147" i="4"/>
  <c r="AY147" i="4" s="1"/>
  <c r="AU35" i="4"/>
  <c r="AV35" i="4" s="1"/>
  <c r="AX35" i="4"/>
  <c r="AY35" i="4" s="1"/>
  <c r="AX111" i="4"/>
  <c r="AY111" i="4" s="1"/>
  <c r="AU111" i="4"/>
  <c r="AV111" i="4" s="1"/>
  <c r="AU102" i="4"/>
  <c r="AV102" i="4" s="1"/>
  <c r="AX102" i="4"/>
  <c r="AY102" i="4" s="1"/>
  <c r="AU28" i="4"/>
  <c r="AV28" i="4" s="1"/>
  <c r="AX28" i="4"/>
  <c r="AY28" i="4" s="1"/>
  <c r="AX89" i="4"/>
  <c r="AY89" i="4" s="1"/>
  <c r="AU89" i="4"/>
  <c r="AV89" i="4" s="1"/>
  <c r="AU153" i="4"/>
  <c r="AV153" i="4" s="1"/>
  <c r="AX153" i="4"/>
  <c r="AY153" i="4" s="1"/>
  <c r="AX82" i="4"/>
  <c r="AY82" i="4" s="1"/>
  <c r="AU82" i="4"/>
  <c r="AV82" i="4" s="1"/>
  <c r="AX146" i="4"/>
  <c r="AY146" i="4" s="1"/>
  <c r="AU146" i="4"/>
  <c r="AV146" i="4" s="1"/>
  <c r="AU80" i="4"/>
  <c r="AV80" i="4" s="1"/>
  <c r="AX80" i="4"/>
  <c r="AY80" i="4" s="1"/>
  <c r="AU144" i="4"/>
  <c r="AV144" i="4" s="1"/>
  <c r="AX144" i="4"/>
  <c r="AY144" i="4" s="1"/>
  <c r="AU75" i="4"/>
  <c r="AV75" i="4" s="1"/>
  <c r="AX75" i="4"/>
  <c r="AY75" i="4" s="1"/>
  <c r="AU139" i="4"/>
  <c r="AV139" i="4" s="1"/>
  <c r="AX139" i="4"/>
  <c r="AY139" i="4" s="1"/>
  <c r="AU52" i="4"/>
  <c r="AV52" i="4" s="1"/>
  <c r="AX52" i="4"/>
  <c r="AY52" i="4" s="1"/>
  <c r="AU63" i="4"/>
  <c r="AV63" i="4" s="1"/>
  <c r="AX63" i="4"/>
  <c r="AY63" i="4" s="1"/>
  <c r="AX61" i="4"/>
  <c r="AY61" i="4" s="1"/>
  <c r="AU61" i="4"/>
  <c r="AV61" i="4" s="1"/>
  <c r="AU54" i="4"/>
  <c r="AV54" i="4" s="1"/>
  <c r="AX54" i="4"/>
  <c r="AY54" i="4" s="1"/>
  <c r="U7" i="4"/>
  <c r="V7" i="4" s="1"/>
  <c r="AI7" i="4"/>
  <c r="BW144" i="4"/>
  <c r="BR144" i="4"/>
  <c r="BT144" i="4" s="1"/>
  <c r="BG144" i="4"/>
  <c r="BR112" i="4"/>
  <c r="BT112" i="4" s="1"/>
  <c r="BG112" i="4"/>
  <c r="BG80" i="4"/>
  <c r="BR80" i="4"/>
  <c r="BT80" i="4" s="1"/>
  <c r="BG48" i="4"/>
  <c r="BR48" i="4"/>
  <c r="BT48" i="4" s="1"/>
  <c r="BG18" i="4"/>
  <c r="BR18" i="4"/>
  <c r="BT18" i="4" s="1"/>
  <c r="BR146" i="4"/>
  <c r="BT146" i="4" s="1"/>
  <c r="BG146" i="4"/>
  <c r="BG114" i="4"/>
  <c r="BR114" i="4"/>
  <c r="BT114" i="4" s="1"/>
  <c r="BG82" i="4"/>
  <c r="BR82" i="4"/>
  <c r="BT82" i="4" s="1"/>
  <c r="BG50" i="4"/>
  <c r="BR50" i="4"/>
  <c r="BT50" i="4" s="1"/>
  <c r="BG28" i="4"/>
  <c r="BR28" i="4"/>
  <c r="BT28" i="4" s="1"/>
  <c r="BG156" i="4"/>
  <c r="BR156" i="4"/>
  <c r="BT156" i="4" s="1"/>
  <c r="BG124" i="4"/>
  <c r="BR124" i="4"/>
  <c r="BT124" i="4" s="1"/>
  <c r="BG92" i="4"/>
  <c r="BR92" i="4"/>
  <c r="BT92" i="4" s="1"/>
  <c r="BR60" i="4"/>
  <c r="BT60" i="4" s="1"/>
  <c r="BG60" i="4"/>
  <c r="BR31" i="4"/>
  <c r="BT31" i="4" s="1"/>
  <c r="BG31" i="4"/>
  <c r="BR126" i="4"/>
  <c r="BT126" i="4" s="1"/>
  <c r="BG126" i="4"/>
  <c r="BR94" i="4"/>
  <c r="BT94" i="4" s="1"/>
  <c r="BG94" i="4"/>
  <c r="BR62" i="4"/>
  <c r="BT62" i="4" s="1"/>
  <c r="BG62" i="4"/>
  <c r="BG37" i="4"/>
  <c r="BR37" i="4"/>
  <c r="BT37" i="4" s="1"/>
  <c r="BR13" i="4"/>
  <c r="BT13" i="4" s="1"/>
  <c r="BG13" i="4"/>
  <c r="BG155" i="4"/>
  <c r="BR155" i="4"/>
  <c r="BT155" i="4" s="1"/>
  <c r="BW147" i="4"/>
  <c r="BG147" i="4"/>
  <c r="BR147" i="4"/>
  <c r="BT147" i="4" s="1"/>
  <c r="BG139" i="4"/>
  <c r="BR139" i="4"/>
  <c r="BT139" i="4" s="1"/>
  <c r="BG131" i="4"/>
  <c r="BR131" i="4"/>
  <c r="BT131" i="4" s="1"/>
  <c r="BG123" i="4"/>
  <c r="BR123" i="4"/>
  <c r="BT123" i="4" s="1"/>
  <c r="BG115" i="4"/>
  <c r="BR115" i="4"/>
  <c r="BT115" i="4" s="1"/>
  <c r="BG107" i="4"/>
  <c r="BR107" i="4"/>
  <c r="BT107" i="4" s="1"/>
  <c r="BG99" i="4"/>
  <c r="BR99" i="4"/>
  <c r="BT99" i="4" s="1"/>
  <c r="BG91" i="4"/>
  <c r="BR91" i="4"/>
  <c r="BT91" i="4" s="1"/>
  <c r="BG83" i="4"/>
  <c r="BR83" i="4"/>
  <c r="BT83" i="4" s="1"/>
  <c r="BG75" i="4"/>
  <c r="BR75" i="4"/>
  <c r="BT75" i="4" s="1"/>
  <c r="BG67" i="4"/>
  <c r="BR67" i="4"/>
  <c r="BT67" i="4" s="1"/>
  <c r="BG59" i="4"/>
  <c r="BR59" i="4"/>
  <c r="BT59" i="4" s="1"/>
  <c r="BG51" i="4"/>
  <c r="BR51" i="4"/>
  <c r="BT51" i="4" s="1"/>
  <c r="BG43" i="4"/>
  <c r="BR43" i="4"/>
  <c r="BT43" i="4" s="1"/>
  <c r="BW30" i="4"/>
  <c r="BG30" i="4"/>
  <c r="BR30" i="4"/>
  <c r="BT30" i="4" s="1"/>
  <c r="BG152" i="4"/>
  <c r="BR152" i="4"/>
  <c r="BT152" i="4" s="1"/>
  <c r="BR120" i="4"/>
  <c r="BT120" i="4" s="1"/>
  <c r="BG120" i="4"/>
  <c r="BR88" i="4"/>
  <c r="BT88" i="4" s="1"/>
  <c r="BG88" i="4"/>
  <c r="BR56" i="4"/>
  <c r="BT56" i="4" s="1"/>
  <c r="BG56" i="4"/>
  <c r="BG29" i="4"/>
  <c r="BR29" i="4"/>
  <c r="BT29" i="4" s="1"/>
  <c r="BG154" i="4"/>
  <c r="BR154" i="4"/>
  <c r="BT154" i="4" s="1"/>
  <c r="BG122" i="4"/>
  <c r="BR122" i="4"/>
  <c r="BT122" i="4" s="1"/>
  <c r="BG90" i="4"/>
  <c r="BR90" i="4"/>
  <c r="BT90" i="4" s="1"/>
  <c r="BG58" i="4"/>
  <c r="BR58" i="4"/>
  <c r="BT58" i="4" s="1"/>
  <c r="BG35" i="4"/>
  <c r="BR35" i="4"/>
  <c r="BT35" i="4" s="1"/>
  <c r="BG14" i="4"/>
  <c r="BR14" i="4"/>
  <c r="BT14" i="4" s="1"/>
  <c r="BG132" i="4"/>
  <c r="BR132" i="4"/>
  <c r="BT132" i="4" s="1"/>
  <c r="BG100" i="4"/>
  <c r="BR100" i="4"/>
  <c r="BT100" i="4" s="1"/>
  <c r="BG68" i="4"/>
  <c r="BR68" i="4"/>
  <c r="BT68" i="4" s="1"/>
  <c r="BR34" i="4"/>
  <c r="BT34" i="4" s="1"/>
  <c r="BG34" i="4"/>
  <c r="BR16" i="4"/>
  <c r="BT16" i="4" s="1"/>
  <c r="BG16" i="4"/>
  <c r="BG134" i="4"/>
  <c r="BR134" i="4"/>
  <c r="BT134" i="4" s="1"/>
  <c r="BG102" i="4"/>
  <c r="BR102" i="4"/>
  <c r="BT102" i="4" s="1"/>
  <c r="BG70" i="4"/>
  <c r="BR70" i="4"/>
  <c r="BT70" i="4" s="1"/>
  <c r="BG40" i="4"/>
  <c r="BR40" i="4"/>
  <c r="BT40" i="4" s="1"/>
  <c r="BG19" i="4"/>
  <c r="BR19" i="4"/>
  <c r="BT19" i="4" s="1"/>
  <c r="BG157" i="4"/>
  <c r="BR157" i="4"/>
  <c r="BT157" i="4" s="1"/>
  <c r="BG149" i="4"/>
  <c r="BR149" i="4"/>
  <c r="BT149" i="4" s="1"/>
  <c r="BG141" i="4"/>
  <c r="BR141" i="4"/>
  <c r="BT141" i="4" s="1"/>
  <c r="BG133" i="4"/>
  <c r="BR133" i="4"/>
  <c r="BT133" i="4" s="1"/>
  <c r="BG125" i="4"/>
  <c r="BR125" i="4"/>
  <c r="BT125" i="4" s="1"/>
  <c r="BG117" i="4"/>
  <c r="BR117" i="4"/>
  <c r="BT117" i="4" s="1"/>
  <c r="BG109" i="4"/>
  <c r="BR109" i="4"/>
  <c r="BT109" i="4" s="1"/>
  <c r="BG101" i="4"/>
  <c r="BR101" i="4"/>
  <c r="BT101" i="4" s="1"/>
  <c r="BG93" i="4"/>
  <c r="BR93" i="4"/>
  <c r="BT93" i="4" s="1"/>
  <c r="BG85" i="4"/>
  <c r="BR85" i="4"/>
  <c r="BT85" i="4" s="1"/>
  <c r="BG77" i="4"/>
  <c r="BR77" i="4"/>
  <c r="BT77" i="4" s="1"/>
  <c r="BR69" i="4"/>
  <c r="BT69" i="4" s="1"/>
  <c r="BG69" i="4"/>
  <c r="BG61" i="4"/>
  <c r="BR61" i="4"/>
  <c r="BT61" i="4" s="1"/>
  <c r="BG53" i="4"/>
  <c r="BR53" i="4"/>
  <c r="BT53" i="4" s="1"/>
  <c r="BG45" i="4"/>
  <c r="BR45" i="4"/>
  <c r="BT45" i="4" s="1"/>
  <c r="BR33" i="4"/>
  <c r="BT33" i="4" s="1"/>
  <c r="BG33" i="4"/>
  <c r="BR17" i="4"/>
  <c r="BT17" i="4" s="1"/>
  <c r="BG17" i="4"/>
  <c r="BG136" i="4"/>
  <c r="BR136" i="4"/>
  <c r="BT136" i="4" s="1"/>
  <c r="BG104" i="4"/>
  <c r="BR104" i="4"/>
  <c r="BT104" i="4" s="1"/>
  <c r="BG72" i="4"/>
  <c r="BR72" i="4"/>
  <c r="BT72" i="4" s="1"/>
  <c r="BG36" i="4"/>
  <c r="BR36" i="4"/>
  <c r="BT36" i="4" s="1"/>
  <c r="BW15" i="4"/>
  <c r="BR15" i="4"/>
  <c r="BT15" i="4" s="1"/>
  <c r="BG15" i="4"/>
  <c r="BR138" i="4"/>
  <c r="BT138" i="4" s="1"/>
  <c r="BG138" i="4"/>
  <c r="BG106" i="4"/>
  <c r="BR106" i="4"/>
  <c r="BT106" i="4" s="1"/>
  <c r="BW74" i="4"/>
  <c r="BR74" i="4"/>
  <c r="BT74" i="4" s="1"/>
  <c r="BG74" i="4"/>
  <c r="BG42" i="4"/>
  <c r="BR42" i="4"/>
  <c r="BT42" i="4" s="1"/>
  <c r="BR24" i="4"/>
  <c r="BT24" i="4" s="1"/>
  <c r="BG24" i="4"/>
  <c r="BR148" i="4"/>
  <c r="BT148" i="4" s="1"/>
  <c r="BG148" i="4"/>
  <c r="BG116" i="4"/>
  <c r="BR116" i="4"/>
  <c r="BT116" i="4" s="1"/>
  <c r="BR84" i="4"/>
  <c r="BT84" i="4" s="1"/>
  <c r="BG84" i="4"/>
  <c r="BG52" i="4"/>
  <c r="BR52" i="4"/>
  <c r="BT52" i="4" s="1"/>
  <c r="BG27" i="4"/>
  <c r="BR27" i="4"/>
  <c r="BT27" i="4" s="1"/>
  <c r="BW150" i="4"/>
  <c r="BG150" i="4"/>
  <c r="BR150" i="4"/>
  <c r="BT150" i="4" s="1"/>
  <c r="BR118" i="4"/>
  <c r="BT118" i="4" s="1"/>
  <c r="BG118" i="4"/>
  <c r="BG86" i="4"/>
  <c r="BR86" i="4"/>
  <c r="BT86" i="4" s="1"/>
  <c r="BR54" i="4"/>
  <c r="BT54" i="4" s="1"/>
  <c r="BG54" i="4"/>
  <c r="BG26" i="4"/>
  <c r="BR26" i="4"/>
  <c r="BT26" i="4" s="1"/>
  <c r="BG11" i="4"/>
  <c r="BR11" i="4"/>
  <c r="BT11" i="4" s="1"/>
  <c r="BG153" i="4"/>
  <c r="BR153" i="4"/>
  <c r="BT153" i="4" s="1"/>
  <c r="BG145" i="4"/>
  <c r="BR145" i="4"/>
  <c r="BT145" i="4" s="1"/>
  <c r="BR137" i="4"/>
  <c r="BT137" i="4" s="1"/>
  <c r="BG137" i="4"/>
  <c r="BG129" i="4"/>
  <c r="BR129" i="4"/>
  <c r="BT129" i="4" s="1"/>
  <c r="BG121" i="4"/>
  <c r="BR121" i="4"/>
  <c r="BT121" i="4" s="1"/>
  <c r="BG113" i="4"/>
  <c r="BR113" i="4"/>
  <c r="BT113" i="4" s="1"/>
  <c r="BR105" i="4"/>
  <c r="BT105" i="4" s="1"/>
  <c r="BG105" i="4"/>
  <c r="BR97" i="4"/>
  <c r="BT97" i="4" s="1"/>
  <c r="BG97" i="4"/>
  <c r="BG89" i="4"/>
  <c r="BR89" i="4"/>
  <c r="BT89" i="4" s="1"/>
  <c r="BG81" i="4"/>
  <c r="BR81" i="4"/>
  <c r="BT81" i="4" s="1"/>
  <c r="BR73" i="4"/>
  <c r="BT73" i="4" s="1"/>
  <c r="BG73" i="4"/>
  <c r="BG65" i="4"/>
  <c r="BR65" i="4"/>
  <c r="BT65" i="4" s="1"/>
  <c r="BG57" i="4"/>
  <c r="BR57" i="4"/>
  <c r="BT57" i="4" s="1"/>
  <c r="BG49" i="4"/>
  <c r="BR49" i="4"/>
  <c r="BT49" i="4" s="1"/>
  <c r="BW41" i="4"/>
  <c r="BR41" i="4"/>
  <c r="BT41" i="4" s="1"/>
  <c r="BG41" i="4"/>
  <c r="BG25" i="4"/>
  <c r="BR25" i="4"/>
  <c r="BT25" i="4" s="1"/>
  <c r="BG10" i="4"/>
  <c r="BR10" i="4"/>
  <c r="BT10" i="4" s="1"/>
  <c r="BG128" i="4"/>
  <c r="BR128" i="4"/>
  <c r="BT128" i="4" s="1"/>
  <c r="BG96" i="4"/>
  <c r="BR96" i="4"/>
  <c r="BT96" i="4" s="1"/>
  <c r="BG64" i="4"/>
  <c r="BR64" i="4"/>
  <c r="BT64" i="4" s="1"/>
  <c r="BR32" i="4"/>
  <c r="BT32" i="4" s="1"/>
  <c r="BG32" i="4"/>
  <c r="BR12" i="4"/>
  <c r="BT12" i="4" s="1"/>
  <c r="BG12" i="4"/>
  <c r="BG130" i="4"/>
  <c r="BR130" i="4"/>
  <c r="BT130" i="4" s="1"/>
  <c r="BR98" i="4"/>
  <c r="BT98" i="4" s="1"/>
  <c r="BG98" i="4"/>
  <c r="BG66" i="4"/>
  <c r="BR66" i="4"/>
  <c r="BT66" i="4" s="1"/>
  <c r="BR39" i="4"/>
  <c r="BT39" i="4" s="1"/>
  <c r="BG39" i="4"/>
  <c r="BG21" i="4"/>
  <c r="BR21" i="4"/>
  <c r="BT21" i="4" s="1"/>
  <c r="BG140" i="4"/>
  <c r="BR140" i="4"/>
  <c r="BT140" i="4" s="1"/>
  <c r="BG108" i="4"/>
  <c r="BR108" i="4"/>
  <c r="BT108" i="4" s="1"/>
  <c r="BG76" i="4"/>
  <c r="BR76" i="4"/>
  <c r="BT76" i="4" s="1"/>
  <c r="BG44" i="4"/>
  <c r="BR44" i="4"/>
  <c r="BT44" i="4" s="1"/>
  <c r="BR20" i="4"/>
  <c r="BT20" i="4" s="1"/>
  <c r="BG20" i="4"/>
  <c r="BG142" i="4"/>
  <c r="BR142" i="4"/>
  <c r="BT142" i="4" s="1"/>
  <c r="BG110" i="4"/>
  <c r="BR110" i="4"/>
  <c r="BT110" i="4" s="1"/>
  <c r="BG78" i="4"/>
  <c r="BR78" i="4"/>
  <c r="BT78" i="4" s="1"/>
  <c r="BG46" i="4"/>
  <c r="BR46" i="4"/>
  <c r="BT46" i="4" s="1"/>
  <c r="BG23" i="4"/>
  <c r="BR23" i="4"/>
  <c r="BT23" i="4" s="1"/>
  <c r="BG9" i="4"/>
  <c r="BR9" i="4"/>
  <c r="BT9" i="4" s="1"/>
  <c r="BG151" i="4"/>
  <c r="BR151" i="4"/>
  <c r="BT151" i="4" s="1"/>
  <c r="BG143" i="4"/>
  <c r="BR143" i="4"/>
  <c r="BT143" i="4" s="1"/>
  <c r="BG135" i="4"/>
  <c r="BR135" i="4"/>
  <c r="BT135" i="4" s="1"/>
  <c r="BG127" i="4"/>
  <c r="BR127" i="4"/>
  <c r="BT127" i="4" s="1"/>
  <c r="BG119" i="4"/>
  <c r="BR119" i="4"/>
  <c r="BT119" i="4" s="1"/>
  <c r="BG111" i="4"/>
  <c r="BR111" i="4"/>
  <c r="BT111" i="4" s="1"/>
  <c r="BG103" i="4"/>
  <c r="BR103" i="4"/>
  <c r="BT103" i="4" s="1"/>
  <c r="BG95" i="4"/>
  <c r="BR95" i="4"/>
  <c r="BT95" i="4" s="1"/>
  <c r="BG87" i="4"/>
  <c r="BR87" i="4"/>
  <c r="BT87" i="4" s="1"/>
  <c r="BG79" i="4"/>
  <c r="BR79" i="4"/>
  <c r="BT79" i="4" s="1"/>
  <c r="BG71" i="4"/>
  <c r="BR71" i="4"/>
  <c r="BT71" i="4" s="1"/>
  <c r="BG63" i="4"/>
  <c r="BR63" i="4"/>
  <c r="BT63" i="4" s="1"/>
  <c r="BG55" i="4"/>
  <c r="BR55" i="4"/>
  <c r="BT55" i="4" s="1"/>
  <c r="BG47" i="4"/>
  <c r="BR47" i="4"/>
  <c r="BT47" i="4" s="1"/>
  <c r="BR38" i="4"/>
  <c r="BT38" i="4" s="1"/>
  <c r="BG38" i="4"/>
  <c r="BR22" i="4"/>
  <c r="BT22" i="4" s="1"/>
  <c r="BG22" i="4"/>
  <c r="BW10" i="4"/>
  <c r="BW96" i="4"/>
  <c r="BW32" i="4"/>
  <c r="BW130" i="4"/>
  <c r="BW98" i="4"/>
  <c r="BW39" i="4"/>
  <c r="BW140" i="4"/>
  <c r="BW76" i="4"/>
  <c r="BW20" i="4"/>
  <c r="BW110" i="4"/>
  <c r="BW78" i="4"/>
  <c r="BW23" i="4"/>
  <c r="BW143" i="4"/>
  <c r="BW127" i="4"/>
  <c r="BW111" i="4"/>
  <c r="BW95" i="4"/>
  <c r="BW79" i="4"/>
  <c r="BW63" i="4"/>
  <c r="BW47" i="4"/>
  <c r="BW22" i="4"/>
  <c r="BW152" i="4"/>
  <c r="BW88" i="4"/>
  <c r="BW29" i="4"/>
  <c r="BW122" i="4"/>
  <c r="BW58" i="4"/>
  <c r="BW14" i="4"/>
  <c r="BW100" i="4"/>
  <c r="BW34" i="4"/>
  <c r="BW16" i="4"/>
  <c r="BW102" i="4"/>
  <c r="BW40" i="4"/>
  <c r="BW19" i="4"/>
  <c r="BW149" i="4"/>
  <c r="BW125" i="4"/>
  <c r="BW109" i="4"/>
  <c r="BW93" i="4"/>
  <c r="BW77" i="4"/>
  <c r="BW53" i="4"/>
  <c r="BW33" i="4"/>
  <c r="BW112" i="4"/>
  <c r="BW80" i="4"/>
  <c r="BW48" i="4"/>
  <c r="BW18" i="4"/>
  <c r="BW146" i="4"/>
  <c r="BW114" i="4"/>
  <c r="BW82" i="4"/>
  <c r="BW50" i="4"/>
  <c r="BW28" i="4"/>
  <c r="BW156" i="4"/>
  <c r="BW124" i="4"/>
  <c r="BW92" i="4"/>
  <c r="BW60" i="4"/>
  <c r="BW31" i="4"/>
  <c r="BR8" i="4"/>
  <c r="BW8" i="4"/>
  <c r="BW126" i="4"/>
  <c r="BW94" i="4"/>
  <c r="BW62" i="4"/>
  <c r="BW37" i="4"/>
  <c r="BW13" i="4"/>
  <c r="BW155" i="4"/>
  <c r="BW139" i="4"/>
  <c r="BW131" i="4"/>
  <c r="BW123" i="4"/>
  <c r="BW115" i="4"/>
  <c r="BW107" i="4"/>
  <c r="BW99" i="4"/>
  <c r="BW91" i="4"/>
  <c r="BW83" i="4"/>
  <c r="BW75" i="4"/>
  <c r="BW67" i="4"/>
  <c r="BW59" i="4"/>
  <c r="BW51" i="4"/>
  <c r="BW43" i="4"/>
  <c r="BW128" i="4"/>
  <c r="BW64" i="4"/>
  <c r="BW12" i="4"/>
  <c r="BW66" i="4"/>
  <c r="BW21" i="4"/>
  <c r="BW108" i="4"/>
  <c r="BW44" i="4"/>
  <c r="BW142" i="4"/>
  <c r="BW46" i="4"/>
  <c r="BW9" i="4"/>
  <c r="BW151" i="4"/>
  <c r="BW135" i="4"/>
  <c r="BW119" i="4"/>
  <c r="BW103" i="4"/>
  <c r="BW87" i="4"/>
  <c r="BW71" i="4"/>
  <c r="BW55" i="4"/>
  <c r="BW38" i="4"/>
  <c r="BW120" i="4"/>
  <c r="BW56" i="4"/>
  <c r="BW154" i="4"/>
  <c r="BW90" i="4"/>
  <c r="BW35" i="4"/>
  <c r="BW132" i="4"/>
  <c r="BW68" i="4"/>
  <c r="BW134" i="4"/>
  <c r="BW70" i="4"/>
  <c r="BW157" i="4"/>
  <c r="BW141" i="4"/>
  <c r="BW133" i="4"/>
  <c r="BW117" i="4"/>
  <c r="BW101" i="4"/>
  <c r="BW85" i="4"/>
  <c r="BW69" i="4"/>
  <c r="BW61" i="4"/>
  <c r="BW45" i="4"/>
  <c r="BW17" i="4"/>
  <c r="BW136" i="4"/>
  <c r="BW104" i="4"/>
  <c r="BW72" i="4"/>
  <c r="BW36" i="4"/>
  <c r="BW138" i="4"/>
  <c r="BW106" i="4"/>
  <c r="BW42" i="4"/>
  <c r="BW24" i="4"/>
  <c r="BW148" i="4"/>
  <c r="BW116" i="4"/>
  <c r="BW84" i="4"/>
  <c r="BW52" i="4"/>
  <c r="BW27" i="4"/>
  <c r="BW118" i="4"/>
  <c r="BW86" i="4"/>
  <c r="BW54" i="4"/>
  <c r="BW26" i="4"/>
  <c r="BW11" i="4"/>
  <c r="BW153" i="4"/>
  <c r="BW145" i="4"/>
  <c r="BW137" i="4"/>
  <c r="BW129" i="4"/>
  <c r="BW121" i="4"/>
  <c r="BW113" i="4"/>
  <c r="BW105" i="4"/>
  <c r="BW97" i="4"/>
  <c r="BW89" i="4"/>
  <c r="BW81" i="4"/>
  <c r="BW73" i="4"/>
  <c r="BW65" i="4"/>
  <c r="BW57" i="4"/>
  <c r="BW49" i="4"/>
  <c r="BW25" i="4"/>
  <c r="BG8" i="4"/>
  <c r="U112" i="4"/>
  <c r="U48" i="4"/>
  <c r="V48" i="4" s="1"/>
  <c r="U146" i="4"/>
  <c r="U82" i="4"/>
  <c r="U156" i="4"/>
  <c r="U92" i="4"/>
  <c r="U31" i="4"/>
  <c r="V31" i="4" s="1"/>
  <c r="U126" i="4"/>
  <c r="U62" i="4"/>
  <c r="U13" i="4"/>
  <c r="V13" i="4" s="1"/>
  <c r="U139" i="4"/>
  <c r="V139" i="4" s="1"/>
  <c r="U123" i="4"/>
  <c r="U107" i="4"/>
  <c r="U83" i="4"/>
  <c r="V83" i="4" s="1"/>
  <c r="U67" i="4"/>
  <c r="U43" i="4"/>
  <c r="V43" i="4" s="1"/>
  <c r="U136" i="4"/>
  <c r="V136" i="4" s="1"/>
  <c r="U72" i="4"/>
  <c r="V72" i="4" s="1"/>
  <c r="U15" i="4"/>
  <c r="V15" i="4" s="1"/>
  <c r="U106" i="4"/>
  <c r="U24" i="4"/>
  <c r="V24" i="4" s="1"/>
  <c r="U116" i="4"/>
  <c r="U27" i="4"/>
  <c r="V27" i="4" s="1"/>
  <c r="U86" i="4"/>
  <c r="V86" i="4" s="1"/>
  <c r="U11" i="4"/>
  <c r="V11" i="4" s="1"/>
  <c r="U145" i="4"/>
  <c r="U137" i="4"/>
  <c r="U121" i="4"/>
  <c r="V121" i="4" s="1"/>
  <c r="U105" i="4"/>
  <c r="V105" i="4" s="1"/>
  <c r="U89" i="4"/>
  <c r="U81" i="4"/>
  <c r="U65" i="4"/>
  <c r="U49" i="4"/>
  <c r="V49" i="4" s="1"/>
  <c r="U25" i="4"/>
  <c r="V25" i="4" s="1"/>
  <c r="U152" i="4"/>
  <c r="U120" i="4"/>
  <c r="U88" i="4"/>
  <c r="U56" i="4"/>
  <c r="U29" i="4"/>
  <c r="V29" i="4" s="1"/>
  <c r="U154" i="4"/>
  <c r="U122" i="4"/>
  <c r="U90" i="4"/>
  <c r="U58" i="4"/>
  <c r="V58" i="4" s="1"/>
  <c r="U35" i="4"/>
  <c r="V35" i="4" s="1"/>
  <c r="U14" i="4"/>
  <c r="V14" i="4" s="1"/>
  <c r="U132" i="4"/>
  <c r="U100" i="4"/>
  <c r="U68" i="4"/>
  <c r="U34" i="4"/>
  <c r="V34" i="4" s="1"/>
  <c r="U16" i="4"/>
  <c r="V16" i="4" s="1"/>
  <c r="U134" i="4"/>
  <c r="V134" i="4" s="1"/>
  <c r="U102" i="4"/>
  <c r="U70" i="4"/>
  <c r="V70" i="4" s="1"/>
  <c r="U40" i="4"/>
  <c r="U19" i="4"/>
  <c r="V19" i="4" s="1"/>
  <c r="U157" i="4"/>
  <c r="U149" i="4"/>
  <c r="V149" i="4" s="1"/>
  <c r="U141" i="4"/>
  <c r="V141" i="4" s="1"/>
  <c r="U133" i="4"/>
  <c r="U125" i="4"/>
  <c r="V125" i="4" s="1"/>
  <c r="U117" i="4"/>
  <c r="V117" i="4" s="1"/>
  <c r="U109" i="4"/>
  <c r="V109" i="4" s="1"/>
  <c r="U101" i="4"/>
  <c r="V101" i="4" s="1"/>
  <c r="U93" i="4"/>
  <c r="V93" i="4" s="1"/>
  <c r="U85" i="4"/>
  <c r="V85" i="4" s="1"/>
  <c r="U77" i="4"/>
  <c r="V77" i="4" s="1"/>
  <c r="U69" i="4"/>
  <c r="U61" i="4"/>
  <c r="U53" i="4"/>
  <c r="V53" i="4" s="1"/>
  <c r="U45" i="4"/>
  <c r="U33" i="4"/>
  <c r="V33" i="4" s="1"/>
  <c r="U17" i="4"/>
  <c r="V17" i="4" s="1"/>
  <c r="U144" i="4"/>
  <c r="V144" i="4" s="1"/>
  <c r="U80" i="4"/>
  <c r="V80" i="4" s="1"/>
  <c r="U18" i="4"/>
  <c r="V18" i="4" s="1"/>
  <c r="U114" i="4"/>
  <c r="U50" i="4"/>
  <c r="U28" i="4"/>
  <c r="V28" i="4" s="1"/>
  <c r="U124" i="4"/>
  <c r="U60" i="4"/>
  <c r="U8" i="4"/>
  <c r="AW8" i="4"/>
  <c r="U94" i="4"/>
  <c r="U37" i="4"/>
  <c r="U155" i="4"/>
  <c r="U147" i="4"/>
  <c r="U131" i="4"/>
  <c r="U115" i="4"/>
  <c r="V115" i="4" s="1"/>
  <c r="U99" i="4"/>
  <c r="V99" i="4" s="1"/>
  <c r="U91" i="4"/>
  <c r="U75" i="4"/>
  <c r="U59" i="4"/>
  <c r="U51" i="4"/>
  <c r="V51" i="4" s="1"/>
  <c r="U30" i="4"/>
  <c r="V30" i="4" s="1"/>
  <c r="U104" i="4"/>
  <c r="U36" i="4"/>
  <c r="V36" i="4" s="1"/>
  <c r="U138" i="4"/>
  <c r="V138" i="4" s="1"/>
  <c r="U74" i="4"/>
  <c r="U42" i="4"/>
  <c r="V42" i="4" s="1"/>
  <c r="U148" i="4"/>
  <c r="V148" i="4" s="1"/>
  <c r="U84" i="4"/>
  <c r="U52" i="4"/>
  <c r="U150" i="4"/>
  <c r="U118" i="4"/>
  <c r="V118" i="4" s="1"/>
  <c r="U54" i="4"/>
  <c r="U26" i="4"/>
  <c r="V26" i="4" s="1"/>
  <c r="U153" i="4"/>
  <c r="U129" i="4"/>
  <c r="U113" i="4"/>
  <c r="U97" i="4"/>
  <c r="U73" i="4"/>
  <c r="V73" i="4" s="1"/>
  <c r="U57" i="4"/>
  <c r="U41" i="4"/>
  <c r="U10" i="4"/>
  <c r="V10" i="4" s="1"/>
  <c r="U128" i="4"/>
  <c r="V128" i="4" s="1"/>
  <c r="U96" i="4"/>
  <c r="V96" i="4" s="1"/>
  <c r="U64" i="4"/>
  <c r="U32" i="4"/>
  <c r="V32" i="4" s="1"/>
  <c r="U12" i="4"/>
  <c r="V12" i="4" s="1"/>
  <c r="U130" i="4"/>
  <c r="U98" i="4"/>
  <c r="V98" i="4" s="1"/>
  <c r="U66" i="4"/>
  <c r="V66" i="4" s="1"/>
  <c r="U39" i="4"/>
  <c r="U21" i="4"/>
  <c r="V21" i="4" s="1"/>
  <c r="U140" i="4"/>
  <c r="U108" i="4"/>
  <c r="U76" i="4"/>
  <c r="U44" i="4"/>
  <c r="V44" i="4" s="1"/>
  <c r="U20" i="4"/>
  <c r="V20" i="4" s="1"/>
  <c r="U142" i="4"/>
  <c r="U110" i="4"/>
  <c r="U78" i="4"/>
  <c r="V78" i="4" s="1"/>
  <c r="U46" i="4"/>
  <c r="U23" i="4"/>
  <c r="V23" i="4" s="1"/>
  <c r="U9" i="4"/>
  <c r="V9" i="4" s="1"/>
  <c r="U151" i="4"/>
  <c r="V151" i="4" s="1"/>
  <c r="U143" i="4"/>
  <c r="U135" i="4"/>
  <c r="V135" i="4" s="1"/>
  <c r="U127" i="4"/>
  <c r="V127" i="4" s="1"/>
  <c r="U119" i="4"/>
  <c r="V119" i="4" s="1"/>
  <c r="U111" i="4"/>
  <c r="U103" i="4"/>
  <c r="V103" i="4" s="1"/>
  <c r="U95" i="4"/>
  <c r="V95" i="4" s="1"/>
  <c r="U87" i="4"/>
  <c r="V87" i="4" s="1"/>
  <c r="U79" i="4"/>
  <c r="U71" i="4"/>
  <c r="V71" i="4" s="1"/>
  <c r="U63" i="4"/>
  <c r="V63" i="4" s="1"/>
  <c r="U55" i="4"/>
  <c r="V55" i="4" s="1"/>
  <c r="U47" i="4"/>
  <c r="U38" i="4"/>
  <c r="V38" i="4" s="1"/>
  <c r="U22" i="4"/>
  <c r="V22" i="4" s="1"/>
  <c r="Z361" i="10"/>
  <c r="AB361" i="10" s="1"/>
  <c r="Z280" i="10"/>
  <c r="AA280" i="10" s="1"/>
  <c r="Z176" i="10"/>
  <c r="AA176" i="10" s="1"/>
  <c r="Z248" i="10"/>
  <c r="AA248" i="10" s="1"/>
  <c r="Z204" i="10"/>
  <c r="AA204" i="10" s="1"/>
  <c r="Z396" i="10"/>
  <c r="AA396" i="10" s="1"/>
  <c r="Z245" i="10"/>
  <c r="AB245" i="10" s="1"/>
  <c r="Z539" i="10"/>
  <c r="AA539" i="10" s="1"/>
  <c r="Z324" i="10"/>
  <c r="AB324" i="10" s="1"/>
  <c r="Z467" i="10"/>
  <c r="AB467" i="10" s="1"/>
  <c r="Z259" i="10"/>
  <c r="Z560" i="10"/>
  <c r="AB560" i="10" s="1"/>
  <c r="Z430" i="10"/>
  <c r="AB430" i="10" s="1"/>
  <c r="Z534" i="10"/>
  <c r="AA534" i="10" s="1"/>
  <c r="Z540" i="10"/>
  <c r="Z21" i="10"/>
  <c r="AB21" i="10" s="1"/>
  <c r="Z33" i="10"/>
  <c r="AB33" i="10" s="1"/>
  <c r="Z368" i="10"/>
  <c r="Z304" i="10"/>
  <c r="Z483" i="10"/>
  <c r="AB483" i="10" s="1"/>
  <c r="Z125" i="10"/>
  <c r="AA125" i="10" s="1"/>
  <c r="Z348" i="10"/>
  <c r="AA348" i="10" s="1"/>
  <c r="Z498" i="10"/>
  <c r="Z554" i="10"/>
  <c r="AA554" i="10" s="1"/>
  <c r="Z19" i="10"/>
  <c r="AB19" i="10" s="1"/>
  <c r="Z192" i="10"/>
  <c r="AB192" i="10" s="1"/>
  <c r="Z505" i="10"/>
  <c r="AB505" i="10" s="1"/>
  <c r="Z104" i="10"/>
  <c r="AA104" i="10" s="1"/>
  <c r="Z129" i="10"/>
  <c r="AA129" i="10" s="1"/>
  <c r="Z7" i="10"/>
  <c r="AA7" i="10" s="1"/>
  <c r="Z512" i="10"/>
  <c r="AA512" i="10" s="1"/>
  <c r="Z60" i="10"/>
  <c r="AB60" i="10" s="1"/>
  <c r="Z31" i="10"/>
  <c r="AA31" i="10" s="1"/>
  <c r="Z425" i="10"/>
  <c r="AA425" i="10" s="1"/>
  <c r="Z529" i="10"/>
  <c r="AA529" i="10" s="1"/>
  <c r="Z453" i="10"/>
  <c r="AB453" i="10" s="1"/>
  <c r="Z323" i="10"/>
  <c r="AB323" i="10" s="1"/>
  <c r="Z386" i="10"/>
  <c r="AB386" i="10" s="1"/>
  <c r="Z247" i="10"/>
  <c r="AA247" i="10" s="1"/>
  <c r="Z117" i="10"/>
  <c r="AA117" i="10" s="1"/>
  <c r="Z39" i="10"/>
  <c r="AB39" i="10" s="1"/>
  <c r="Z151" i="10"/>
  <c r="AA151" i="10" s="1"/>
  <c r="Z85" i="10"/>
  <c r="Z207" i="10"/>
  <c r="AB207" i="10" s="1"/>
  <c r="Z22" i="10"/>
  <c r="AB22" i="10" s="1"/>
  <c r="Z238" i="10"/>
  <c r="AA238" i="10" s="1"/>
  <c r="Z377" i="10"/>
  <c r="AB377" i="10" s="1"/>
  <c r="Z469" i="10"/>
  <c r="AA469" i="10" s="1"/>
  <c r="Z551" i="10"/>
  <c r="AA551" i="10" s="1"/>
  <c r="Z468" i="10"/>
  <c r="AA468" i="10" s="1"/>
  <c r="Z504" i="10"/>
  <c r="AA504" i="10" s="1"/>
  <c r="Z433" i="10"/>
  <c r="AB433" i="10" s="1"/>
  <c r="Z351" i="10"/>
  <c r="AA351" i="10" s="1"/>
  <c r="Z357" i="10"/>
  <c r="AA357" i="10" s="1"/>
  <c r="Z227" i="10"/>
  <c r="AA227" i="10" s="1"/>
  <c r="Z65" i="10"/>
  <c r="AB65" i="10" s="1"/>
  <c r="Z115" i="10"/>
  <c r="AA115" i="10" s="1"/>
  <c r="Z43" i="10"/>
  <c r="AA43" i="10" s="1"/>
  <c r="Z284" i="10"/>
  <c r="AB284" i="10" s="1"/>
  <c r="Z479" i="10"/>
  <c r="AA479" i="10" s="1"/>
  <c r="Z32" i="10"/>
  <c r="AB32" i="10" s="1"/>
  <c r="Z164" i="10"/>
  <c r="AB164" i="10" s="1"/>
  <c r="Z277" i="10"/>
  <c r="Z461" i="10"/>
  <c r="AA461" i="10" s="1"/>
  <c r="Z543" i="10"/>
  <c r="AB543" i="10" s="1"/>
  <c r="Z521" i="10"/>
  <c r="AA521" i="10" s="1"/>
  <c r="Z449" i="10"/>
  <c r="Z366" i="10"/>
  <c r="AB366" i="10" s="1"/>
  <c r="Z318" i="10"/>
  <c r="AB318" i="10" s="1"/>
  <c r="Z243" i="10"/>
  <c r="AB243" i="10" s="1"/>
  <c r="Z206" i="10"/>
  <c r="Z131" i="10"/>
  <c r="AA131" i="10" s="1"/>
  <c r="Z202" i="10"/>
  <c r="AA202" i="10" s="1"/>
  <c r="Z252" i="10"/>
  <c r="AB252" i="10" s="1"/>
  <c r="Z399" i="10"/>
  <c r="Z524" i="10"/>
  <c r="AA524" i="10" s="1"/>
  <c r="Z226" i="10"/>
  <c r="AA226" i="10" s="1"/>
  <c r="Z261" i="10"/>
  <c r="AB261" i="10" s="1"/>
  <c r="Z413" i="10"/>
  <c r="AB413" i="10" s="1"/>
  <c r="Z520" i="10"/>
  <c r="AB520" i="10" s="1"/>
  <c r="Z475" i="10"/>
  <c r="AB475" i="10" s="1"/>
  <c r="Z76" i="10"/>
  <c r="AA76" i="10" s="1"/>
  <c r="Z244" i="10"/>
  <c r="AA244" i="10" s="1"/>
  <c r="Z383" i="10"/>
  <c r="AB383" i="10" s="1"/>
  <c r="Z485" i="10"/>
  <c r="AA485" i="10" s="1"/>
  <c r="Z62" i="10"/>
  <c r="AA62" i="10" s="1"/>
  <c r="Z559" i="10"/>
  <c r="AA559" i="10" s="1"/>
  <c r="Z414" i="10"/>
  <c r="AB414" i="10" s="1"/>
  <c r="Z287" i="10"/>
  <c r="AB287" i="10" s="1"/>
  <c r="Z57" i="10"/>
  <c r="AB57" i="10" s="1"/>
  <c r="Z71" i="10"/>
  <c r="AB71" i="10" s="1"/>
  <c r="Z224" i="10"/>
  <c r="AB224" i="10" s="1"/>
  <c r="Z201" i="10"/>
  <c r="AB201" i="10" s="1"/>
  <c r="Z460" i="10"/>
  <c r="AB460" i="10" s="1"/>
  <c r="Z34" i="10"/>
  <c r="AA34" i="10" s="1"/>
  <c r="Z296" i="10"/>
  <c r="AB296" i="10" s="1"/>
  <c r="Z385" i="10"/>
  <c r="AA385" i="10" s="1"/>
  <c r="Z550" i="10"/>
  <c r="AB550" i="10" s="1"/>
  <c r="Z100" i="10"/>
  <c r="AA100" i="10" s="1"/>
  <c r="Z254" i="10"/>
  <c r="AB254" i="10" s="1"/>
  <c r="Z495" i="10"/>
  <c r="AA495" i="10" s="1"/>
  <c r="Z128" i="10"/>
  <c r="AB128" i="10" s="1"/>
  <c r="Z517" i="10"/>
  <c r="AA517" i="10" s="1"/>
  <c r="Z239" i="10"/>
  <c r="AB239" i="10" s="1"/>
  <c r="Z260" i="10"/>
  <c r="AB260" i="10" s="1"/>
  <c r="Z294" i="10"/>
  <c r="AB294" i="10" s="1"/>
  <c r="Z68" i="10"/>
  <c r="AB68" i="10" s="1"/>
  <c r="Z442" i="10"/>
  <c r="AA442" i="10" s="1"/>
  <c r="Z412" i="10"/>
  <c r="AA412" i="10" s="1"/>
  <c r="Z337" i="10"/>
  <c r="AA337" i="10" s="1"/>
  <c r="Z26" i="10"/>
  <c r="AA26" i="10" s="1"/>
  <c r="Z166" i="10"/>
  <c r="AB166" i="10" s="1"/>
  <c r="Z503" i="10"/>
  <c r="AB503" i="10" s="1"/>
  <c r="Z193" i="10"/>
  <c r="AA193" i="10" s="1"/>
  <c r="Z452" i="10"/>
  <c r="AB452" i="10" s="1"/>
  <c r="Z470" i="10"/>
  <c r="AB470" i="10" s="1"/>
  <c r="Z139" i="10"/>
  <c r="AB139" i="10" s="1"/>
  <c r="Z222" i="10"/>
  <c r="AB222" i="10" s="1"/>
  <c r="Z519" i="10"/>
  <c r="Z523" i="10"/>
  <c r="AA523" i="10" s="1"/>
  <c r="Z404" i="10"/>
  <c r="AB404" i="10" s="1"/>
  <c r="Z307" i="10"/>
  <c r="AB307" i="10" s="1"/>
  <c r="Z329" i="10"/>
  <c r="AB329" i="10" s="1"/>
  <c r="Z183" i="10"/>
  <c r="AB183" i="10" s="1"/>
  <c r="Z101" i="10"/>
  <c r="AA101" i="10" s="1"/>
  <c r="Z99" i="10"/>
  <c r="AB99" i="10" s="1"/>
  <c r="Z135" i="10"/>
  <c r="AB135" i="10" s="1"/>
  <c r="Z59" i="10"/>
  <c r="AB59" i="10" s="1"/>
  <c r="Z48" i="10"/>
  <c r="AA48" i="10" s="1"/>
  <c r="Z86" i="10"/>
  <c r="AB86" i="10" s="1"/>
  <c r="Z276" i="10"/>
  <c r="AA276" i="10" s="1"/>
  <c r="Z298" i="10"/>
  <c r="AA298" i="10" s="1"/>
  <c r="Z436" i="10"/>
  <c r="AB436" i="10" s="1"/>
  <c r="Z169" i="10"/>
  <c r="AB169" i="10" s="1"/>
  <c r="Z56" i="10"/>
  <c r="Z492" i="10"/>
  <c r="AB492" i="10" s="1"/>
  <c r="Z400" i="10"/>
  <c r="AB400" i="10" s="1"/>
  <c r="Z319" i="10"/>
  <c r="AA319" i="10" s="1"/>
  <c r="Z325" i="10"/>
  <c r="Z179" i="10"/>
  <c r="AB179" i="10" s="1"/>
  <c r="Z23" i="10"/>
  <c r="AB23" i="10" s="1"/>
  <c r="Z81" i="10"/>
  <c r="AB81" i="10" s="1"/>
  <c r="Z35" i="10"/>
  <c r="AB35" i="10" s="1"/>
  <c r="Z197" i="10"/>
  <c r="AA197" i="10" s="1"/>
  <c r="Z516" i="10"/>
  <c r="AA516" i="10" s="1"/>
  <c r="Z114" i="10"/>
  <c r="AB114" i="10" s="1"/>
  <c r="Z212" i="10"/>
  <c r="AA212" i="10" s="1"/>
  <c r="Z246" i="10"/>
  <c r="AA246" i="10" s="1"/>
  <c r="Z432" i="10"/>
  <c r="AB432" i="10" s="1"/>
  <c r="Z185" i="10"/>
  <c r="AB185" i="10" s="1"/>
  <c r="Z496" i="10"/>
  <c r="AB496" i="10" s="1"/>
  <c r="Z416" i="10"/>
  <c r="AB416" i="10" s="1"/>
  <c r="Z335" i="10"/>
  <c r="AB335" i="10" s="1"/>
  <c r="Z341" i="10"/>
  <c r="AB341" i="10" s="1"/>
  <c r="Z211" i="10"/>
  <c r="Z29" i="10"/>
  <c r="AB29" i="10" s="1"/>
  <c r="Z97" i="10"/>
  <c r="AA97" i="10" s="1"/>
  <c r="Z182" i="10"/>
  <c r="AB182" i="10" s="1"/>
  <c r="Z173" i="10"/>
  <c r="AB173" i="10" s="1"/>
  <c r="Z489" i="10"/>
  <c r="AA489" i="10" s="1"/>
  <c r="Z90" i="10"/>
  <c r="AB90" i="10" s="1"/>
  <c r="Z177" i="10"/>
  <c r="AB177" i="10" s="1"/>
  <c r="Z293" i="10"/>
  <c r="AB293" i="10" s="1"/>
  <c r="Z419" i="10"/>
  <c r="AB419" i="10" s="1"/>
  <c r="Z553" i="10"/>
  <c r="AB553" i="10" s="1"/>
  <c r="Z538" i="10"/>
  <c r="AB538" i="10" s="1"/>
  <c r="Z230" i="10"/>
  <c r="AA230" i="10" s="1"/>
  <c r="Z221" i="10"/>
  <c r="AB221" i="10" s="1"/>
  <c r="Z391" i="10"/>
  <c r="AB391" i="10" s="1"/>
  <c r="Z557" i="10"/>
  <c r="AA557" i="10" s="1"/>
  <c r="Z138" i="10"/>
  <c r="AB138" i="10" s="1"/>
  <c r="Z527" i="10"/>
  <c r="AA527" i="10" s="1"/>
  <c r="Z347" i="10"/>
  <c r="AA347" i="10" s="1"/>
  <c r="Z223" i="10"/>
  <c r="AB223" i="10" s="1"/>
  <c r="Z111" i="10"/>
  <c r="Z292" i="10"/>
  <c r="AA292" i="10" s="1"/>
  <c r="Z74" i="10"/>
  <c r="AB74" i="10" s="1"/>
  <c r="Z285" i="10"/>
  <c r="AA285" i="10" s="1"/>
  <c r="Z544" i="10"/>
  <c r="Z118" i="10"/>
  <c r="AA118" i="10" s="1"/>
  <c r="Z373" i="10"/>
  <c r="AB373" i="10" s="1"/>
  <c r="Z423" i="10"/>
  <c r="AB423" i="10" s="1"/>
  <c r="Z47" i="10"/>
  <c r="Z120" i="10"/>
  <c r="AB120" i="10" s="1"/>
  <c r="Z369" i="10"/>
  <c r="AB369" i="10" s="1"/>
  <c r="Z471" i="10"/>
  <c r="AA471" i="10" s="1"/>
  <c r="Z225" i="10"/>
  <c r="Z445" i="10"/>
  <c r="AA445" i="10" s="1"/>
  <c r="Z203" i="10"/>
  <c r="AB203" i="10" s="1"/>
  <c r="Z415" i="10"/>
  <c r="AB415" i="10" s="1"/>
  <c r="Z451" i="10"/>
  <c r="AA451" i="10" s="1"/>
  <c r="Z288" i="10"/>
  <c r="AA288" i="10" s="1"/>
  <c r="Z541" i="10"/>
  <c r="AA541" i="10" s="1"/>
  <c r="Z398" i="10"/>
  <c r="AA398" i="10" s="1"/>
  <c r="Z271" i="10"/>
  <c r="AB271" i="10" s="1"/>
  <c r="Z159" i="10"/>
  <c r="AA159" i="10" s="1"/>
  <c r="Z158" i="10"/>
  <c r="AA158" i="10" s="1"/>
  <c r="Z281" i="10"/>
  <c r="AB281" i="10" s="1"/>
  <c r="Z233" i="10"/>
  <c r="Z493" i="10"/>
  <c r="AA493" i="10" s="1"/>
  <c r="Z349" i="10"/>
  <c r="AB349" i="10" s="1"/>
  <c r="Z268" i="10"/>
  <c r="AA268" i="10" s="1"/>
  <c r="Z482" i="10"/>
  <c r="Z380" i="10"/>
  <c r="AB380" i="10" s="1"/>
  <c r="Z167" i="10"/>
  <c r="AB167" i="10" s="1"/>
  <c r="Z75" i="10"/>
  <c r="AB75" i="10" s="1"/>
  <c r="Z46" i="10"/>
  <c r="AB46" i="10" s="1"/>
  <c r="Z126" i="10"/>
  <c r="AB126" i="10" s="1"/>
  <c r="Z360" i="10"/>
  <c r="AA360" i="10" s="1"/>
  <c r="Z249" i="10"/>
  <c r="AA249" i="10" s="1"/>
  <c r="Z477" i="10"/>
  <c r="Z376" i="10"/>
  <c r="AB376" i="10" s="1"/>
  <c r="Z145" i="10"/>
  <c r="AB145" i="10" s="1"/>
  <c r="Z44" i="10"/>
  <c r="AB44" i="10" s="1"/>
  <c r="Z312" i="10"/>
  <c r="Z69" i="10"/>
  <c r="AB69" i="10" s="1"/>
  <c r="Z316" i="10"/>
  <c r="AA316" i="10" s="1"/>
  <c r="Z257" i="10"/>
  <c r="AA257" i="10" s="1"/>
  <c r="Z384" i="10"/>
  <c r="Z309" i="10"/>
  <c r="AB309" i="10" s="1"/>
  <c r="Z95" i="10"/>
  <c r="AB95" i="10" s="1"/>
  <c r="Z30" i="10"/>
  <c r="AB30" i="10" s="1"/>
  <c r="Z542" i="10"/>
  <c r="AA542" i="10" s="1"/>
  <c r="Z228" i="10"/>
  <c r="AB228" i="10" s="1"/>
  <c r="Z443" i="10"/>
  <c r="AA443" i="10" s="1"/>
  <c r="Z78" i="10"/>
  <c r="AB78" i="10" s="1"/>
  <c r="Z290" i="10"/>
  <c r="AB290" i="10" s="1"/>
  <c r="Z558" i="10"/>
  <c r="AA558" i="10" s="1"/>
  <c r="Z473" i="10"/>
  <c r="AA473" i="10" s="1"/>
  <c r="Z141" i="10"/>
  <c r="AB141" i="10" s="1"/>
  <c r="Z328" i="10"/>
  <c r="AA328" i="10" s="1"/>
  <c r="Z332" i="10"/>
  <c r="AB332" i="10" s="1"/>
  <c r="Z92" i="10"/>
  <c r="AA92" i="10" s="1"/>
  <c r="Z446" i="10"/>
  <c r="AB446" i="10" s="1"/>
  <c r="Z160" i="10"/>
  <c r="AA160" i="10" s="1"/>
  <c r="Z82" i="10"/>
  <c r="AB82" i="10" s="1"/>
  <c r="Z362" i="10"/>
  <c r="AB362" i="10" s="1"/>
  <c r="Z162" i="10"/>
  <c r="AB162" i="10" s="1"/>
  <c r="Z237" i="10"/>
  <c r="Z331" i="10"/>
  <c r="AA331" i="10" s="1"/>
  <c r="Z93" i="10"/>
  <c r="AB93" i="10" s="1"/>
  <c r="Z200" i="10"/>
  <c r="AA200" i="10" s="1"/>
  <c r="Z556" i="10"/>
  <c r="Z150" i="10"/>
  <c r="AA150" i="10" s="1"/>
  <c r="Z300" i="10"/>
  <c r="AA300" i="10" s="1"/>
  <c r="Z434" i="10"/>
  <c r="Z37" i="10"/>
  <c r="AA37" i="10" s="1"/>
  <c r="Z124" i="10"/>
  <c r="AA124" i="10" s="1"/>
  <c r="Z389" i="10"/>
  <c r="AA389" i="10" s="1"/>
  <c r="Z533" i="10"/>
  <c r="AB533" i="10" s="1"/>
  <c r="Z378" i="10"/>
  <c r="AB378" i="10" s="1"/>
  <c r="Z255" i="10"/>
  <c r="AB255" i="10" s="1"/>
  <c r="Z143" i="10"/>
  <c r="AA143" i="10" s="1"/>
  <c r="Z156" i="10"/>
  <c r="Z427" i="10"/>
  <c r="Z253" i="10"/>
  <c r="AA253" i="10" s="1"/>
  <c r="Z522" i="10"/>
  <c r="AB522" i="10" s="1"/>
  <c r="Z94" i="10"/>
  <c r="AB94" i="10" s="1"/>
  <c r="Z165" i="10"/>
  <c r="AA165" i="10" s="1"/>
  <c r="Z417" i="10"/>
  <c r="AA417" i="10" s="1"/>
  <c r="Z122" i="10"/>
  <c r="AA122" i="10" s="1"/>
  <c r="Z502" i="10"/>
  <c r="AA502" i="10" s="1"/>
  <c r="Z435" i="10"/>
  <c r="AA435" i="10" s="1"/>
  <c r="Z53" i="10"/>
  <c r="AB53" i="10" s="1"/>
  <c r="Z532" i="10"/>
  <c r="AB532" i="10" s="1"/>
  <c r="Z526" i="10"/>
  <c r="AB526" i="10" s="1"/>
  <c r="Z181" i="10"/>
  <c r="Z536" i="10"/>
  <c r="AA536" i="10" s="1"/>
  <c r="Z116" i="10"/>
  <c r="AB116" i="10" s="1"/>
  <c r="Z154" i="10"/>
  <c r="AA154" i="10" s="1"/>
  <c r="Z356" i="10"/>
  <c r="AA356" i="10" s="1"/>
  <c r="Z545" i="10"/>
  <c r="AA545" i="10" s="1"/>
  <c r="Z67" i="10"/>
  <c r="AB67" i="10" s="1"/>
  <c r="Z381" i="10"/>
  <c r="AB381" i="10" s="1"/>
  <c r="Z478" i="10"/>
  <c r="AB478" i="10" s="1"/>
  <c r="Z161" i="10"/>
  <c r="AA161" i="10" s="1"/>
  <c r="Z219" i="10"/>
  <c r="AA219" i="10" s="1"/>
  <c r="Z282" i="10"/>
  <c r="AB282" i="10" s="1"/>
  <c r="Z481" i="10"/>
  <c r="AB481" i="10" s="1"/>
  <c r="Z322" i="10"/>
  <c r="AA322" i="10" s="1"/>
  <c r="Z149" i="10"/>
  <c r="AB149" i="10" s="1"/>
  <c r="Z52" i="10"/>
  <c r="AB52" i="10" s="1"/>
  <c r="Z170" i="10"/>
  <c r="AA170" i="10" s="1"/>
  <c r="Z132" i="10"/>
  <c r="AB132" i="10" s="1"/>
  <c r="Z379" i="10"/>
  <c r="AB379" i="10" s="1"/>
  <c r="Z465" i="10"/>
  <c r="AB465" i="10" s="1"/>
  <c r="Z480" i="10"/>
  <c r="AB480" i="10" s="1"/>
  <c r="Z334" i="10"/>
  <c r="AA334" i="10" s="1"/>
  <c r="Z113" i="10"/>
  <c r="AA113" i="10" s="1"/>
  <c r="Z87" i="10"/>
  <c r="AA87" i="10" s="1"/>
  <c r="Z393" i="10"/>
  <c r="AA393" i="10" s="1"/>
  <c r="Z152" i="10"/>
  <c r="AB152" i="10" s="1"/>
  <c r="Z367" i="10"/>
  <c r="AB367" i="10" s="1"/>
  <c r="Z547" i="10"/>
  <c r="AA547" i="10" s="1"/>
  <c r="Z402" i="10"/>
  <c r="AB402" i="10" s="1"/>
  <c r="Z275" i="10"/>
  <c r="AB275" i="10" s="1"/>
  <c r="Z163" i="10"/>
  <c r="AB163" i="10" s="1"/>
  <c r="Z142" i="10"/>
  <c r="AA142" i="10" s="1"/>
  <c r="Z265" i="10"/>
  <c r="Z217" i="10"/>
  <c r="AA217" i="10" s="1"/>
  <c r="Z487" i="10"/>
  <c r="AA487" i="10" s="1"/>
  <c r="Z134" i="10"/>
  <c r="AA134" i="10" s="1"/>
  <c r="Z352" i="10"/>
  <c r="Z27" i="10"/>
  <c r="AB27" i="10" s="1"/>
  <c r="Z428" i="10"/>
  <c r="AA428" i="10" s="1"/>
  <c r="Z63" i="10"/>
  <c r="AB63" i="10" s="1"/>
  <c r="Z463" i="10"/>
  <c r="Z403" i="10"/>
  <c r="AB403" i="10" s="1"/>
  <c r="Z256" i="10"/>
  <c r="AB256" i="10" s="1"/>
  <c r="Z530" i="10"/>
  <c r="AB530" i="10" s="1"/>
  <c r="Z188" i="10"/>
  <c r="Z80" i="10"/>
  <c r="AA80" i="10" s="1"/>
  <c r="Z314" i="10"/>
  <c r="AB314" i="10" s="1"/>
  <c r="Z236" i="10"/>
  <c r="AB236" i="10" s="1"/>
  <c r="Z375" i="10"/>
  <c r="AA375" i="10" s="1"/>
  <c r="Z346" i="10"/>
  <c r="AB346" i="10" s="1"/>
  <c r="Z186" i="10"/>
  <c r="AA186" i="10" s="1"/>
  <c r="Z136" i="10"/>
  <c r="AB136" i="10" s="1"/>
  <c r="Z270" i="10"/>
  <c r="AA270" i="10" s="1"/>
  <c r="Z148" i="10"/>
  <c r="AB148" i="10" s="1"/>
  <c r="Z274" i="10"/>
  <c r="AA274" i="10" s="1"/>
  <c r="Z455" i="10"/>
  <c r="Z106" i="10"/>
  <c r="Z218" i="10"/>
  <c r="AB218" i="10" s="1"/>
  <c r="Z444" i="10"/>
  <c r="AB444" i="10" s="1"/>
  <c r="Z488" i="10"/>
  <c r="AB488" i="10" s="1"/>
  <c r="Z315" i="10"/>
  <c r="AA315" i="10" s="1"/>
  <c r="Z175" i="10"/>
  <c r="AA175" i="10" s="1"/>
  <c r="Z77" i="10"/>
  <c r="AB77" i="10" s="1"/>
  <c r="Z213" i="10"/>
  <c r="Z130" i="10"/>
  <c r="AA130" i="10" s="1"/>
  <c r="Z262" i="10"/>
  <c r="AA262" i="10" s="1"/>
  <c r="Z232" i="10"/>
  <c r="AA232" i="10" s="1"/>
  <c r="Z196" i="10"/>
  <c r="AA196" i="10" s="1"/>
  <c r="Z205" i="10"/>
  <c r="Z438" i="10"/>
  <c r="AA438" i="10" s="1"/>
  <c r="Z112" i="10"/>
  <c r="AB112" i="10" s="1"/>
  <c r="Z546" i="10"/>
  <c r="AB546" i="10" s="1"/>
  <c r="Z303" i="10"/>
  <c r="AA303" i="10" s="1"/>
  <c r="Z42" i="10"/>
  <c r="AB42" i="10" s="1"/>
  <c r="Z242" i="10"/>
  <c r="AB242" i="10" s="1"/>
  <c r="Z308" i="10"/>
  <c r="Z320" i="10"/>
  <c r="Z96" i="10"/>
  <c r="AB96" i="10" s="1"/>
  <c r="Z98" i="10"/>
  <c r="AA98" i="10" s="1"/>
  <c r="Z172" i="10"/>
  <c r="Z20" i="10"/>
  <c r="AA20" i="10" s="1"/>
  <c r="Z548" i="10"/>
  <c r="AA548" i="10" s="1"/>
  <c r="Z422" i="10"/>
  <c r="AB422" i="10" s="1"/>
  <c r="Z295" i="10"/>
  <c r="AA295" i="10" s="1"/>
  <c r="Z195" i="10"/>
  <c r="Z119" i="10"/>
  <c r="AB119" i="10" s="1"/>
  <c r="Z190" i="10"/>
  <c r="AA190" i="10" s="1"/>
  <c r="Z184" i="10"/>
  <c r="AA184" i="10" s="1"/>
  <c r="Z491" i="10"/>
  <c r="AB491" i="10" s="1"/>
  <c r="Z418" i="10"/>
  <c r="AB418" i="10" s="1"/>
  <c r="Z291" i="10"/>
  <c r="AA291" i="10" s="1"/>
  <c r="Z66" i="10"/>
  <c r="AA66" i="10" s="1"/>
  <c r="Z216" i="10"/>
  <c r="AA216" i="10" s="1"/>
  <c r="Z459" i="10"/>
  <c r="AB459" i="10" s="1"/>
  <c r="Z457" i="10"/>
  <c r="AA457" i="10" s="1"/>
  <c r="Z439" i="10"/>
  <c r="AB439" i="10" s="1"/>
  <c r="Z102" i="10"/>
  <c r="AB102" i="10" s="1"/>
  <c r="Z474" i="10"/>
  <c r="AA474" i="10" s="1"/>
  <c r="Z214" i="10"/>
  <c r="AA214" i="10" s="1"/>
  <c r="Z409" i="10"/>
  <c r="AA409" i="10" s="1"/>
  <c r="Z476" i="10"/>
  <c r="Z518" i="10"/>
  <c r="AA518" i="10" s="1"/>
  <c r="Z301" i="10"/>
  <c r="AA301" i="10" s="1"/>
  <c r="Z241" i="10"/>
  <c r="AB241" i="10" s="1"/>
  <c r="Z64" i="10"/>
  <c r="AB64" i="10" s="1"/>
  <c r="Z24" i="10"/>
  <c r="AA24" i="10" s="1"/>
  <c r="Z272" i="10"/>
  <c r="AB272" i="10" s="1"/>
  <c r="Z250" i="10"/>
  <c r="AA250" i="10" s="1"/>
  <c r="Z395" i="10"/>
  <c r="Z382" i="10"/>
  <c r="AB382" i="10" s="1"/>
  <c r="Z390" i="10"/>
  <c r="AB390" i="10" s="1"/>
  <c r="Z421" i="10"/>
  <c r="AA421" i="10" s="1"/>
  <c r="Z464" i="10"/>
  <c r="AA464" i="10" s="1"/>
  <c r="Z429" i="10"/>
  <c r="AB429" i="10" s="1"/>
  <c r="Z91" i="10"/>
  <c r="AB91" i="10" s="1"/>
  <c r="Z340" i="10"/>
  <c r="AB340" i="10" s="1"/>
  <c r="Z363" i="10"/>
  <c r="Z515" i="10"/>
  <c r="AB515" i="10" s="1"/>
  <c r="Z220" i="10"/>
  <c r="AA220" i="10" s="1"/>
  <c r="Z28" i="10"/>
  <c r="AB28" i="10" s="1"/>
  <c r="Z321" i="10"/>
  <c r="Z501" i="10"/>
  <c r="AB501" i="10" s="1"/>
  <c r="Z108" i="10"/>
  <c r="AB108" i="10" s="1"/>
  <c r="Z401" i="10"/>
  <c r="AA401" i="10" s="1"/>
  <c r="Z70" i="10"/>
  <c r="AB70" i="10" s="1"/>
  <c r="Z365" i="10"/>
  <c r="AB365" i="10" s="1"/>
  <c r="Z458" i="10"/>
  <c r="AA458" i="10" s="1"/>
  <c r="Z199" i="10"/>
  <c r="Z490" i="10"/>
  <c r="Z336" i="10"/>
  <c r="AA336" i="10" s="1"/>
  <c r="Z180" i="10"/>
  <c r="AA180" i="10" s="1"/>
  <c r="Z353" i="10"/>
  <c r="Z450" i="10"/>
  <c r="Z297" i="10"/>
  <c r="AA297" i="10" s="1"/>
  <c r="Z88" i="10"/>
  <c r="AA88" i="10" s="1"/>
  <c r="Z194" i="10"/>
  <c r="AB194" i="10" s="1"/>
  <c r="Z462" i="10"/>
  <c r="Z140" i="10"/>
  <c r="AB140" i="10" s="1"/>
  <c r="Z525" i="10"/>
  <c r="AA525" i="10" s="1"/>
  <c r="Z103" i="10"/>
  <c r="AA103" i="10" s="1"/>
  <c r="Z549" i="10"/>
  <c r="Z289" i="10"/>
  <c r="AB289" i="10" s="1"/>
  <c r="Z266" i="10"/>
  <c r="AA266" i="10" s="1"/>
  <c r="Z528" i="10"/>
  <c r="AB528" i="10" s="1"/>
  <c r="Z397" i="10"/>
  <c r="AB397" i="10" s="1"/>
  <c r="Z109" i="10"/>
  <c r="AA109" i="10" s="1"/>
  <c r="Z209" i="10"/>
  <c r="AB209" i="10" s="1"/>
  <c r="Z264" i="10"/>
  <c r="AA264" i="10" s="1"/>
  <c r="Z191" i="10"/>
  <c r="Z405" i="10"/>
  <c r="AB405" i="10" s="1"/>
  <c r="Z273" i="10"/>
  <c r="AA273" i="10" s="1"/>
  <c r="Z61" i="10"/>
  <c r="AB61" i="10" s="1"/>
  <c r="Z278" i="10"/>
  <c r="Z350" i="10"/>
  <c r="AB350" i="10" s="1"/>
  <c r="Z38" i="10"/>
  <c r="AB38" i="10" s="1"/>
  <c r="Z144" i="10"/>
  <c r="AB144" i="10" s="1"/>
  <c r="Z407" i="10"/>
  <c r="AB407" i="10" s="1"/>
  <c r="Z269" i="10"/>
  <c r="AB269" i="10" s="1"/>
  <c r="Z157" i="10"/>
  <c r="AB157" i="10" s="1"/>
  <c r="Z234" i="10"/>
  <c r="AB234" i="10" s="1"/>
  <c r="Z306" i="10"/>
  <c r="Z302" i="10"/>
  <c r="AA302" i="10" s="1"/>
  <c r="Z210" i="10"/>
  <c r="AB210" i="10" s="1"/>
  <c r="Z50" i="10"/>
  <c r="AB50" i="10" s="1"/>
  <c r="Z330" i="10"/>
  <c r="AB330" i="10" s="1"/>
  <c r="Z494" i="10"/>
  <c r="AA494" i="10" s="1"/>
  <c r="Z208" i="10"/>
  <c r="AB208" i="10" s="1"/>
  <c r="Z364" i="10"/>
  <c r="AB364" i="10" s="1"/>
  <c r="Z509" i="10"/>
  <c r="Z189" i="10"/>
  <c r="AA189" i="10" s="1"/>
  <c r="Z506" i="10"/>
  <c r="AA506" i="10" s="1"/>
  <c r="Z127" i="10"/>
  <c r="AA127" i="10" s="1"/>
  <c r="Z411" i="10"/>
  <c r="Z258" i="10"/>
  <c r="AA258" i="10" s="1"/>
  <c r="Z72" i="10"/>
  <c r="AA72" i="10" s="1"/>
  <c r="Z372" i="10"/>
  <c r="AA372" i="10" s="1"/>
  <c r="Z440" i="10"/>
  <c r="Z305" i="10"/>
  <c r="AB305" i="10" s="1"/>
  <c r="Z146" i="10"/>
  <c r="AB146" i="10" s="1"/>
  <c r="Z55" i="10"/>
  <c r="AB55" i="10" s="1"/>
  <c r="Z499" i="10"/>
  <c r="Z147" i="10"/>
  <c r="AA147" i="10" s="1"/>
  <c r="Z497" i="10"/>
  <c r="AB497" i="10" s="1"/>
  <c r="Z36" i="10"/>
  <c r="AB36" i="10" s="1"/>
  <c r="Z45" i="10"/>
  <c r="Z155" i="10"/>
  <c r="AA155" i="10" s="1"/>
  <c r="Z327" i="10"/>
  <c r="AA327" i="10" s="1"/>
  <c r="T157" i="4"/>
  <c r="Z370" i="10"/>
  <c r="AA370" i="10" s="1"/>
  <c r="Z437" i="10"/>
  <c r="AA437" i="10" s="1"/>
  <c r="Z510" i="10"/>
  <c r="AB510" i="10" s="1"/>
  <c r="Z447" i="10"/>
  <c r="AA447" i="10" s="1"/>
  <c r="Z344" i="10"/>
  <c r="AA344" i="10" s="1"/>
  <c r="Z49" i="10"/>
  <c r="AB49" i="10" s="1"/>
  <c r="Z107" i="10"/>
  <c r="AB107" i="10" s="1"/>
  <c r="Z121" i="10"/>
  <c r="AB121" i="10" s="1"/>
  <c r="Z343" i="10"/>
  <c r="AA343" i="10" s="1"/>
  <c r="T136" i="4"/>
  <c r="T72" i="4"/>
  <c r="T15" i="4"/>
  <c r="T74" i="4"/>
  <c r="T148" i="4"/>
  <c r="T116" i="4"/>
  <c r="T27" i="4"/>
  <c r="T118" i="4"/>
  <c r="T54" i="4"/>
  <c r="T153" i="4"/>
  <c r="T137" i="4"/>
  <c r="T113" i="4"/>
  <c r="T97" i="4"/>
  <c r="T81" i="4"/>
  <c r="T57" i="4"/>
  <c r="T41" i="4"/>
  <c r="BW7" i="4"/>
  <c r="T7" i="4"/>
  <c r="T144" i="4"/>
  <c r="T112" i="4"/>
  <c r="T80" i="4"/>
  <c r="T48" i="4"/>
  <c r="T18" i="4"/>
  <c r="T146" i="4"/>
  <c r="T114" i="4"/>
  <c r="T82" i="4"/>
  <c r="T50" i="4"/>
  <c r="T28" i="4"/>
  <c r="T156" i="4"/>
  <c r="T124" i="4"/>
  <c r="T92" i="4"/>
  <c r="T60" i="4"/>
  <c r="T31" i="4"/>
  <c r="T8" i="4"/>
  <c r="T126" i="4"/>
  <c r="T94" i="4"/>
  <c r="T62" i="4"/>
  <c r="T37" i="4"/>
  <c r="T13" i="4"/>
  <c r="T155" i="4"/>
  <c r="T147" i="4"/>
  <c r="T139" i="4"/>
  <c r="T131" i="4"/>
  <c r="T123" i="4"/>
  <c r="T115" i="4"/>
  <c r="T107" i="4"/>
  <c r="T99" i="4"/>
  <c r="T91" i="4"/>
  <c r="T83" i="4"/>
  <c r="T75" i="4"/>
  <c r="T67" i="4"/>
  <c r="T59" i="4"/>
  <c r="T51" i="4"/>
  <c r="T43" i="4"/>
  <c r="T30" i="4"/>
  <c r="T36" i="4"/>
  <c r="T106" i="4"/>
  <c r="T24" i="4"/>
  <c r="T52" i="4"/>
  <c r="T86" i="4"/>
  <c r="T11" i="4"/>
  <c r="T129" i="4"/>
  <c r="T105" i="4"/>
  <c r="T73" i="4"/>
  <c r="T49" i="4"/>
  <c r="T10" i="4"/>
  <c r="T128" i="4"/>
  <c r="T96" i="4"/>
  <c r="T64" i="4"/>
  <c r="T32" i="4"/>
  <c r="T12" i="4"/>
  <c r="T130" i="4"/>
  <c r="T98" i="4"/>
  <c r="T66" i="4"/>
  <c r="T39" i="4"/>
  <c r="T21" i="4"/>
  <c r="T140" i="4"/>
  <c r="T108" i="4"/>
  <c r="T76" i="4"/>
  <c r="T44" i="4"/>
  <c r="T20" i="4"/>
  <c r="T142" i="4"/>
  <c r="T110" i="4"/>
  <c r="T78" i="4"/>
  <c r="T46" i="4"/>
  <c r="T23" i="4"/>
  <c r="T9" i="4"/>
  <c r="T151" i="4"/>
  <c r="T143" i="4"/>
  <c r="T135" i="4"/>
  <c r="T127" i="4"/>
  <c r="T119" i="4"/>
  <c r="T111" i="4"/>
  <c r="T103" i="4"/>
  <c r="T95" i="4"/>
  <c r="T87" i="4"/>
  <c r="T79" i="4"/>
  <c r="T71" i="4"/>
  <c r="T63" i="4"/>
  <c r="T55" i="4"/>
  <c r="T47" i="4"/>
  <c r="T38" i="4"/>
  <c r="T22" i="4"/>
  <c r="T104" i="4"/>
  <c r="T138" i="4"/>
  <c r="T42" i="4"/>
  <c r="T84" i="4"/>
  <c r="T150" i="4"/>
  <c r="T26" i="4"/>
  <c r="T145" i="4"/>
  <c r="T121" i="4"/>
  <c r="T89" i="4"/>
  <c r="T65" i="4"/>
  <c r="T25" i="4"/>
  <c r="T152" i="4"/>
  <c r="T120" i="4"/>
  <c r="T88" i="4"/>
  <c r="T56" i="4"/>
  <c r="T29" i="4"/>
  <c r="T154" i="4"/>
  <c r="T122" i="4"/>
  <c r="T90" i="4"/>
  <c r="T58" i="4"/>
  <c r="T35" i="4"/>
  <c r="T14" i="4"/>
  <c r="T132" i="4"/>
  <c r="T100" i="4"/>
  <c r="T68" i="4"/>
  <c r="T34" i="4"/>
  <c r="T16" i="4"/>
  <c r="T134" i="4"/>
  <c r="T102" i="4"/>
  <c r="T70" i="4"/>
  <c r="T40" i="4"/>
  <c r="T19" i="4"/>
  <c r="T149" i="4"/>
  <c r="T141" i="4"/>
  <c r="T133" i="4"/>
  <c r="T125" i="4"/>
  <c r="T117" i="4"/>
  <c r="T109" i="4"/>
  <c r="T101" i="4"/>
  <c r="T93" i="4"/>
  <c r="T85" i="4"/>
  <c r="T77" i="4"/>
  <c r="T69" i="4"/>
  <c r="T61" i="4"/>
  <c r="T53" i="4"/>
  <c r="T45" i="4"/>
  <c r="T33" i="4"/>
  <c r="T17" i="4"/>
  <c r="Z133" i="10"/>
  <c r="AB133" i="10" s="1"/>
  <c r="Z231" i="10"/>
  <c r="AB231" i="10" s="1"/>
  <c r="Z313" i="10"/>
  <c r="AB313" i="10" s="1"/>
  <c r="Z338" i="10"/>
  <c r="AB338" i="10" s="1"/>
  <c r="Z355" i="10"/>
  <c r="Z388" i="10"/>
  <c r="AA388" i="10" s="1"/>
  <c r="Z484" i="10"/>
  <c r="AA484" i="10" s="1"/>
  <c r="Z508" i="10"/>
  <c r="AB508" i="10" s="1"/>
  <c r="Z40" i="10"/>
  <c r="AB40" i="10" s="1"/>
  <c r="Z456" i="10"/>
  <c r="AB456" i="10" s="1"/>
  <c r="Z168" i="10"/>
  <c r="AA168" i="10" s="1"/>
  <c r="Z25" i="10"/>
  <c r="AB25" i="10" s="1"/>
  <c r="Z51" i="10"/>
  <c r="AB51" i="10" s="1"/>
  <c r="Z41" i="10"/>
  <c r="AA41" i="10" s="1"/>
  <c r="Z317" i="10"/>
  <c r="AB317" i="10" s="1"/>
  <c r="Z410" i="10"/>
  <c r="AA410" i="10" s="1"/>
  <c r="Z215" i="10"/>
  <c r="AA215" i="10" s="1"/>
  <c r="Z279" i="10"/>
  <c r="AA279" i="10" s="1"/>
  <c r="Z345" i="10"/>
  <c r="AB345" i="10" s="1"/>
  <c r="Z354" i="10"/>
  <c r="AA354" i="10" s="1"/>
  <c r="Z339" i="10"/>
  <c r="AB339" i="10" s="1"/>
  <c r="Z406" i="10"/>
  <c r="AB406" i="10" s="1"/>
  <c r="Z420" i="10"/>
  <c r="AA420" i="10" s="1"/>
  <c r="Z466" i="10"/>
  <c r="AA466" i="10" s="1"/>
  <c r="Z500" i="10"/>
  <c r="AA500" i="10" s="1"/>
  <c r="Z537" i="10"/>
  <c r="AA537" i="10" s="1"/>
  <c r="Z240" i="10"/>
  <c r="AA240" i="10" s="1"/>
  <c r="Z448" i="10"/>
  <c r="AB448" i="10" s="1"/>
  <c r="Z229" i="10"/>
  <c r="AA229" i="10" s="1"/>
  <c r="Z110" i="10"/>
  <c r="AB110" i="10" s="1"/>
  <c r="Z58" i="10"/>
  <c r="AB58" i="10" s="1"/>
  <c r="Z73" i="10"/>
  <c r="AA73" i="10" s="1"/>
  <c r="Z174" i="10"/>
  <c r="Z187" i="10"/>
  <c r="AA187" i="10" s="1"/>
  <c r="Z326" i="10"/>
  <c r="AA326" i="10" s="1"/>
  <c r="Z441" i="10"/>
  <c r="AA441" i="10" s="1"/>
  <c r="Z286" i="10"/>
  <c r="AA286" i="10" s="1"/>
  <c r="Z513" i="10"/>
  <c r="AA513" i="10" s="1"/>
  <c r="Z371" i="10"/>
  <c r="AA371" i="10" s="1"/>
  <c r="Z387" i="10"/>
  <c r="AA387" i="10" s="1"/>
  <c r="Z84" i="10"/>
  <c r="AB84" i="10" s="1"/>
  <c r="Z83" i="10"/>
  <c r="AA83" i="10" s="1"/>
  <c r="Z178" i="10"/>
  <c r="AA178" i="10" s="1"/>
  <c r="Z89" i="10"/>
  <c r="AB89" i="10" s="1"/>
  <c r="Z54" i="10"/>
  <c r="AA54" i="10" s="1"/>
  <c r="Z105" i="10"/>
  <c r="AB105" i="10" s="1"/>
  <c r="Z267" i="10"/>
  <c r="AB267" i="10" s="1"/>
  <c r="Z311" i="10"/>
  <c r="AB311" i="10" s="1"/>
  <c r="Z392" i="10"/>
  <c r="AB392" i="10" s="1"/>
  <c r="Z12" i="10"/>
  <c r="AA12" i="10" s="1"/>
  <c r="Z531" i="10"/>
  <c r="AA531" i="10" s="1"/>
  <c r="Z13" i="10"/>
  <c r="AB13" i="10" s="1"/>
  <c r="Z171" i="10"/>
  <c r="AB171" i="10" s="1"/>
  <c r="Z283" i="10"/>
  <c r="AA283" i="10" s="1"/>
  <c r="Z342" i="10"/>
  <c r="AA342" i="10" s="1"/>
  <c r="Z394" i="10"/>
  <c r="AA394" i="10" s="1"/>
  <c r="Z454" i="10"/>
  <c r="AB454" i="10" s="1"/>
  <c r="Z535" i="10"/>
  <c r="AB535" i="10" s="1"/>
  <c r="Z137" i="10"/>
  <c r="AA137" i="10" s="1"/>
  <c r="Z251" i="10"/>
  <c r="AB251" i="10" s="1"/>
  <c r="Z333" i="10"/>
  <c r="AA333" i="10" s="1"/>
  <c r="Z358" i="10"/>
  <c r="AB358" i="10" s="1"/>
  <c r="Z374" i="10"/>
  <c r="AA374" i="10" s="1"/>
  <c r="Z408" i="10"/>
  <c r="AB408" i="10" s="1"/>
  <c r="Z507" i="10"/>
  <c r="AB507" i="10" s="1"/>
  <c r="Z10" i="10"/>
  <c r="AB10" i="10" s="1"/>
  <c r="Z123" i="10"/>
  <c r="AB123" i="10" s="1"/>
  <c r="Z79" i="10"/>
  <c r="AB79" i="10" s="1"/>
  <c r="Z198" i="10"/>
  <c r="Z153" i="10"/>
  <c r="AB153" i="10" s="1"/>
  <c r="Z235" i="10"/>
  <c r="AA235" i="10" s="1"/>
  <c r="Z299" i="10"/>
  <c r="AA299" i="10" s="1"/>
  <c r="Z310" i="10"/>
  <c r="Z431" i="10"/>
  <c r="AA431" i="10" s="1"/>
  <c r="Z359" i="10"/>
  <c r="AA359" i="10" s="1"/>
  <c r="Z426" i="10"/>
  <c r="AA426" i="10" s="1"/>
  <c r="Z472" i="10"/>
  <c r="Z514" i="10"/>
  <c r="AB514" i="10" s="1"/>
  <c r="Z552" i="10"/>
  <c r="AB552" i="10" s="1"/>
  <c r="Z8" i="10"/>
  <c r="AA8" i="10" s="1"/>
  <c r="Z424" i="10"/>
  <c r="Z486" i="10"/>
  <c r="AB486" i="10" s="1"/>
  <c r="Z511" i="10"/>
  <c r="AB511" i="10" s="1"/>
  <c r="Z555" i="10"/>
  <c r="AA555" i="10" s="1"/>
  <c r="AT12" i="10"/>
  <c r="AU12" i="10"/>
  <c r="AT13" i="10"/>
  <c r="AU13" i="10"/>
  <c r="B41" i="10"/>
  <c r="P19" i="10" s="1"/>
  <c r="B42" i="10"/>
  <c r="Q231" i="10" s="1"/>
  <c r="V10" i="10"/>
  <c r="U10" i="10"/>
  <c r="AH10" i="10"/>
  <c r="AI10" i="10"/>
  <c r="AL10" i="10"/>
  <c r="AK10" i="10"/>
  <c r="AQ10" i="10"/>
  <c r="AR10" i="10"/>
  <c r="AN10" i="10"/>
  <c r="AO10" i="10"/>
  <c r="AS10" i="10"/>
  <c r="W10" i="10"/>
  <c r="W7" i="10"/>
  <c r="W13" i="10"/>
  <c r="W12" i="10"/>
  <c r="W8" i="10"/>
  <c r="AB263" i="10"/>
  <c r="AA263" i="10"/>
  <c r="W544" i="10"/>
  <c r="W540" i="10"/>
  <c r="W539" i="10"/>
  <c r="W543" i="10"/>
  <c r="W519" i="10"/>
  <c r="W515" i="10"/>
  <c r="W503" i="10"/>
  <c r="W499" i="10"/>
  <c r="W495" i="10"/>
  <c r="W538" i="10"/>
  <c r="W518" i="10"/>
  <c r="W498" i="10"/>
  <c r="W486" i="10"/>
  <c r="W489" i="10"/>
  <c r="W479" i="10"/>
  <c r="W475" i="10"/>
  <c r="W452" i="10"/>
  <c r="W448" i="10"/>
  <c r="W444" i="10"/>
  <c r="W440" i="10"/>
  <c r="W434" i="10"/>
  <c r="W494" i="10"/>
  <c r="W467" i="10"/>
  <c r="W459" i="10"/>
  <c r="W463" i="10"/>
  <c r="W455" i="10"/>
  <c r="W385" i="10"/>
  <c r="W383" i="10"/>
  <c r="W379" i="10"/>
  <c r="W375" i="10"/>
  <c r="W371" i="10"/>
  <c r="W429" i="10"/>
  <c r="W425" i="10"/>
  <c r="W421" i="10"/>
  <c r="W417" i="10"/>
  <c r="W413" i="10"/>
  <c r="W409" i="10"/>
  <c r="W405" i="10"/>
  <c r="W401" i="10"/>
  <c r="W397" i="10"/>
  <c r="W393" i="10"/>
  <c r="W389" i="10"/>
  <c r="W387" i="10"/>
  <c r="W367" i="10"/>
  <c r="W363" i="10"/>
  <c r="W306" i="10"/>
  <c r="W302" i="10"/>
  <c r="W298" i="10"/>
  <c r="W294" i="10"/>
  <c r="W290" i="10"/>
  <c r="W286" i="10"/>
  <c r="W282" i="10"/>
  <c r="W278" i="10"/>
  <c r="W274" i="10"/>
  <c r="W270" i="10"/>
  <c r="W266" i="10"/>
  <c r="W262" i="10"/>
  <c r="W258" i="10"/>
  <c r="W254" i="10"/>
  <c r="W250" i="10"/>
  <c r="W246" i="10"/>
  <c r="W241" i="10"/>
  <c r="W237" i="10"/>
  <c r="W233" i="10"/>
  <c r="W229" i="10"/>
  <c r="W225" i="10"/>
  <c r="W221" i="10"/>
  <c r="W217" i="10"/>
  <c r="W213" i="10"/>
  <c r="W209" i="10"/>
  <c r="W244" i="10"/>
  <c r="W240" i="10"/>
  <c r="W236" i="10"/>
  <c r="W232" i="10"/>
  <c r="W228" i="10"/>
  <c r="W224" i="10"/>
  <c r="W220" i="10"/>
  <c r="W216" i="10"/>
  <c r="W212" i="10"/>
  <c r="W193" i="10"/>
  <c r="W189" i="10"/>
  <c r="W185" i="10"/>
  <c r="W181" i="10"/>
  <c r="W177" i="10"/>
  <c r="W173" i="10"/>
  <c r="W169" i="10"/>
  <c r="W165" i="10"/>
  <c r="W201" i="10"/>
  <c r="W162" i="10"/>
  <c r="W154" i="10"/>
  <c r="W102" i="10"/>
  <c r="W192" i="10"/>
  <c r="W188" i="10"/>
  <c r="W184" i="10"/>
  <c r="W180" i="10"/>
  <c r="W176" i="10"/>
  <c r="W172" i="10"/>
  <c r="W168" i="10"/>
  <c r="W164" i="10"/>
  <c r="B46" i="10"/>
  <c r="W142" i="10"/>
  <c r="W138" i="10"/>
  <c r="W126" i="10"/>
  <c r="W118" i="10"/>
  <c r="W110" i="10"/>
  <c r="W106" i="10"/>
  <c r="W242" i="10"/>
  <c r="W238" i="10"/>
  <c r="W234" i="10"/>
  <c r="W230" i="10"/>
  <c r="W226" i="10"/>
  <c r="W222" i="10"/>
  <c r="W218" i="10"/>
  <c r="W214" i="10"/>
  <c r="W210" i="10"/>
  <c r="W205" i="10"/>
  <c r="W197" i="10"/>
  <c r="W61" i="10"/>
  <c r="W158" i="10"/>
  <c r="W150" i="10"/>
  <c r="W146" i="10"/>
  <c r="W134" i="10"/>
  <c r="W130" i="10"/>
  <c r="W122" i="10"/>
  <c r="W114" i="10"/>
  <c r="W40" i="10"/>
  <c r="W37" i="10"/>
  <c r="W34" i="10"/>
  <c r="W27" i="10"/>
  <c r="O9" i="10"/>
  <c r="W32" i="10"/>
  <c r="W30" i="10"/>
  <c r="W21" i="10"/>
  <c r="W200" i="10"/>
  <c r="W69" i="10"/>
  <c r="W74" i="10"/>
  <c r="W90" i="10"/>
  <c r="W47" i="10"/>
  <c r="W23" i="10"/>
  <c r="W31" i="10"/>
  <c r="W43" i="10"/>
  <c r="W58" i="10"/>
  <c r="W49" i="10"/>
  <c r="W22" i="10"/>
  <c r="W33" i="10"/>
  <c r="W46" i="10"/>
  <c r="W80" i="10"/>
  <c r="W96" i="10"/>
  <c r="W204" i="10"/>
  <c r="W65" i="10"/>
  <c r="W75" i="10"/>
  <c r="W91" i="10"/>
  <c r="W147" i="10"/>
  <c r="W163" i="10"/>
  <c r="W73" i="10"/>
  <c r="W89" i="10"/>
  <c r="W101" i="10"/>
  <c r="W109" i="10"/>
  <c r="W117" i="10"/>
  <c r="W125" i="10"/>
  <c r="W133" i="10"/>
  <c r="W149" i="10"/>
  <c r="W198" i="10"/>
  <c r="W206" i="10"/>
  <c r="W373" i="10"/>
  <c r="W171" i="10"/>
  <c r="W187" i="10"/>
  <c r="W203" i="10"/>
  <c r="W219" i="10"/>
  <c r="W235" i="10"/>
  <c r="W316" i="10"/>
  <c r="W332" i="10"/>
  <c r="W348" i="10"/>
  <c r="W310" i="10"/>
  <c r="W318" i="10"/>
  <c r="W326" i="10"/>
  <c r="W334" i="10"/>
  <c r="W342" i="10"/>
  <c r="W350" i="10"/>
  <c r="W358" i="10"/>
  <c r="W376" i="10"/>
  <c r="W465" i="10"/>
  <c r="W247" i="10"/>
  <c r="W263" i="10"/>
  <c r="W279" i="10"/>
  <c r="W295" i="10"/>
  <c r="W403" i="10"/>
  <c r="W419" i="10"/>
  <c r="W370" i="10"/>
  <c r="W433" i="10"/>
  <c r="W442" i="10"/>
  <c r="W450" i="10"/>
  <c r="W451" i="10"/>
  <c r="W483" i="10"/>
  <c r="W476" i="10"/>
  <c r="W484" i="10"/>
  <c r="W493" i="10"/>
  <c r="W466" i="10"/>
  <c r="W474" i="10"/>
  <c r="W492" i="10"/>
  <c r="W516" i="10"/>
  <c r="W500" i="10"/>
  <c r="W527" i="10"/>
  <c r="W532" i="10"/>
  <c r="W521" i="10"/>
  <c r="W535" i="10"/>
  <c r="W533" i="10"/>
  <c r="W542" i="10"/>
  <c r="W553" i="10"/>
  <c r="W548" i="10"/>
  <c r="W557" i="10"/>
  <c r="W559" i="10"/>
  <c r="W549" i="10"/>
  <c r="W199" i="10"/>
  <c r="W368" i="10"/>
  <c r="W337" i="10"/>
  <c r="W345" i="10"/>
  <c r="W369" i="10"/>
  <c r="W259" i="10"/>
  <c r="W307" i="10"/>
  <c r="W331" i="10"/>
  <c r="W399" i="10"/>
  <c r="W388" i="10"/>
  <c r="W420" i="10"/>
  <c r="W382" i="10"/>
  <c r="W406" i="10"/>
  <c r="W456" i="10"/>
  <c r="W485" i="10"/>
  <c r="W462" i="10"/>
  <c r="W508" i="10"/>
  <c r="W526" i="10"/>
  <c r="W555" i="10"/>
  <c r="W42" i="10"/>
  <c r="W208" i="10"/>
  <c r="W50" i="10"/>
  <c r="W54" i="10"/>
  <c r="W57" i="10"/>
  <c r="W78" i="10"/>
  <c r="W94" i="10"/>
  <c r="W56" i="10"/>
  <c r="W64" i="10"/>
  <c r="W166" i="10"/>
  <c r="W174" i="10"/>
  <c r="W182" i="10"/>
  <c r="W190" i="10"/>
  <c r="W25" i="10"/>
  <c r="W35" i="10"/>
  <c r="W41" i="10"/>
  <c r="W24" i="10"/>
  <c r="W29" i="10"/>
  <c r="W36" i="10"/>
  <c r="W53" i="10"/>
  <c r="W84" i="10"/>
  <c r="W67" i="10"/>
  <c r="W87" i="10"/>
  <c r="W143" i="10"/>
  <c r="W159" i="10"/>
  <c r="W248" i="10"/>
  <c r="W256" i="10"/>
  <c r="W264" i="10"/>
  <c r="W272" i="10"/>
  <c r="W280" i="10"/>
  <c r="W288" i="10"/>
  <c r="W296" i="10"/>
  <c r="W100" i="10"/>
  <c r="W108" i="10"/>
  <c r="W116" i="10"/>
  <c r="W124" i="10"/>
  <c r="W132" i="10"/>
  <c r="W140" i="10"/>
  <c r="W148" i="10"/>
  <c r="W156" i="10"/>
  <c r="W77" i="10"/>
  <c r="W93" i="10"/>
  <c r="W145" i="10"/>
  <c r="W161" i="10"/>
  <c r="W245" i="10"/>
  <c r="W249" i="10"/>
  <c r="W253" i="10"/>
  <c r="W257" i="10"/>
  <c r="W261" i="10"/>
  <c r="W265" i="10"/>
  <c r="W269" i="10"/>
  <c r="W273" i="10"/>
  <c r="W277" i="10"/>
  <c r="W281" i="10"/>
  <c r="W285" i="10"/>
  <c r="W289" i="10"/>
  <c r="W293" i="10"/>
  <c r="W297" i="10"/>
  <c r="W301" i="10"/>
  <c r="W300" i="10"/>
  <c r="W175" i="10"/>
  <c r="W191" i="10"/>
  <c r="W207" i="10"/>
  <c r="W223" i="10"/>
  <c r="W239" i="10"/>
  <c r="W320" i="10"/>
  <c r="W336" i="10"/>
  <c r="W352" i="10"/>
  <c r="W364" i="10"/>
  <c r="W309" i="10"/>
  <c r="W317" i="10"/>
  <c r="W325" i="10"/>
  <c r="W333" i="10"/>
  <c r="W341" i="10"/>
  <c r="W349" i="10"/>
  <c r="W357" i="10"/>
  <c r="W365" i="10"/>
  <c r="W380" i="10"/>
  <c r="W435" i="10"/>
  <c r="W251" i="10"/>
  <c r="W267" i="10"/>
  <c r="W283" i="10"/>
  <c r="W299" i="10"/>
  <c r="W311" i="10"/>
  <c r="W319" i="10"/>
  <c r="W327" i="10"/>
  <c r="W335" i="10"/>
  <c r="W343" i="10"/>
  <c r="W351" i="10"/>
  <c r="W359" i="10"/>
  <c r="W469" i="10"/>
  <c r="W391" i="10"/>
  <c r="W407" i="10"/>
  <c r="W423" i="10"/>
  <c r="W384" i="10"/>
  <c r="W392" i="10"/>
  <c r="W400" i="10"/>
  <c r="W408" i="10"/>
  <c r="W416" i="10"/>
  <c r="W432" i="10"/>
  <c r="W436" i="10"/>
  <c r="W374" i="10"/>
  <c r="W386" i="10"/>
  <c r="W394" i="10"/>
  <c r="W402" i="10"/>
  <c r="W410" i="10"/>
  <c r="W418" i="10"/>
  <c r="W426" i="10"/>
  <c r="W437" i="10"/>
  <c r="W441" i="10"/>
  <c r="W445" i="10"/>
  <c r="W449" i="10"/>
  <c r="W453" i="10"/>
  <c r="W460" i="10"/>
  <c r="W468" i="10"/>
  <c r="W490" i="10"/>
  <c r="W439" i="10"/>
  <c r="W454" i="10"/>
  <c r="W470" i="10"/>
  <c r="W505" i="10"/>
  <c r="W497" i="10"/>
  <c r="W506" i="10"/>
  <c r="W514" i="10"/>
  <c r="W504" i="10"/>
  <c r="W523" i="10"/>
  <c r="W524" i="10"/>
  <c r="W551" i="10"/>
  <c r="W531" i="10"/>
  <c r="W550" i="10"/>
  <c r="W541" i="10"/>
  <c r="W558" i="10"/>
  <c r="W556" i="10"/>
  <c r="W153" i="10"/>
  <c r="W381" i="10"/>
  <c r="W304" i="10"/>
  <c r="W215" i="10"/>
  <c r="W312" i="10"/>
  <c r="W344" i="10"/>
  <c r="W360" i="10"/>
  <c r="W321" i="10"/>
  <c r="W291" i="10"/>
  <c r="W323" i="10"/>
  <c r="W347" i="10"/>
  <c r="W396" i="10"/>
  <c r="W390" i="10"/>
  <c r="W422" i="10"/>
  <c r="W477" i="10"/>
  <c r="W491" i="10"/>
  <c r="W501" i="10"/>
  <c r="W510" i="10"/>
  <c r="W517" i="10"/>
  <c r="W536" i="10"/>
  <c r="W537" i="10"/>
  <c r="W552" i="10"/>
  <c r="W82" i="10"/>
  <c r="W98" i="10"/>
  <c r="W66" i="10"/>
  <c r="W48" i="10"/>
  <c r="W19" i="10"/>
  <c r="W20" i="10"/>
  <c r="W44" i="10"/>
  <c r="W59" i="10"/>
  <c r="W72" i="10"/>
  <c r="W88" i="10"/>
  <c r="W196" i="10"/>
  <c r="W60" i="10"/>
  <c r="W83" i="10"/>
  <c r="W99" i="10"/>
  <c r="W103" i="10"/>
  <c r="W107" i="10"/>
  <c r="W111" i="10"/>
  <c r="W115" i="10"/>
  <c r="W119" i="10"/>
  <c r="W123" i="10"/>
  <c r="W127" i="10"/>
  <c r="W131" i="10"/>
  <c r="W139" i="10"/>
  <c r="W155" i="10"/>
  <c r="W81" i="10"/>
  <c r="W97" i="10"/>
  <c r="W105" i="10"/>
  <c r="W113" i="10"/>
  <c r="W121" i="10"/>
  <c r="W129" i="10"/>
  <c r="W141" i="10"/>
  <c r="W157" i="10"/>
  <c r="W202" i="10"/>
  <c r="W305" i="10"/>
  <c r="W377" i="10"/>
  <c r="W179" i="10"/>
  <c r="W195" i="10"/>
  <c r="W211" i="10"/>
  <c r="W227" i="10"/>
  <c r="W243" i="10"/>
  <c r="W308" i="10"/>
  <c r="W324" i="10"/>
  <c r="W340" i="10"/>
  <c r="W356" i="10"/>
  <c r="W361" i="10"/>
  <c r="W314" i="10"/>
  <c r="W322" i="10"/>
  <c r="W330" i="10"/>
  <c r="W338" i="10"/>
  <c r="W346" i="10"/>
  <c r="W354" i="10"/>
  <c r="W255" i="10"/>
  <c r="W271" i="10"/>
  <c r="W287" i="10"/>
  <c r="W303" i="10"/>
  <c r="W461" i="10"/>
  <c r="W395" i="10"/>
  <c r="W411" i="10"/>
  <c r="W427" i="10"/>
  <c r="W431" i="10"/>
  <c r="W457" i="10"/>
  <c r="W424" i="10"/>
  <c r="W428" i="10"/>
  <c r="W362" i="10"/>
  <c r="W378" i="10"/>
  <c r="W430" i="10"/>
  <c r="W502" i="10"/>
  <c r="W438" i="10"/>
  <c r="W446" i="10"/>
  <c r="W471" i="10"/>
  <c r="W443" i="10"/>
  <c r="W472" i="10"/>
  <c r="W480" i="10"/>
  <c r="W458" i="10"/>
  <c r="W482" i="10"/>
  <c r="W487" i="10"/>
  <c r="W488" i="10"/>
  <c r="W520" i="10"/>
  <c r="W513" i="10"/>
  <c r="W522" i="10"/>
  <c r="W507" i="10"/>
  <c r="W511" i="10"/>
  <c r="W534" i="10"/>
  <c r="W512" i="10"/>
  <c r="W530" i="10"/>
  <c r="W529" i="10"/>
  <c r="W546" i="10"/>
  <c r="W547" i="10"/>
  <c r="W554" i="10"/>
  <c r="W545" i="10"/>
  <c r="W45" i="10"/>
  <c r="W52" i="10"/>
  <c r="W70" i="10"/>
  <c r="W86" i="10"/>
  <c r="W62" i="10"/>
  <c r="W71" i="10"/>
  <c r="W170" i="10"/>
  <c r="W178" i="10"/>
  <c r="W186" i="10"/>
  <c r="W194" i="10"/>
  <c r="W28" i="10"/>
  <c r="W38" i="10"/>
  <c r="W39" i="10"/>
  <c r="W26" i="10"/>
  <c r="W51" i="10"/>
  <c r="W55" i="10"/>
  <c r="W68" i="10"/>
  <c r="W76" i="10"/>
  <c r="W92" i="10"/>
  <c r="W63" i="10"/>
  <c r="W79" i="10"/>
  <c r="W95" i="10"/>
  <c r="W135" i="10"/>
  <c r="W151" i="10"/>
  <c r="W252" i="10"/>
  <c r="W260" i="10"/>
  <c r="W268" i="10"/>
  <c r="W276" i="10"/>
  <c r="W284" i="10"/>
  <c r="W292" i="10"/>
  <c r="W104" i="10"/>
  <c r="W112" i="10"/>
  <c r="W120" i="10"/>
  <c r="W128" i="10"/>
  <c r="W136" i="10"/>
  <c r="W144" i="10"/>
  <c r="W152" i="10"/>
  <c r="W160" i="10"/>
  <c r="W85" i="10"/>
  <c r="W137" i="10"/>
  <c r="W167" i="10"/>
  <c r="W183" i="10"/>
  <c r="W231" i="10"/>
  <c r="W328" i="10"/>
  <c r="W313" i="10"/>
  <c r="W329" i="10"/>
  <c r="W353" i="10"/>
  <c r="W372" i="10"/>
  <c r="W275" i="10"/>
  <c r="W315" i="10"/>
  <c r="W339" i="10"/>
  <c r="W355" i="10"/>
  <c r="W415" i="10"/>
  <c r="W404" i="10"/>
  <c r="W412" i="10"/>
  <c r="W366" i="10"/>
  <c r="W398" i="10"/>
  <c r="W414" i="10"/>
  <c r="W464" i="10"/>
  <c r="W447" i="10"/>
  <c r="W473" i="10"/>
  <c r="W481" i="10"/>
  <c r="W478" i="10"/>
  <c r="W509" i="10"/>
  <c r="W496" i="10"/>
  <c r="W528" i="10"/>
  <c r="W525" i="10"/>
  <c r="W560" i="10"/>
  <c r="Z7" i="5"/>
  <c r="P7" i="5"/>
  <c r="Q7" i="5"/>
  <c r="S7" i="5" s="1"/>
  <c r="B42" i="5"/>
  <c r="Q508" i="5" s="1"/>
  <c r="R508" i="5" s="1"/>
  <c r="B181" i="2"/>
  <c r="B260" i="2" s="1"/>
  <c r="B261" i="2" s="1"/>
  <c r="B41" i="5"/>
  <c r="P455" i="5" s="1"/>
  <c r="B187" i="2"/>
  <c r="B122" i="2" s="1"/>
  <c r="W7" i="5"/>
  <c r="B82" i="2"/>
  <c r="H26" i="1" s="1"/>
  <c r="B90" i="2"/>
  <c r="B86" i="2"/>
  <c r="Z10" i="5"/>
  <c r="AB10" i="5" s="1"/>
  <c r="W59" i="5"/>
  <c r="X59" i="5" s="1"/>
  <c r="H36" i="1"/>
  <c r="W525" i="5"/>
  <c r="Y525" i="5" s="1"/>
  <c r="W376" i="5"/>
  <c r="X376" i="5" s="1"/>
  <c r="W515" i="5"/>
  <c r="Y515" i="5" s="1"/>
  <c r="W190" i="5"/>
  <c r="X190" i="5" s="1"/>
  <c r="W554" i="5"/>
  <c r="X554" i="5" s="1"/>
  <c r="W415" i="5"/>
  <c r="X415" i="5" s="1"/>
  <c r="W544" i="5"/>
  <c r="X544" i="5" s="1"/>
  <c r="W536" i="5"/>
  <c r="Y536" i="5" s="1"/>
  <c r="W339" i="5"/>
  <c r="X339" i="5" s="1"/>
  <c r="W154" i="5"/>
  <c r="X154" i="5" s="1"/>
  <c r="W448" i="5"/>
  <c r="Y448" i="5" s="1"/>
  <c r="W214" i="5"/>
  <c r="Y214" i="5" s="1"/>
  <c r="W524" i="5"/>
  <c r="X524" i="5" s="1"/>
  <c r="W373" i="5"/>
  <c r="X373" i="5" s="1"/>
  <c r="W206" i="5"/>
  <c r="X206" i="5" s="1"/>
  <c r="W107" i="5"/>
  <c r="X107" i="5" s="1"/>
  <c r="W379" i="5"/>
  <c r="X379" i="5" s="1"/>
  <c r="W464" i="5"/>
  <c r="X464" i="5" s="1"/>
  <c r="W484" i="5"/>
  <c r="Y484" i="5" s="1"/>
  <c r="W337" i="5"/>
  <c r="X337" i="5" s="1"/>
  <c r="W216" i="5"/>
  <c r="X216" i="5" s="1"/>
  <c r="W45" i="5"/>
  <c r="X45" i="5" s="1"/>
  <c r="W40" i="5"/>
  <c r="Y40" i="5" s="1"/>
  <c r="W94" i="5"/>
  <c r="Y94" i="5" s="1"/>
  <c r="W102" i="5"/>
  <c r="Y102" i="5" s="1"/>
  <c r="W132" i="5"/>
  <c r="Y132" i="5" s="1"/>
  <c r="W150" i="5"/>
  <c r="X150" i="5" s="1"/>
  <c r="W103" i="5"/>
  <c r="Y103" i="5" s="1"/>
  <c r="W194" i="5"/>
  <c r="Y194" i="5" s="1"/>
  <c r="W200" i="5"/>
  <c r="X200" i="5" s="1"/>
  <c r="W211" i="5"/>
  <c r="X211" i="5" s="1"/>
  <c r="W267" i="5"/>
  <c r="X267" i="5" s="1"/>
  <c r="W329" i="5"/>
  <c r="Y329" i="5" s="1"/>
  <c r="W273" i="5"/>
  <c r="Y273" i="5" s="1"/>
  <c r="W332" i="5"/>
  <c r="X332" i="5" s="1"/>
  <c r="W323" i="5"/>
  <c r="X323" i="5" s="1"/>
  <c r="W335" i="5"/>
  <c r="Y335" i="5" s="1"/>
  <c r="W395" i="5"/>
  <c r="X395" i="5" s="1"/>
  <c r="W320" i="5"/>
  <c r="Y320" i="5" s="1"/>
  <c r="W381" i="5"/>
  <c r="X381" i="5" s="1"/>
  <c r="W410" i="5"/>
  <c r="X410" i="5" s="1"/>
  <c r="W285" i="5"/>
  <c r="Y285" i="5" s="1"/>
  <c r="W375" i="5"/>
  <c r="Y375" i="5" s="1"/>
  <c r="W405" i="5"/>
  <c r="X405" i="5" s="1"/>
  <c r="W361" i="5"/>
  <c r="X361" i="5" s="1"/>
  <c r="W455" i="5"/>
  <c r="Y455" i="5" s="1"/>
  <c r="W479" i="5"/>
  <c r="Y479" i="5" s="1"/>
  <c r="W506" i="5"/>
  <c r="X506" i="5" s="1"/>
  <c r="W535" i="5"/>
  <c r="Y535" i="5" s="1"/>
  <c r="W411" i="5"/>
  <c r="X411" i="5" s="1"/>
  <c r="W447" i="5"/>
  <c r="Y447" i="5" s="1"/>
  <c r="W489" i="5"/>
  <c r="X489" i="5" s="1"/>
  <c r="W514" i="5"/>
  <c r="X514" i="5" s="1"/>
  <c r="W404" i="5"/>
  <c r="Y404" i="5" s="1"/>
  <c r="W460" i="5"/>
  <c r="X460" i="5" s="1"/>
  <c r="W496" i="5"/>
  <c r="Y496" i="5" s="1"/>
  <c r="W523" i="5"/>
  <c r="X523" i="5" s="1"/>
  <c r="W558" i="5"/>
  <c r="X558" i="5" s="1"/>
  <c r="W531" i="5"/>
  <c r="X531" i="5" s="1"/>
  <c r="W457" i="5"/>
  <c r="Y457" i="5" s="1"/>
  <c r="W546" i="5"/>
  <c r="Y546" i="5" s="1"/>
  <c r="W500" i="5"/>
  <c r="X500" i="5" s="1"/>
  <c r="W553" i="5"/>
  <c r="Y553" i="5" s="1"/>
  <c r="W442" i="5"/>
  <c r="Y442" i="5" s="1"/>
  <c r="W492" i="5"/>
  <c r="X492" i="5" s="1"/>
  <c r="W549" i="5"/>
  <c r="Y549" i="5" s="1"/>
  <c r="W19" i="5"/>
  <c r="Y19" i="5" s="1"/>
  <c r="W10" i="5"/>
  <c r="W44" i="5"/>
  <c r="Y44" i="5" s="1"/>
  <c r="W43" i="5"/>
  <c r="Y43" i="5" s="1"/>
  <c r="W76" i="5"/>
  <c r="X76" i="5" s="1"/>
  <c r="W66" i="5"/>
  <c r="X66" i="5" s="1"/>
  <c r="W158" i="5"/>
  <c r="X158" i="5" s="1"/>
  <c r="W128" i="5"/>
  <c r="Y128" i="5" s="1"/>
  <c r="W176" i="5"/>
  <c r="X176" i="5" s="1"/>
  <c r="W184" i="5"/>
  <c r="Y184" i="5" s="1"/>
  <c r="W248" i="5"/>
  <c r="Y248" i="5" s="1"/>
  <c r="W227" i="5"/>
  <c r="Y227" i="5" s="1"/>
  <c r="W207" i="5"/>
  <c r="Y207" i="5" s="1"/>
  <c r="W309" i="5"/>
  <c r="Y309" i="5" s="1"/>
  <c r="W255" i="5"/>
  <c r="X255" i="5" s="1"/>
  <c r="W308" i="5"/>
  <c r="X308" i="5" s="1"/>
  <c r="W292" i="5"/>
  <c r="Y292" i="5" s="1"/>
  <c r="W355" i="5"/>
  <c r="Y355" i="5" s="1"/>
  <c r="W370" i="5"/>
  <c r="Y370" i="5" s="1"/>
  <c r="W434" i="5"/>
  <c r="Y434" i="5" s="1"/>
  <c r="W366" i="5"/>
  <c r="X366" i="5" s="1"/>
  <c r="W400" i="5"/>
  <c r="Y400" i="5" s="1"/>
  <c r="W253" i="5"/>
  <c r="X253" i="5" s="1"/>
  <c r="W369" i="5"/>
  <c r="X369" i="5" s="1"/>
  <c r="W391" i="5"/>
  <c r="X391" i="5" s="1"/>
  <c r="W269" i="5"/>
  <c r="X269" i="5" s="1"/>
  <c r="W444" i="5"/>
  <c r="X444" i="5" s="1"/>
  <c r="W470" i="5"/>
  <c r="Y470" i="5" s="1"/>
  <c r="W495" i="5"/>
  <c r="Y495" i="5" s="1"/>
  <c r="W526" i="5"/>
  <c r="X526" i="5" s="1"/>
  <c r="W353" i="5"/>
  <c r="X353" i="5" s="1"/>
  <c r="W430" i="5"/>
  <c r="X430" i="5" s="1"/>
  <c r="W469" i="5"/>
  <c r="X469" i="5" s="1"/>
  <c r="W507" i="5"/>
  <c r="Y507" i="5" s="1"/>
  <c r="W365" i="5"/>
  <c r="X365" i="5" s="1"/>
  <c r="W453" i="5"/>
  <c r="Y453" i="5" s="1"/>
  <c r="W480" i="5"/>
  <c r="X480" i="5" s="1"/>
  <c r="W516" i="5"/>
  <c r="Y516" i="5" s="1"/>
  <c r="W545" i="5"/>
  <c r="X545" i="5" s="1"/>
  <c r="W462" i="5"/>
  <c r="Y462" i="5" s="1"/>
  <c r="W422" i="5"/>
  <c r="Y422" i="5" s="1"/>
  <c r="W539" i="5"/>
  <c r="X539" i="5" s="1"/>
  <c r="W474" i="5"/>
  <c r="Y474" i="5" s="1"/>
  <c r="W552" i="5"/>
  <c r="Y552" i="5" s="1"/>
  <c r="W425" i="5"/>
  <c r="X425" i="5" s="1"/>
  <c r="W482" i="5"/>
  <c r="Y482" i="5" s="1"/>
  <c r="W533" i="5"/>
  <c r="Y533" i="5" s="1"/>
  <c r="W560" i="5"/>
  <c r="Y560" i="5" s="1"/>
  <c r="W559" i="5"/>
  <c r="Y559" i="5" s="1"/>
  <c r="W459" i="5"/>
  <c r="X459" i="5" s="1"/>
  <c r="W551" i="5"/>
  <c r="Y551" i="5" s="1"/>
  <c r="W534" i="5"/>
  <c r="Y534" i="5" s="1"/>
  <c r="W439" i="5"/>
  <c r="X439" i="5" s="1"/>
  <c r="W512" i="5"/>
  <c r="Y512" i="5" s="1"/>
  <c r="W438" i="5"/>
  <c r="Y438" i="5" s="1"/>
  <c r="W502" i="5"/>
  <c r="X502" i="5" s="1"/>
  <c r="W429" i="5"/>
  <c r="X429" i="5" s="1"/>
  <c r="W520" i="5"/>
  <c r="X520" i="5" s="1"/>
  <c r="W467" i="5"/>
  <c r="X467" i="5" s="1"/>
  <c r="W236" i="5"/>
  <c r="X236" i="5" s="1"/>
  <c r="W354" i="5"/>
  <c r="X354" i="5" s="1"/>
  <c r="W398" i="5"/>
  <c r="Y398" i="5" s="1"/>
  <c r="W427" i="5"/>
  <c r="Y427" i="5" s="1"/>
  <c r="W345" i="5"/>
  <c r="X345" i="5" s="1"/>
  <c r="W301" i="5"/>
  <c r="Y301" i="5" s="1"/>
  <c r="W297" i="5"/>
  <c r="X297" i="5" s="1"/>
  <c r="W223" i="5"/>
  <c r="Y223" i="5" s="1"/>
  <c r="W181" i="5"/>
  <c r="X181" i="5" s="1"/>
  <c r="W123" i="5"/>
  <c r="Y123" i="5" s="1"/>
  <c r="W99" i="5"/>
  <c r="X99" i="5" s="1"/>
  <c r="W27" i="5"/>
  <c r="Y27" i="5" s="1"/>
  <c r="W556" i="5"/>
  <c r="X556" i="5" s="1"/>
  <c r="W452" i="5"/>
  <c r="X452" i="5" s="1"/>
  <c r="W521" i="5"/>
  <c r="X521" i="5" s="1"/>
  <c r="W486" i="5"/>
  <c r="X486" i="5" s="1"/>
  <c r="W310" i="5"/>
  <c r="Y310" i="5" s="1"/>
  <c r="W498" i="5"/>
  <c r="Y498" i="5" s="1"/>
  <c r="W431" i="5"/>
  <c r="Y431" i="5" s="1"/>
  <c r="W491" i="5"/>
  <c r="Y491" i="5" s="1"/>
  <c r="W414" i="5"/>
  <c r="Y414" i="5" s="1"/>
  <c r="W509" i="5"/>
  <c r="Y509" i="5" s="1"/>
  <c r="W461" i="5"/>
  <c r="X461" i="5" s="1"/>
  <c r="W407" i="5"/>
  <c r="X407" i="5" s="1"/>
  <c r="W305" i="5"/>
  <c r="Y305" i="5" s="1"/>
  <c r="W387" i="5"/>
  <c r="Y387" i="5" s="1"/>
  <c r="W401" i="5"/>
  <c r="W328" i="5"/>
  <c r="Y328" i="5" s="1"/>
  <c r="W277" i="5"/>
  <c r="X277" i="5" s="1"/>
  <c r="W275" i="5"/>
  <c r="Y275" i="5" s="1"/>
  <c r="W203" i="5"/>
  <c r="Y203" i="5" s="1"/>
  <c r="W139" i="5"/>
  <c r="W97" i="5"/>
  <c r="X97" i="5" s="1"/>
  <c r="W85" i="5"/>
  <c r="Y85" i="5" s="1"/>
  <c r="W34" i="5"/>
  <c r="Y34" i="5" s="1"/>
  <c r="W530" i="5"/>
  <c r="X530" i="5" s="1"/>
  <c r="W385" i="5"/>
  <c r="X385" i="5" s="1"/>
  <c r="W446" i="5"/>
  <c r="X446" i="5" s="1"/>
  <c r="W388" i="5"/>
  <c r="X388" i="5" s="1"/>
  <c r="W540" i="5"/>
  <c r="Y540" i="5" s="1"/>
  <c r="W475" i="5"/>
  <c r="Y475" i="5" s="1"/>
  <c r="W296" i="5"/>
  <c r="Y296" i="5" s="1"/>
  <c r="W466" i="5"/>
  <c r="X466" i="5" s="1"/>
  <c r="W343" i="5"/>
  <c r="X343" i="5" s="1"/>
  <c r="W490" i="5"/>
  <c r="X490" i="5" s="1"/>
  <c r="W440" i="5"/>
  <c r="X440" i="5" s="1"/>
  <c r="W390" i="5"/>
  <c r="Y390" i="5" s="1"/>
  <c r="W186" i="5"/>
  <c r="X186" i="5" s="1"/>
  <c r="W364" i="5"/>
  <c r="Y364" i="5" s="1"/>
  <c r="W360" i="5"/>
  <c r="Y360" i="5" s="1"/>
  <c r="W288" i="5"/>
  <c r="X288" i="5" s="1"/>
  <c r="W252" i="5"/>
  <c r="X252" i="5" s="1"/>
  <c r="W243" i="5"/>
  <c r="Y243" i="5" s="1"/>
  <c r="W246" i="5"/>
  <c r="X246" i="5" s="1"/>
  <c r="W164" i="5"/>
  <c r="Y164" i="5" s="1"/>
  <c r="W152" i="5"/>
  <c r="Y152" i="5" s="1"/>
  <c r="W58" i="5"/>
  <c r="Y58" i="5" s="1"/>
  <c r="W29" i="5"/>
  <c r="X29" i="5" s="1"/>
  <c r="AN10" i="5"/>
  <c r="AO10" i="5"/>
  <c r="AH10" i="5"/>
  <c r="AI10" i="5"/>
  <c r="AP10" i="5"/>
  <c r="AQ13" i="5"/>
  <c r="AR13" i="5"/>
  <c r="O9" i="5"/>
  <c r="W8" i="5"/>
  <c r="W12" i="5"/>
  <c r="W13" i="5"/>
  <c r="W35" i="5"/>
  <c r="Y35" i="5" s="1"/>
  <c r="W21" i="5"/>
  <c r="Y21" i="5" s="1"/>
  <c r="W49" i="5"/>
  <c r="Y49" i="5" s="1"/>
  <c r="W64" i="5"/>
  <c r="Y64" i="5" s="1"/>
  <c r="W65" i="5"/>
  <c r="X65" i="5" s="1"/>
  <c r="W74" i="5"/>
  <c r="Y74" i="5" s="1"/>
  <c r="W73" i="5"/>
  <c r="Y73" i="5" s="1"/>
  <c r="W87" i="5"/>
  <c r="X87" i="5" s="1"/>
  <c r="W119" i="5"/>
  <c r="X119" i="5" s="1"/>
  <c r="W115" i="5"/>
  <c r="Y115" i="5" s="1"/>
  <c r="W110" i="5"/>
  <c r="W134" i="5"/>
  <c r="X134" i="5" s="1"/>
  <c r="W137" i="5"/>
  <c r="Y137" i="5" s="1"/>
  <c r="W171" i="5"/>
  <c r="X171" i="5" s="1"/>
  <c r="W148" i="5"/>
  <c r="X148" i="5" s="1"/>
  <c r="W202" i="5"/>
  <c r="Y202" i="5" s="1"/>
  <c r="W226" i="5"/>
  <c r="Y226" i="5" s="1"/>
  <c r="W172" i="5"/>
  <c r="X172" i="5" s="1"/>
  <c r="W209" i="5"/>
  <c r="X209" i="5" s="1"/>
  <c r="W239" i="5"/>
  <c r="X239" i="5" s="1"/>
  <c r="W229" i="5"/>
  <c r="X229" i="5" s="1"/>
  <c r="W225" i="5"/>
  <c r="Y225" i="5" s="1"/>
  <c r="W283" i="5"/>
  <c r="Y283" i="5" s="1"/>
  <c r="W315" i="5"/>
  <c r="Y315" i="5" s="1"/>
  <c r="W213" i="5"/>
  <c r="X213" i="5" s="1"/>
  <c r="W260" i="5"/>
  <c r="Y260" i="5" s="1"/>
  <c r="W279" i="5"/>
  <c r="X279" i="5" s="1"/>
  <c r="W318" i="5"/>
  <c r="X318" i="5" s="1"/>
  <c r="W251" i="5"/>
  <c r="X251" i="5" s="1"/>
  <c r="W302" i="5"/>
  <c r="Y302" i="5" s="1"/>
  <c r="W333" i="5"/>
  <c r="Y333" i="5" s="1"/>
  <c r="W268" i="5"/>
  <c r="X268" i="5" s="1"/>
  <c r="W351" i="5"/>
  <c r="Y351" i="5" s="1"/>
  <c r="W377" i="5"/>
  <c r="Y377" i="5" s="1"/>
  <c r="W412" i="5"/>
  <c r="X412" i="5" s="1"/>
  <c r="W259" i="5"/>
  <c r="Y259" i="5" s="1"/>
  <c r="W346" i="5"/>
  <c r="X346" i="5" s="1"/>
  <c r="W367" i="5"/>
  <c r="Y367" i="5" s="1"/>
  <c r="W394" i="5"/>
  <c r="X394" i="5" s="1"/>
  <c r="W403" i="5"/>
  <c r="W420" i="5"/>
  <c r="Y420" i="5" s="1"/>
  <c r="W256" i="5"/>
  <c r="Y256" i="5" s="1"/>
  <c r="W341" i="5"/>
  <c r="Y341" i="5" s="1"/>
  <c r="W371" i="5"/>
  <c r="X371" i="5" s="1"/>
  <c r="W380" i="5"/>
  <c r="X380" i="5" s="1"/>
  <c r="W393" i="5"/>
  <c r="Y393" i="5" s="1"/>
  <c r="W409" i="5"/>
  <c r="W281" i="5"/>
  <c r="X281" i="5" s="1"/>
  <c r="W423" i="5"/>
  <c r="X423" i="5" s="1"/>
  <c r="W445" i="5"/>
  <c r="Y445" i="5" s="1"/>
  <c r="W463" i="5"/>
  <c r="W473" i="5"/>
  <c r="X473" i="5" s="1"/>
  <c r="W487" i="5"/>
  <c r="X487" i="5" s="1"/>
  <c r="W497" i="5"/>
  <c r="Y497" i="5" s="1"/>
  <c r="W510" i="5"/>
  <c r="W528" i="5"/>
  <c r="Y528" i="5" s="1"/>
  <c r="W217" i="5"/>
  <c r="X217" i="5" s="1"/>
  <c r="W363" i="5"/>
  <c r="Y363" i="5" s="1"/>
  <c r="W417" i="5"/>
  <c r="X417" i="5" s="1"/>
  <c r="W441" i="5"/>
  <c r="Y441" i="5" s="1"/>
  <c r="W450" i="5"/>
  <c r="X450" i="5" s="1"/>
  <c r="W478" i="5"/>
  <c r="Y478" i="5" s="1"/>
  <c r="W494" i="5"/>
  <c r="X494" i="5" s="1"/>
  <c r="W508" i="5"/>
  <c r="Y508" i="5" s="1"/>
  <c r="W284" i="5"/>
  <c r="X284" i="5" s="1"/>
  <c r="W383" i="5"/>
  <c r="X383" i="5" s="1"/>
  <c r="W433" i="5"/>
  <c r="X433" i="5" s="1"/>
  <c r="W456" i="5"/>
  <c r="X456" i="5" s="1"/>
  <c r="W471" i="5"/>
  <c r="Y471" i="5" s="1"/>
  <c r="W483" i="5"/>
  <c r="Y483" i="5" s="1"/>
  <c r="W501" i="5"/>
  <c r="Y501" i="5" s="1"/>
  <c r="W517" i="5"/>
  <c r="W527" i="5"/>
  <c r="X527" i="5" s="1"/>
  <c r="W550" i="5"/>
  <c r="Y550" i="5" s="1"/>
  <c r="W435" i="5"/>
  <c r="Y435" i="5" s="1"/>
  <c r="W468" i="5"/>
  <c r="Y468" i="5" s="1"/>
  <c r="W557" i="5"/>
  <c r="Y557" i="5" s="1"/>
  <c r="W424" i="5"/>
  <c r="X424" i="5" s="1"/>
  <c r="W511" i="5"/>
  <c r="W541" i="5"/>
  <c r="Y541" i="5" s="1"/>
  <c r="W538" i="5"/>
  <c r="Y538" i="5" s="1"/>
  <c r="W477" i="5"/>
  <c r="X477" i="5" s="1"/>
  <c r="W522" i="5"/>
  <c r="W41" i="5"/>
  <c r="X41" i="5" s="1"/>
  <c r="W31" i="5"/>
  <c r="Y31" i="5" s="1"/>
  <c r="W69" i="5"/>
  <c r="Y69" i="5" s="1"/>
  <c r="W22" i="5"/>
  <c r="X22" i="5" s="1"/>
  <c r="W72" i="5"/>
  <c r="X72" i="5" s="1"/>
  <c r="W86" i="5"/>
  <c r="Y86" i="5" s="1"/>
  <c r="W96" i="5"/>
  <c r="Y96" i="5" s="1"/>
  <c r="W92" i="5"/>
  <c r="X92" i="5" s="1"/>
  <c r="W143" i="5"/>
  <c r="X143" i="5" s="1"/>
  <c r="W126" i="5"/>
  <c r="X126" i="5" s="1"/>
  <c r="W116" i="5"/>
  <c r="X116" i="5" s="1"/>
  <c r="W147" i="5"/>
  <c r="X147" i="5" s="1"/>
  <c r="W160" i="5"/>
  <c r="Y160" i="5" s="1"/>
  <c r="W177" i="5"/>
  <c r="Y177" i="5" s="1"/>
  <c r="W169" i="5"/>
  <c r="X169" i="5" s="1"/>
  <c r="W167" i="5"/>
  <c r="W231" i="5"/>
  <c r="Y231" i="5" s="1"/>
  <c r="W196" i="5"/>
  <c r="X196" i="5" s="1"/>
  <c r="W218" i="5"/>
  <c r="X218" i="5" s="1"/>
  <c r="W189" i="5"/>
  <c r="X189" i="5" s="1"/>
  <c r="W238" i="5"/>
  <c r="Y238" i="5" s="1"/>
  <c r="W235" i="5"/>
  <c r="X235" i="5" s="1"/>
  <c r="W287" i="5"/>
  <c r="X287" i="5" s="1"/>
  <c r="W319" i="5"/>
  <c r="W240" i="5"/>
  <c r="W265" i="5"/>
  <c r="X265" i="5" s="1"/>
  <c r="W289" i="5"/>
  <c r="Y289" i="5" s="1"/>
  <c r="W324" i="5"/>
  <c r="Y324" i="5" s="1"/>
  <c r="W266" i="5"/>
  <c r="X266" i="5" s="1"/>
  <c r="W313" i="5"/>
  <c r="Y313" i="5" s="1"/>
  <c r="W340" i="5"/>
  <c r="Y340" i="5" s="1"/>
  <c r="W298" i="5"/>
  <c r="X298" i="5" s="1"/>
  <c r="W357" i="5"/>
  <c r="X357" i="5" s="1"/>
  <c r="W384" i="5"/>
  <c r="X384" i="5" s="1"/>
  <c r="W416" i="5"/>
  <c r="X416" i="5" s="1"/>
  <c r="W300" i="5"/>
  <c r="W356" i="5"/>
  <c r="W378" i="5"/>
  <c r="Y378" i="5" s="1"/>
  <c r="W397" i="5"/>
  <c r="X397" i="5" s="1"/>
  <c r="W406" i="5"/>
  <c r="W421" i="5"/>
  <c r="X421" i="5" s="1"/>
  <c r="W261" i="5"/>
  <c r="Y261" i="5" s="1"/>
  <c r="W349" i="5"/>
  <c r="Y349" i="5" s="1"/>
  <c r="W372" i="5"/>
  <c r="Y372" i="5" s="1"/>
  <c r="W386" i="5"/>
  <c r="X386" i="5" s="1"/>
  <c r="W396" i="5"/>
  <c r="X396" i="5" s="1"/>
  <c r="W418" i="5"/>
  <c r="X418" i="5" s="1"/>
  <c r="W293" i="5"/>
  <c r="X293" i="5" s="1"/>
  <c r="W426" i="5"/>
  <c r="W449" i="5"/>
  <c r="Y449" i="5" s="1"/>
  <c r="W465" i="5"/>
  <c r="Y465" i="5" s="1"/>
  <c r="W476" i="5"/>
  <c r="W488" i="5"/>
  <c r="Y488" i="5" s="1"/>
  <c r="W503" i="5"/>
  <c r="X503" i="5" s="1"/>
  <c r="W518" i="5"/>
  <c r="X518" i="5" s="1"/>
  <c r="W529" i="5"/>
  <c r="W307" i="5"/>
  <c r="X307" i="5" s="1"/>
  <c r="W402" i="5"/>
  <c r="X402" i="5" s="1"/>
  <c r="W428" i="5"/>
  <c r="Y428" i="5" s="1"/>
  <c r="W443" i="5"/>
  <c r="X443" i="5" s="1"/>
  <c r="W451" i="5"/>
  <c r="Y451" i="5" s="1"/>
  <c r="W481" i="5"/>
  <c r="Y481" i="5" s="1"/>
  <c r="W499" i="5"/>
  <c r="Y499" i="5" s="1"/>
  <c r="W513" i="5"/>
  <c r="X513" i="5" s="1"/>
  <c r="W290" i="5"/>
  <c r="W389" i="5"/>
  <c r="X389" i="5" s="1"/>
  <c r="W436" i="5"/>
  <c r="X436" i="5" s="1"/>
  <c r="W458" i="5"/>
  <c r="W472" i="5"/>
  <c r="Y472" i="5" s="1"/>
  <c r="W485" i="5"/>
  <c r="X485" i="5" s="1"/>
  <c r="W504" i="5"/>
  <c r="Y504" i="5" s="1"/>
  <c r="W519" i="5"/>
  <c r="W537" i="5"/>
  <c r="Y537" i="5" s="1"/>
  <c r="W555" i="5"/>
  <c r="X555" i="5" s="1"/>
  <c r="W437" i="5"/>
  <c r="X437" i="5" s="1"/>
  <c r="W505" i="5"/>
  <c r="Y505" i="5" s="1"/>
  <c r="W547" i="5"/>
  <c r="Y547" i="5" s="1"/>
  <c r="W454" i="5"/>
  <c r="X454" i="5" s="1"/>
  <c r="W532" i="5"/>
  <c r="Y532" i="5" s="1"/>
  <c r="W542" i="5"/>
  <c r="Y542" i="5" s="1"/>
  <c r="W543" i="5"/>
  <c r="W493" i="5"/>
  <c r="X493" i="5" s="1"/>
  <c r="W548" i="5"/>
  <c r="Y548" i="5" s="1"/>
  <c r="AQ12" i="5"/>
  <c r="AR12" i="5"/>
  <c r="Z8" i="5"/>
  <c r="Z12" i="5"/>
  <c r="Z13" i="5"/>
  <c r="AK10" i="5"/>
  <c r="AL10" i="5"/>
  <c r="U10" i="5"/>
  <c r="V10" i="5"/>
  <c r="Z34" i="5"/>
  <c r="AA34" i="5" s="1"/>
  <c r="Z540" i="5"/>
  <c r="AB540" i="5" s="1"/>
  <c r="W23" i="5"/>
  <c r="Y23" i="5" s="1"/>
  <c r="Z482" i="5"/>
  <c r="AB482" i="5" s="1"/>
  <c r="Z244" i="5"/>
  <c r="Z497" i="5"/>
  <c r="Z426" i="5"/>
  <c r="AA426" i="5" s="1"/>
  <c r="Z232" i="5"/>
  <c r="AA232" i="5" s="1"/>
  <c r="Z559" i="5"/>
  <c r="Z308" i="5"/>
  <c r="Z94" i="5"/>
  <c r="Z488" i="5"/>
  <c r="Z276" i="5"/>
  <c r="Z110" i="5"/>
  <c r="AA110" i="5" s="1"/>
  <c r="Z551" i="5"/>
  <c r="AA551" i="5" s="1"/>
  <c r="Z491" i="5"/>
  <c r="AB491" i="5" s="1"/>
  <c r="Z428" i="5"/>
  <c r="Z424" i="5"/>
  <c r="Z373" i="5"/>
  <c r="AB373" i="5" s="1"/>
  <c r="Z249" i="5"/>
  <c r="AB249" i="5" s="1"/>
  <c r="Z79" i="5"/>
  <c r="AA79" i="5" s="1"/>
  <c r="Z534" i="5"/>
  <c r="Z512" i="5"/>
  <c r="Z470" i="5"/>
  <c r="Z359" i="5"/>
  <c r="Z229" i="5"/>
  <c r="Z160" i="5"/>
  <c r="AA160" i="5" s="1"/>
  <c r="Z22" i="5"/>
  <c r="AA22" i="5" s="1"/>
  <c r="Z496" i="5"/>
  <c r="Z480" i="5"/>
  <c r="Z552" i="5"/>
  <c r="Z543" i="5"/>
  <c r="Z372" i="5"/>
  <c r="Z381" i="5"/>
  <c r="Z211" i="5"/>
  <c r="AA211" i="5" s="1"/>
  <c r="Z413" i="5"/>
  <c r="AB413" i="5" s="1"/>
  <c r="Z353" i="5"/>
  <c r="Z296" i="5"/>
  <c r="Z210" i="5"/>
  <c r="Z162" i="5"/>
  <c r="AB162" i="5" s="1"/>
  <c r="Z64" i="5"/>
  <c r="W241" i="5"/>
  <c r="W197" i="5"/>
  <c r="X197" i="5" s="1"/>
  <c r="W191" i="5"/>
  <c r="Y191" i="5" s="1"/>
  <c r="W163" i="5"/>
  <c r="W179" i="5"/>
  <c r="W168" i="5"/>
  <c r="W112" i="5"/>
  <c r="W140" i="5"/>
  <c r="Y140" i="5" s="1"/>
  <c r="W118" i="5"/>
  <c r="Y118" i="5" s="1"/>
  <c r="W141" i="5"/>
  <c r="X141" i="5" s="1"/>
  <c r="W108" i="5"/>
  <c r="Y108" i="5" s="1"/>
  <c r="W130" i="5"/>
  <c r="W95" i="5"/>
  <c r="W106" i="5"/>
  <c r="X106" i="5" s="1"/>
  <c r="W91" i="5"/>
  <c r="Y91" i="5" s="1"/>
  <c r="W81" i="5"/>
  <c r="X81" i="5" s="1"/>
  <c r="W79" i="5"/>
  <c r="W50" i="5"/>
  <c r="Y50" i="5" s="1"/>
  <c r="W53" i="5"/>
  <c r="X53" i="5" s="1"/>
  <c r="W60" i="5"/>
  <c r="Y60" i="5" s="1"/>
  <c r="W39" i="5"/>
  <c r="W33" i="5"/>
  <c r="X33" i="5" s="1"/>
  <c r="Z550" i="5"/>
  <c r="Z434" i="5"/>
  <c r="Z549" i="5"/>
  <c r="AB549" i="5" s="1"/>
  <c r="Z502" i="5"/>
  <c r="Z495" i="5"/>
  <c r="AB495" i="5" s="1"/>
  <c r="Z504" i="5"/>
  <c r="AB504" i="5" s="1"/>
  <c r="Z382" i="5"/>
  <c r="Z371" i="5"/>
  <c r="Z278" i="5"/>
  <c r="AA278" i="5" s="1"/>
  <c r="Z223" i="5"/>
  <c r="Z136" i="5"/>
  <c r="AB136" i="5" s="1"/>
  <c r="Z104" i="5"/>
  <c r="AB104" i="5" s="1"/>
  <c r="Z44" i="5"/>
  <c r="AB44" i="5" s="1"/>
  <c r="W20" i="5"/>
  <c r="W37" i="5"/>
  <c r="X37" i="5" s="1"/>
  <c r="W30" i="5"/>
  <c r="X30" i="5" s="1"/>
  <c r="W46" i="5"/>
  <c r="W32" i="5"/>
  <c r="Y32" i="5" s="1"/>
  <c r="W51" i="5"/>
  <c r="X51" i="5" s="1"/>
  <c r="W57" i="5"/>
  <c r="W71" i="5"/>
  <c r="W52" i="5"/>
  <c r="W68" i="5"/>
  <c r="X68" i="5" s="1"/>
  <c r="W48" i="5"/>
  <c r="X48" i="5" s="1"/>
  <c r="W62" i="5"/>
  <c r="W75" i="5"/>
  <c r="X75" i="5" s="1"/>
  <c r="W70" i="5"/>
  <c r="X70" i="5" s="1"/>
  <c r="W77" i="5"/>
  <c r="X77" i="5" s="1"/>
  <c r="W90" i="5"/>
  <c r="X90" i="5" s="1"/>
  <c r="W88" i="5"/>
  <c r="W82" i="5"/>
  <c r="X82" i="5" s="1"/>
  <c r="W104" i="5"/>
  <c r="Y104" i="5" s="1"/>
  <c r="W84" i="5"/>
  <c r="X84" i="5" s="1"/>
  <c r="W93" i="5"/>
  <c r="X93" i="5" s="1"/>
  <c r="W105" i="5"/>
  <c r="X105" i="5" s="1"/>
  <c r="W122" i="5"/>
  <c r="Y122" i="5" s="1"/>
  <c r="W146" i="5"/>
  <c r="Y146" i="5" s="1"/>
  <c r="W159" i="5"/>
  <c r="W121" i="5"/>
  <c r="X121" i="5" s="1"/>
  <c r="W136" i="5"/>
  <c r="Y136" i="5" s="1"/>
  <c r="W101" i="5"/>
  <c r="Y101" i="5" s="1"/>
  <c r="W117" i="5"/>
  <c r="Y117" i="5" s="1"/>
  <c r="W125" i="5"/>
  <c r="Y125" i="5" s="1"/>
  <c r="W135" i="5"/>
  <c r="Y135" i="5" s="1"/>
  <c r="W149" i="5"/>
  <c r="W155" i="5"/>
  <c r="W156" i="5"/>
  <c r="Y156" i="5" s="1"/>
  <c r="W166" i="5"/>
  <c r="Y166" i="5" s="1"/>
  <c r="W180" i="5"/>
  <c r="X180" i="5" s="1"/>
  <c r="W178" i="5"/>
  <c r="Y178" i="5" s="1"/>
  <c r="W124" i="5"/>
  <c r="Y124" i="5" s="1"/>
  <c r="W151" i="5"/>
  <c r="Y151" i="5" s="1"/>
  <c r="W170" i="5"/>
  <c r="Y170" i="5" s="1"/>
  <c r="W188" i="5"/>
  <c r="W205" i="5"/>
  <c r="X205" i="5" s="1"/>
  <c r="W195" i="5"/>
  <c r="Y195" i="5" s="1"/>
  <c r="W219" i="5"/>
  <c r="W237" i="5"/>
  <c r="X237" i="5" s="1"/>
  <c r="W247" i="5"/>
  <c r="Y247" i="5" s="1"/>
  <c r="W175" i="5"/>
  <c r="X175" i="5" s="1"/>
  <c r="W201" i="5"/>
  <c r="W215" i="5"/>
  <c r="W224" i="5"/>
  <c r="Y224" i="5" s="1"/>
  <c r="W245" i="5"/>
  <c r="X245" i="5" s="1"/>
  <c r="W212" i="5"/>
  <c r="Y212" i="5" s="1"/>
  <c r="W232" i="5"/>
  <c r="W129" i="5"/>
  <c r="Y129" i="5" s="1"/>
  <c r="W230" i="5"/>
  <c r="X230" i="5" s="1"/>
  <c r="W272" i="5"/>
  <c r="Y272" i="5" s="1"/>
  <c r="W286" i="5"/>
  <c r="W304" i="5"/>
  <c r="Y304" i="5" s="1"/>
  <c r="W317" i="5"/>
  <c r="Y317" i="5" s="1"/>
  <c r="W330" i="5"/>
  <c r="X330" i="5" s="1"/>
  <c r="W221" i="5"/>
  <c r="X221" i="5" s="1"/>
  <c r="W254" i="5"/>
  <c r="Y254" i="5" s="1"/>
  <c r="W263" i="5"/>
  <c r="Y263" i="5" s="1"/>
  <c r="W274" i="5"/>
  <c r="X274" i="5" s="1"/>
  <c r="W282" i="5"/>
  <c r="W306" i="5"/>
  <c r="Y306" i="5" s="1"/>
  <c r="W322" i="5"/>
  <c r="W185" i="5"/>
  <c r="X185" i="5" s="1"/>
  <c r="W258" i="5"/>
  <c r="X258" i="5" s="1"/>
  <c r="W291" i="5"/>
  <c r="Y291" i="5" s="1"/>
  <c r="W311" i="5"/>
  <c r="Y311" i="5" s="1"/>
  <c r="W325" i="5"/>
  <c r="Y325" i="5" s="1"/>
  <c r="W336" i="5"/>
  <c r="W347" i="5"/>
  <c r="X347" i="5" s="1"/>
  <c r="W271" i="5"/>
  <c r="Y271" i="5" s="1"/>
  <c r="W338" i="5"/>
  <c r="W352" i="5"/>
  <c r="X352" i="5" s="1"/>
  <c r="W368" i="5"/>
  <c r="Y368" i="5" s="1"/>
  <c r="W382" i="5"/>
  <c r="Y382" i="5" s="1"/>
  <c r="W399" i="5"/>
  <c r="X399" i="5" s="1"/>
  <c r="W413" i="5"/>
  <c r="W432" i="5"/>
  <c r="Y432" i="5" s="1"/>
  <c r="W264" i="5"/>
  <c r="X264" i="5" s="1"/>
  <c r="W334" i="5"/>
  <c r="W350" i="5"/>
  <c r="Y350" i="5" s="1"/>
  <c r="W25" i="5"/>
  <c r="Y25" i="5" s="1"/>
  <c r="W28" i="5"/>
  <c r="X28" i="5" s="1"/>
  <c r="W38" i="5"/>
  <c r="W24" i="5"/>
  <c r="Y24" i="5" s="1"/>
  <c r="W42" i="5"/>
  <c r="W47" i="5"/>
  <c r="X47" i="5" s="1"/>
  <c r="W61" i="5"/>
  <c r="X61" i="5" s="1"/>
  <c r="W36" i="5"/>
  <c r="Y36" i="5" s="1"/>
  <c r="W54" i="5"/>
  <c r="W26" i="5"/>
  <c r="X26" i="5" s="1"/>
  <c r="W56" i="5"/>
  <c r="W67" i="5"/>
  <c r="W55" i="5"/>
  <c r="X55" i="5" s="1"/>
  <c r="W80" i="5"/>
  <c r="W83" i="5"/>
  <c r="W78" i="5"/>
  <c r="W63" i="5"/>
  <c r="X63" i="5" s="1"/>
  <c r="W98" i="5"/>
  <c r="X98" i="5" s="1"/>
  <c r="W109" i="5"/>
  <c r="W89" i="5"/>
  <c r="W100" i="5"/>
  <c r="W114" i="5"/>
  <c r="Y114" i="5" s="1"/>
  <c r="W138" i="5"/>
  <c r="W157" i="5"/>
  <c r="X157" i="5" s="1"/>
  <c r="W113" i="5"/>
  <c r="W127" i="5"/>
  <c r="X127" i="5" s="1"/>
  <c r="W145" i="5"/>
  <c r="W111" i="5"/>
  <c r="W120" i="5"/>
  <c r="Y120" i="5" s="1"/>
  <c r="W133" i="5"/>
  <c r="Y133" i="5" s="1"/>
  <c r="W144" i="5"/>
  <c r="W153" i="5"/>
  <c r="W131" i="5"/>
  <c r="X131" i="5" s="1"/>
  <c r="W162" i="5"/>
  <c r="X162" i="5" s="1"/>
  <c r="W174" i="5"/>
  <c r="W173" i="5"/>
  <c r="W183" i="5"/>
  <c r="W142" i="5"/>
  <c r="X142" i="5" s="1"/>
  <c r="W165" i="5"/>
  <c r="Y165" i="5" s="1"/>
  <c r="W182" i="5"/>
  <c r="W199" i="5"/>
  <c r="W187" i="5"/>
  <c r="X187" i="5" s="1"/>
  <c r="W204" i="5"/>
  <c r="W228" i="5"/>
  <c r="W244" i="5"/>
  <c r="X244" i="5" s="1"/>
  <c r="W161" i="5"/>
  <c r="Y161" i="5" s="1"/>
  <c r="W198" i="5"/>
  <c r="W208" i="5"/>
  <c r="W220" i="5"/>
  <c r="X220" i="5" s="1"/>
  <c r="W234" i="5"/>
  <c r="X234" i="5" s="1"/>
  <c r="W193" i="5"/>
  <c r="W222" i="5"/>
  <c r="Y222" i="5" s="1"/>
  <c r="W242" i="5"/>
  <c r="W210" i="5"/>
  <c r="Y210" i="5" s="1"/>
  <c r="W262" i="5"/>
  <c r="W280" i="5"/>
  <c r="Y280" i="5" s="1"/>
  <c r="W294" i="5"/>
  <c r="W312" i="5"/>
  <c r="Y312" i="5" s="1"/>
  <c r="W326" i="5"/>
  <c r="X326" i="5" s="1"/>
  <c r="W192" i="5"/>
  <c r="W249" i="5"/>
  <c r="X249" i="5" s="1"/>
  <c r="W257" i="5"/>
  <c r="W270" i="5"/>
  <c r="W278" i="5"/>
  <c r="W295" i="5"/>
  <c r="Y295" i="5" s="1"/>
  <c r="W314" i="5"/>
  <c r="X314" i="5" s="1"/>
  <c r="W327" i="5"/>
  <c r="Y327" i="5" s="1"/>
  <c r="W250" i="5"/>
  <c r="W276" i="5"/>
  <c r="W299" i="5"/>
  <c r="X299" i="5" s="1"/>
  <c r="W316" i="5"/>
  <c r="Y316" i="5" s="1"/>
  <c r="W331" i="5"/>
  <c r="W344" i="5"/>
  <c r="W359" i="5"/>
  <c r="X359" i="5" s="1"/>
  <c r="W321" i="5"/>
  <c r="X321" i="5" s="1"/>
  <c r="W348" i="5"/>
  <c r="Y348" i="5" s="1"/>
  <c r="W358" i="5"/>
  <c r="X358" i="5" s="1"/>
  <c r="W374" i="5"/>
  <c r="X374" i="5" s="1"/>
  <c r="W392" i="5"/>
  <c r="W408" i="5"/>
  <c r="Y408" i="5" s="1"/>
  <c r="W419" i="5"/>
  <c r="X419" i="5" s="1"/>
  <c r="W233" i="5"/>
  <c r="X233" i="5" s="1"/>
  <c r="W303" i="5"/>
  <c r="Y303" i="5" s="1"/>
  <c r="W342" i="5"/>
  <c r="W362" i="5"/>
  <c r="Z485" i="5"/>
  <c r="Z532" i="5"/>
  <c r="Z464" i="5"/>
  <c r="Z529" i="5"/>
  <c r="AB529" i="5" s="1"/>
  <c r="Z535" i="5"/>
  <c r="Z448" i="5"/>
  <c r="Z538" i="5"/>
  <c r="Z469" i="5"/>
  <c r="AB469" i="5" s="1"/>
  <c r="Z246" i="5"/>
  <c r="AB246" i="5" s="1"/>
  <c r="Z463" i="5"/>
  <c r="Z313" i="5"/>
  <c r="Z474" i="5"/>
  <c r="AA474" i="5" s="1"/>
  <c r="Z415" i="5"/>
  <c r="AA415" i="5" s="1"/>
  <c r="Z350" i="5"/>
  <c r="Z401" i="5"/>
  <c r="Z431" i="5"/>
  <c r="AB431" i="5" s="1"/>
  <c r="Z334" i="5"/>
  <c r="AA334" i="5" s="1"/>
  <c r="Z317" i="5"/>
  <c r="Z271" i="5"/>
  <c r="AA271" i="5" s="1"/>
  <c r="Z226" i="5"/>
  <c r="Z182" i="5"/>
  <c r="AA182" i="5" s="1"/>
  <c r="Z186" i="5"/>
  <c r="Z150" i="5"/>
  <c r="AA150" i="5" s="1"/>
  <c r="Z95" i="5"/>
  <c r="AA95" i="5" s="1"/>
  <c r="Z52" i="5"/>
  <c r="AA52" i="5" s="1"/>
  <c r="Z43" i="5"/>
  <c r="Z19" i="5"/>
  <c r="AA19" i="5" s="1"/>
  <c r="Z554" i="5"/>
  <c r="Z514" i="5"/>
  <c r="Z436" i="5"/>
  <c r="AB436" i="5" s="1"/>
  <c r="Z501" i="5"/>
  <c r="Z555" i="5"/>
  <c r="AA555" i="5" s="1"/>
  <c r="Z342" i="5"/>
  <c r="Z513" i="5"/>
  <c r="Z443" i="5"/>
  <c r="AB443" i="5" s="1"/>
  <c r="Z509" i="5"/>
  <c r="AA509" i="5" s="1"/>
  <c r="Z446" i="5"/>
  <c r="Z525" i="5"/>
  <c r="Z453" i="5"/>
  <c r="AA453" i="5" s="1"/>
  <c r="Z397" i="5"/>
  <c r="AB397" i="5" s="1"/>
  <c r="Z328" i="5"/>
  <c r="Z384" i="5"/>
  <c r="AA384" i="5" s="1"/>
  <c r="Z390" i="5"/>
  <c r="AA390" i="5" s="1"/>
  <c r="Z295" i="5"/>
  <c r="Z272" i="5"/>
  <c r="Z216" i="5"/>
  <c r="Z169" i="5"/>
  <c r="Z178" i="5"/>
  <c r="AB178" i="5" s="1"/>
  <c r="Z137" i="5"/>
  <c r="Z120" i="5"/>
  <c r="AB120" i="5" s="1"/>
  <c r="Z76" i="5"/>
  <c r="Z58" i="5"/>
  <c r="Z528" i="5"/>
  <c r="AA528" i="5" s="1"/>
  <c r="Z456" i="5"/>
  <c r="Z546" i="5"/>
  <c r="AB546" i="5" s="1"/>
  <c r="Z527" i="5"/>
  <c r="AA527" i="5" s="1"/>
  <c r="Z490" i="5"/>
  <c r="Z460" i="5"/>
  <c r="Z545" i="5"/>
  <c r="AB545" i="5" s="1"/>
  <c r="Z523" i="5"/>
  <c r="Z475" i="5"/>
  <c r="Z560" i="5"/>
  <c r="Z526" i="5"/>
  <c r="Z433" i="5"/>
  <c r="Z557" i="5"/>
  <c r="Z536" i="5"/>
  <c r="Z499" i="5"/>
  <c r="AB499" i="5" s="1"/>
  <c r="Z466" i="5"/>
  <c r="Z427" i="5"/>
  <c r="Z521" i="5"/>
  <c r="Z484" i="5"/>
  <c r="Z461" i="5"/>
  <c r="Z405" i="5"/>
  <c r="Z258" i="5"/>
  <c r="AA258" i="5" s="1"/>
  <c r="Z500" i="5"/>
  <c r="Z468" i="5"/>
  <c r="AA468" i="5" s="1"/>
  <c r="Z391" i="5"/>
  <c r="AB391" i="5" s="1"/>
  <c r="Z406" i="5"/>
  <c r="Z378" i="5"/>
  <c r="Z348" i="5"/>
  <c r="AA348" i="5" s="1"/>
  <c r="Z266" i="5"/>
  <c r="AB266" i="5" s="1"/>
  <c r="Z399" i="5"/>
  <c r="AA399" i="5" s="1"/>
  <c r="Z370" i="5"/>
  <c r="Z423" i="5"/>
  <c r="AB423" i="5" s="1"/>
  <c r="Z363" i="5"/>
  <c r="AA363" i="5" s="1"/>
  <c r="Z322" i="5"/>
  <c r="AA322" i="5" s="1"/>
  <c r="Z273" i="5"/>
  <c r="AB273" i="5" s="1"/>
  <c r="Z298" i="5"/>
  <c r="AA298" i="5" s="1"/>
  <c r="Z323" i="5"/>
  <c r="AA323" i="5" s="1"/>
  <c r="Z261" i="5"/>
  <c r="AB261" i="5" s="1"/>
  <c r="Z215" i="5"/>
  <c r="AB215" i="5" s="1"/>
  <c r="Z205" i="5"/>
  <c r="Z235" i="5"/>
  <c r="AA235" i="5" s="1"/>
  <c r="Z207" i="5"/>
  <c r="Z109" i="5"/>
  <c r="AA109" i="5" s="1"/>
  <c r="Z172" i="5"/>
  <c r="AB172" i="5" s="1"/>
  <c r="Z152" i="5"/>
  <c r="AB152" i="5" s="1"/>
  <c r="Z144" i="5"/>
  <c r="AA144" i="5" s="1"/>
  <c r="Z105" i="5"/>
  <c r="AA105" i="5" s="1"/>
  <c r="Z84" i="5"/>
  <c r="AB84" i="5" s="1"/>
  <c r="Z71" i="5"/>
  <c r="Z69" i="5"/>
  <c r="Z30" i="5"/>
  <c r="AB30" i="5" s="1"/>
  <c r="Z47" i="5"/>
  <c r="Z35" i="5"/>
  <c r="Z46" i="5"/>
  <c r="AB46" i="5" s="1"/>
  <c r="Z73" i="5"/>
  <c r="AA73" i="5" s="1"/>
  <c r="Z53" i="5"/>
  <c r="Z77" i="5"/>
  <c r="Z42" i="5"/>
  <c r="AB42" i="5" s="1"/>
  <c r="Z87" i="5"/>
  <c r="AB87" i="5" s="1"/>
  <c r="Z88" i="5"/>
  <c r="Z97" i="5"/>
  <c r="Z111" i="5"/>
  <c r="AB111" i="5" s="1"/>
  <c r="Z131" i="5"/>
  <c r="Z153" i="5"/>
  <c r="AB153" i="5" s="1"/>
  <c r="Z130" i="5"/>
  <c r="AA130" i="5" s="1"/>
  <c r="Z100" i="5"/>
  <c r="AA100" i="5" s="1"/>
  <c r="Z151" i="5"/>
  <c r="AB151" i="5" s="1"/>
  <c r="Z99" i="5"/>
  <c r="Z174" i="5"/>
  <c r="AA174" i="5" s="1"/>
  <c r="Z145" i="5"/>
  <c r="AB145" i="5" s="1"/>
  <c r="Z193" i="5"/>
  <c r="AA193" i="5" s="1"/>
  <c r="Z190" i="5"/>
  <c r="Z222" i="5"/>
  <c r="AB222" i="5" s="1"/>
  <c r="Z250" i="5"/>
  <c r="AA250" i="5" s="1"/>
  <c r="Z194" i="5"/>
  <c r="AB194" i="5" s="1"/>
  <c r="Z228" i="5"/>
  <c r="Z200" i="5"/>
  <c r="AB200" i="5" s="1"/>
  <c r="Z224" i="5"/>
  <c r="AB224" i="5" s="1"/>
  <c r="Z247" i="5"/>
  <c r="Z281" i="5"/>
  <c r="Z305" i="5"/>
  <c r="AA305" i="5" s="1"/>
  <c r="Z248" i="5"/>
  <c r="AB248" i="5" s="1"/>
  <c r="Z284" i="5"/>
  <c r="AB284" i="5" s="1"/>
  <c r="Z326" i="5"/>
  <c r="Z260" i="5"/>
  <c r="AA260" i="5" s="1"/>
  <c r="Z279" i="5"/>
  <c r="Z312" i="5"/>
  <c r="AA312" i="5" s="1"/>
  <c r="Z337" i="5"/>
  <c r="AA337" i="5" s="1"/>
  <c r="Z318" i="5"/>
  <c r="Z375" i="5"/>
  <c r="Z414" i="5"/>
  <c r="AB414" i="5" s="1"/>
  <c r="Z435" i="5"/>
  <c r="Z338" i="5"/>
  <c r="AB338" i="5" s="1"/>
  <c r="Z377" i="5"/>
  <c r="Z392" i="5"/>
  <c r="Z408" i="5"/>
  <c r="Z419" i="5"/>
  <c r="AA419" i="5" s="1"/>
  <c r="Z311" i="5"/>
  <c r="Z344" i="5"/>
  <c r="Z356" i="5"/>
  <c r="Z366" i="5"/>
  <c r="Z388" i="5"/>
  <c r="Z400" i="5"/>
  <c r="Z420" i="5"/>
  <c r="Z367" i="5"/>
  <c r="Z437" i="5"/>
  <c r="Z459" i="5"/>
  <c r="Z477" i="5"/>
  <c r="Z492" i="5"/>
  <c r="Z505" i="5"/>
  <c r="Z537" i="5"/>
  <c r="Z341" i="5"/>
  <c r="AB341" i="5" s="1"/>
  <c r="Z393" i="5"/>
  <c r="Z432" i="5"/>
  <c r="Z454" i="5"/>
  <c r="Z465" i="5"/>
  <c r="Z476" i="5"/>
  <c r="AB476" i="5" s="1"/>
  <c r="Z503" i="5"/>
  <c r="Z519" i="5"/>
  <c r="Z327" i="5"/>
  <c r="Z407" i="5"/>
  <c r="AB407" i="5" s="1"/>
  <c r="Z429" i="5"/>
  <c r="Z450" i="5"/>
  <c r="Z481" i="5"/>
  <c r="AB481" i="5" s="1"/>
  <c r="Z493" i="5"/>
  <c r="Z508" i="5"/>
  <c r="Z522" i="5"/>
  <c r="AA522" i="5" s="1"/>
  <c r="Z539" i="5"/>
  <c r="Z548" i="5"/>
  <c r="Z316" i="5"/>
  <c r="Z362" i="5"/>
  <c r="Z458" i="5"/>
  <c r="Z31" i="5"/>
  <c r="AA31" i="5" s="1"/>
  <c r="Z20" i="5"/>
  <c r="AA20" i="5" s="1"/>
  <c r="Z29" i="5"/>
  <c r="AB29" i="5" s="1"/>
  <c r="Z39" i="5"/>
  <c r="AA39" i="5" s="1"/>
  <c r="Z60" i="5"/>
  <c r="AB60" i="5" s="1"/>
  <c r="Z61" i="5"/>
  <c r="AA61" i="5" s="1"/>
  <c r="Z65" i="5"/>
  <c r="AB65" i="5" s="1"/>
  <c r="Z70" i="5"/>
  <c r="Z83" i="5"/>
  <c r="AB83" i="5" s="1"/>
  <c r="Z108" i="5"/>
  <c r="AA108" i="5" s="1"/>
  <c r="Z103" i="5"/>
  <c r="AA103" i="5" s="1"/>
  <c r="Z118" i="5"/>
  <c r="AB118" i="5" s="1"/>
  <c r="Z140" i="5"/>
  <c r="AB140" i="5" s="1"/>
  <c r="Z161" i="5"/>
  <c r="AB161" i="5" s="1"/>
  <c r="Z146" i="5"/>
  <c r="AA146" i="5" s="1"/>
  <c r="Z129" i="5"/>
  <c r="Z167" i="5"/>
  <c r="AB167" i="5" s="1"/>
  <c r="Z159" i="5"/>
  <c r="AB159" i="5" s="1"/>
  <c r="Z106" i="5"/>
  <c r="AA106" i="5" s="1"/>
  <c r="Z177" i="5"/>
  <c r="Z203" i="5"/>
  <c r="AB203" i="5" s="1"/>
  <c r="Z206" i="5"/>
  <c r="Z233" i="5"/>
  <c r="AA233" i="5" s="1"/>
  <c r="Z132" i="5"/>
  <c r="Z204" i="5"/>
  <c r="AB204" i="5" s="1"/>
  <c r="Z241" i="5"/>
  <c r="AB241" i="5" s="1"/>
  <c r="Z209" i="5"/>
  <c r="Z239" i="5"/>
  <c r="Z259" i="5"/>
  <c r="Z291" i="5"/>
  <c r="AA291" i="5" s="1"/>
  <c r="Z321" i="5"/>
  <c r="AA321" i="5" s="1"/>
  <c r="Z268" i="5"/>
  <c r="Z294" i="5"/>
  <c r="AB294" i="5" s="1"/>
  <c r="Z212" i="5"/>
  <c r="AB212" i="5" s="1"/>
  <c r="Z270" i="5"/>
  <c r="AA270" i="5" s="1"/>
  <c r="Z289" i="5"/>
  <c r="Z320" i="5"/>
  <c r="Z351" i="5"/>
  <c r="Z347" i="5"/>
  <c r="AB347" i="5" s="1"/>
  <c r="Z385" i="5"/>
  <c r="Z422" i="5"/>
  <c r="AB422" i="5" s="1"/>
  <c r="Z442" i="5"/>
  <c r="Z360" i="5"/>
  <c r="Z380" i="5"/>
  <c r="Z395" i="5"/>
  <c r="Z412" i="5"/>
  <c r="AB412" i="5" s="1"/>
  <c r="Z251" i="5"/>
  <c r="Z325" i="5"/>
  <c r="AA325" i="5" s="1"/>
  <c r="Z345" i="5"/>
  <c r="Z358" i="5"/>
  <c r="AB358" i="5" s="1"/>
  <c r="Z374" i="5"/>
  <c r="AB374" i="5" s="1"/>
  <c r="Z394" i="5"/>
  <c r="Z403" i="5"/>
  <c r="AA403" i="5" s="1"/>
  <c r="Z421" i="5"/>
  <c r="Z376" i="5"/>
  <c r="Z452" i="5"/>
  <c r="Z462" i="5"/>
  <c r="Z478" i="5"/>
  <c r="Z498" i="5"/>
  <c r="Z507" i="5"/>
  <c r="Z189" i="5"/>
  <c r="Z355" i="5"/>
  <c r="Z396" i="5"/>
  <c r="Z444" i="5"/>
  <c r="AA444" i="5" s="1"/>
  <c r="Z455" i="5"/>
  <c r="Z467" i="5"/>
  <c r="Z479" i="5"/>
  <c r="Z506" i="5"/>
  <c r="Z520" i="5"/>
  <c r="Z349" i="5"/>
  <c r="Z410" i="5"/>
  <c r="Z441" i="5"/>
  <c r="Z451" i="5"/>
  <c r="AA451" i="5" s="1"/>
  <c r="Z487" i="5"/>
  <c r="Z494" i="5"/>
  <c r="Z510" i="5"/>
  <c r="Z530" i="5"/>
  <c r="Z541" i="5"/>
  <c r="Z553" i="5"/>
  <c r="Z340" i="5"/>
  <c r="Z368" i="5"/>
  <c r="AA368" i="5" s="1"/>
  <c r="Z472" i="5"/>
  <c r="Z533" i="5"/>
  <c r="Z558" i="5"/>
  <c r="Z447" i="5"/>
  <c r="Z517" i="5"/>
  <c r="Z409" i="5"/>
  <c r="Z542" i="5"/>
  <c r="Z524" i="5"/>
  <c r="Z483" i="5"/>
  <c r="Z438" i="5"/>
  <c r="Z547" i="5"/>
  <c r="Z515" i="5"/>
  <c r="Z471" i="5"/>
  <c r="Z556" i="5"/>
  <c r="Z516" i="5"/>
  <c r="Z354" i="5"/>
  <c r="Z544" i="5"/>
  <c r="AB544" i="5" s="1"/>
  <c r="Z518" i="5"/>
  <c r="AB518" i="5" s="1"/>
  <c r="Z489" i="5"/>
  <c r="AB489" i="5" s="1"/>
  <c r="Z445" i="5"/>
  <c r="Z386" i="5"/>
  <c r="Z511" i="5"/>
  <c r="AB511" i="5" s="1"/>
  <c r="Z473" i="5"/>
  <c r="Z449" i="5"/>
  <c r="Z387" i="5"/>
  <c r="AA387" i="5" s="1"/>
  <c r="Z531" i="5"/>
  <c r="Z486" i="5"/>
  <c r="AA486" i="5" s="1"/>
  <c r="Z457" i="5"/>
  <c r="Z299" i="5"/>
  <c r="Z398" i="5"/>
  <c r="AB398" i="5" s="1"/>
  <c r="Z364" i="5"/>
  <c r="AB364" i="5" s="1"/>
  <c r="Z336" i="5"/>
  <c r="Z416" i="5"/>
  <c r="AA416" i="5" s="1"/>
  <c r="Z389" i="5"/>
  <c r="AA389" i="5" s="1"/>
  <c r="Z335" i="5"/>
  <c r="AA335" i="5" s="1"/>
  <c r="Z411" i="5"/>
  <c r="Z304" i="5"/>
  <c r="AB304" i="5" s="1"/>
  <c r="Z306" i="5"/>
  <c r="Z257" i="5"/>
  <c r="AA257" i="5" s="1"/>
  <c r="Z283" i="5"/>
  <c r="Z303" i="5"/>
  <c r="AB303" i="5" s="1"/>
  <c r="Z245" i="5"/>
  <c r="Z199" i="5"/>
  <c r="AB199" i="5" s="1"/>
  <c r="Z188" i="5"/>
  <c r="AB188" i="5" s="1"/>
  <c r="Z221" i="5"/>
  <c r="AA221" i="5" s="1"/>
  <c r="Z187" i="5"/>
  <c r="AA187" i="5" s="1"/>
  <c r="Z168" i="5"/>
  <c r="AB168" i="5" s="1"/>
  <c r="Z148" i="5"/>
  <c r="Z122" i="5"/>
  <c r="AA122" i="5" s="1"/>
  <c r="Z128" i="5"/>
  <c r="Z96" i="5"/>
  <c r="AA96" i="5" s="1"/>
  <c r="Z85" i="5"/>
  <c r="Z56" i="5"/>
  <c r="AB56" i="5" s="1"/>
  <c r="Z66" i="5"/>
  <c r="Z26" i="5"/>
  <c r="AA26" i="5" s="1"/>
  <c r="Z36" i="5"/>
  <c r="AB36" i="5" s="1"/>
  <c r="Z48" i="5"/>
  <c r="Z23" i="5"/>
  <c r="Z37" i="5"/>
  <c r="Z33" i="5"/>
  <c r="Z21" i="5"/>
  <c r="Z59" i="5"/>
  <c r="AA59" i="5" s="1"/>
  <c r="Z24" i="5"/>
  <c r="Z45" i="5"/>
  <c r="AA45" i="5" s="1"/>
  <c r="Z54" i="5"/>
  <c r="Z68" i="5"/>
  <c r="AA68" i="5" s="1"/>
  <c r="Z78" i="5"/>
  <c r="Z72" i="5"/>
  <c r="Z50" i="5"/>
  <c r="Z80" i="5"/>
  <c r="AB80" i="5" s="1"/>
  <c r="Z91" i="5"/>
  <c r="AA91" i="5" s="1"/>
  <c r="Z90" i="5"/>
  <c r="AB90" i="5" s="1"/>
  <c r="Z89" i="5"/>
  <c r="Z74" i="5"/>
  <c r="AA74" i="5" s="1"/>
  <c r="Z98" i="5"/>
  <c r="AA98" i="5" s="1"/>
  <c r="Z107" i="5"/>
  <c r="Z116" i="5"/>
  <c r="Z123" i="5"/>
  <c r="AA123" i="5" s="1"/>
  <c r="Z133" i="5"/>
  <c r="AA133" i="5" s="1"/>
  <c r="Z147" i="5"/>
  <c r="AA147" i="5" s="1"/>
  <c r="Z154" i="5"/>
  <c r="Z114" i="5"/>
  <c r="AB114" i="5" s="1"/>
  <c r="Z134" i="5"/>
  <c r="Z157" i="5"/>
  <c r="AA157" i="5" s="1"/>
  <c r="Z112" i="5"/>
  <c r="Z139" i="5"/>
  <c r="AA139" i="5" s="1"/>
  <c r="Z156" i="5"/>
  <c r="Z175" i="5"/>
  <c r="Z115" i="5"/>
  <c r="Z164" i="5"/>
  <c r="AB164" i="5" s="1"/>
  <c r="Z176" i="5"/>
  <c r="AB176" i="5" s="1"/>
  <c r="Z121" i="5"/>
  <c r="Z171" i="5"/>
  <c r="AB171" i="5" s="1"/>
  <c r="Z179" i="5"/>
  <c r="AA179" i="5" s="1"/>
  <c r="Z195" i="5"/>
  <c r="Z113" i="5"/>
  <c r="Z191" i="5"/>
  <c r="Z213" i="5"/>
  <c r="AA213" i="5" s="1"/>
  <c r="Z225" i="5"/>
  <c r="Z236" i="5"/>
  <c r="AA236" i="5" s="1"/>
  <c r="Z252" i="5"/>
  <c r="AB252" i="5" s="1"/>
  <c r="Z181" i="5"/>
  <c r="AA181" i="5" s="1"/>
  <c r="Z197" i="5"/>
  <c r="AB197" i="5" s="1"/>
  <c r="Z214" i="5"/>
  <c r="AA214" i="5" s="1"/>
  <c r="Z231" i="5"/>
  <c r="Z163" i="5"/>
  <c r="Z201" i="5"/>
  <c r="Z218" i="5"/>
  <c r="Z227" i="5"/>
  <c r="Z238" i="5"/>
  <c r="Z253" i="5"/>
  <c r="Z264" i="5"/>
  <c r="AB264" i="5" s="1"/>
  <c r="Z285" i="5"/>
  <c r="Z300" i="5"/>
  <c r="Z307" i="5"/>
  <c r="AA307" i="5" s="1"/>
  <c r="Z331" i="5"/>
  <c r="AB331" i="5" s="1"/>
  <c r="Z262" i="5"/>
  <c r="AB262" i="5" s="1"/>
  <c r="Z275" i="5"/>
  <c r="AB275" i="5" s="1"/>
  <c r="Z290" i="5"/>
  <c r="Z309" i="5"/>
  <c r="Z329" i="5"/>
  <c r="Z254" i="5"/>
  <c r="Z263" i="5"/>
  <c r="Z274" i="5"/>
  <c r="AB274" i="5" s="1"/>
  <c r="Z282" i="5"/>
  <c r="Z297" i="5"/>
  <c r="AA297" i="5" s="1"/>
  <c r="Z314" i="5"/>
  <c r="AA314" i="5" s="1"/>
  <c r="Z324" i="5"/>
  <c r="Z339" i="5"/>
  <c r="Z361" i="5"/>
  <c r="AA361" i="5" s="1"/>
  <c r="Z333" i="5"/>
  <c r="Z365" i="5"/>
  <c r="Z379" i="5"/>
  <c r="Z402" i="5"/>
  <c r="Z417" i="5"/>
  <c r="Z425" i="5"/>
  <c r="Z439" i="5"/>
  <c r="AB439" i="5" s="1"/>
  <c r="Z286" i="5"/>
  <c r="AB286" i="5" s="1"/>
  <c r="Z352" i="5"/>
  <c r="Z27" i="5"/>
  <c r="Z40" i="5"/>
  <c r="AA40" i="5" s="1"/>
  <c r="Z49" i="5"/>
  <c r="Z25" i="5"/>
  <c r="AB25" i="5" s="1"/>
  <c r="Z41" i="5"/>
  <c r="Z38" i="5"/>
  <c r="AB38" i="5" s="1"/>
  <c r="Z28" i="5"/>
  <c r="AB28" i="5" s="1"/>
  <c r="Z63" i="5"/>
  <c r="AB63" i="5" s="1"/>
  <c r="Z55" i="5"/>
  <c r="AB55" i="5" s="1"/>
  <c r="Z51" i="5"/>
  <c r="AB51" i="5" s="1"/>
  <c r="Z57" i="5"/>
  <c r="Z32" i="5"/>
  <c r="AA32" i="5" s="1"/>
  <c r="Z62" i="5"/>
  <c r="Z75" i="5"/>
  <c r="Z67" i="5"/>
  <c r="AB67" i="5" s="1"/>
  <c r="Z82" i="5"/>
  <c r="AB82" i="5" s="1"/>
  <c r="Z93" i="5"/>
  <c r="AB93" i="5" s="1"/>
  <c r="Z92" i="5"/>
  <c r="AA92" i="5" s="1"/>
  <c r="Z101" i="5"/>
  <c r="Z86" i="5"/>
  <c r="Z102" i="5"/>
  <c r="AA102" i="5" s="1"/>
  <c r="Z81" i="5"/>
  <c r="AB81" i="5" s="1"/>
  <c r="Z117" i="5"/>
  <c r="AA117" i="5" s="1"/>
  <c r="Z125" i="5"/>
  <c r="AB125" i="5" s="1"/>
  <c r="Z135" i="5"/>
  <c r="Z149" i="5"/>
  <c r="AB149" i="5" s="1"/>
  <c r="Z155" i="5"/>
  <c r="Z119" i="5"/>
  <c r="Z138" i="5"/>
  <c r="AA138" i="5" s="1"/>
  <c r="Z158" i="5"/>
  <c r="Z124" i="5"/>
  <c r="AA124" i="5" s="1"/>
  <c r="Z142" i="5"/>
  <c r="Z141" i="5"/>
  <c r="AA141" i="5" s="1"/>
  <c r="Z185" i="5"/>
  <c r="AA185" i="5" s="1"/>
  <c r="Z143" i="5"/>
  <c r="Z166" i="5"/>
  <c r="AB166" i="5" s="1"/>
  <c r="Z180" i="5"/>
  <c r="Z127" i="5"/>
  <c r="Z173" i="5"/>
  <c r="Z183" i="5"/>
  <c r="Z196" i="5"/>
  <c r="Z170" i="5"/>
  <c r="AA170" i="5" s="1"/>
  <c r="Z192" i="5"/>
  <c r="Z217" i="5"/>
  <c r="Z230" i="5"/>
  <c r="Z240" i="5"/>
  <c r="AB240" i="5" s="1"/>
  <c r="Z126" i="5"/>
  <c r="AB126" i="5" s="1"/>
  <c r="Z184" i="5"/>
  <c r="AB184" i="5" s="1"/>
  <c r="Z202" i="5"/>
  <c r="Z219" i="5"/>
  <c r="Z237" i="5"/>
  <c r="Z198" i="5"/>
  <c r="Z208" i="5"/>
  <c r="Z220" i="5"/>
  <c r="AB220" i="5" s="1"/>
  <c r="Z234" i="5"/>
  <c r="AB234" i="5" s="1"/>
  <c r="Z242" i="5"/>
  <c r="AA242" i="5" s="1"/>
  <c r="Z256" i="5"/>
  <c r="Z269" i="5"/>
  <c r="Z288" i="5"/>
  <c r="Z302" i="5"/>
  <c r="AA302" i="5" s="1"/>
  <c r="Z310" i="5"/>
  <c r="Z165" i="5"/>
  <c r="Z267" i="5"/>
  <c r="Z280" i="5"/>
  <c r="AA280" i="5" s="1"/>
  <c r="Z293" i="5"/>
  <c r="Z315" i="5"/>
  <c r="Z330" i="5"/>
  <c r="Z255" i="5"/>
  <c r="AB255" i="5" s="1"/>
  <c r="Z265" i="5"/>
  <c r="AB265" i="5" s="1"/>
  <c r="Z277" i="5"/>
  <c r="AB277" i="5" s="1"/>
  <c r="Z287" i="5"/>
  <c r="Z301" i="5"/>
  <c r="Z319" i="5"/>
  <c r="Z332" i="5"/>
  <c r="Z346" i="5"/>
  <c r="Z243" i="5"/>
  <c r="AB243" i="5" s="1"/>
  <c r="Z343" i="5"/>
  <c r="AA343" i="5" s="1"/>
  <c r="Z369" i="5"/>
  <c r="AB369" i="5" s="1"/>
  <c r="Z383" i="5"/>
  <c r="AB383" i="5" s="1"/>
  <c r="Z404" i="5"/>
  <c r="AA404" i="5" s="1"/>
  <c r="Z418" i="5"/>
  <c r="Z430" i="5"/>
  <c r="Z440" i="5"/>
  <c r="Z292" i="5"/>
  <c r="AA292" i="5" s="1"/>
  <c r="Z357" i="5"/>
  <c r="V8" i="4" l="1"/>
  <c r="Y8" i="4" s="1"/>
  <c r="AI8" i="4" s="1"/>
  <c r="B144" i="2"/>
  <c r="V41" i="1" s="1"/>
  <c r="B136" i="2"/>
  <c r="N41" i="1" s="1"/>
  <c r="B128" i="2"/>
  <c r="H41" i="1" s="1"/>
  <c r="AB12" i="10"/>
  <c r="AB521" i="10"/>
  <c r="AB280" i="10"/>
  <c r="AA164" i="10"/>
  <c r="AB76" i="10"/>
  <c r="AA182" i="10"/>
  <c r="AB348" i="10"/>
  <c r="AB268" i="10"/>
  <c r="AB193" i="10"/>
  <c r="AA423" i="10"/>
  <c r="AA488" i="10"/>
  <c r="V112" i="4"/>
  <c r="W112" i="4" s="1"/>
  <c r="V156" i="4"/>
  <c r="Z156" i="4" s="1"/>
  <c r="V146" i="4"/>
  <c r="W146" i="4" s="1"/>
  <c r="V107" i="4"/>
  <c r="Y107" i="4" s="1"/>
  <c r="AI107" i="4" s="1"/>
  <c r="V62" i="4"/>
  <c r="W62" i="4" s="1"/>
  <c r="V67" i="4"/>
  <c r="W67" i="4" s="1"/>
  <c r="V152" i="4"/>
  <c r="W152" i="4" s="1"/>
  <c r="V69" i="4"/>
  <c r="W69" i="4" s="1"/>
  <c r="V137" i="4"/>
  <c r="W137" i="4" s="1"/>
  <c r="V84" i="4"/>
  <c r="Y84" i="4" s="1"/>
  <c r="V133" i="4"/>
  <c r="V147" i="4"/>
  <c r="Y147" i="4" s="1"/>
  <c r="V56" i="4"/>
  <c r="V129" i="4"/>
  <c r="Y129" i="4" s="1"/>
  <c r="V100" i="4"/>
  <c r="Y100" i="4" s="1"/>
  <c r="V54" i="4"/>
  <c r="W54" i="4" s="1"/>
  <c r="V47" i="4"/>
  <c r="W47" i="4" s="1"/>
  <c r="V39" i="4"/>
  <c r="V57" i="4"/>
  <c r="Y57" i="4" s="1"/>
  <c r="V74" i="4"/>
  <c r="Y74" i="4" s="1"/>
  <c r="V150" i="4"/>
  <c r="W150" i="4" s="1"/>
  <c r="V89" i="4"/>
  <c r="Y89" i="4" s="1"/>
  <c r="V50" i="4"/>
  <c r="Y50" i="4" s="1"/>
  <c r="V40" i="4"/>
  <c r="Y40" i="4" s="1"/>
  <c r="V143" i="4"/>
  <c r="Z143" i="4" s="1"/>
  <c r="V140" i="4"/>
  <c r="Z140" i="4" s="1"/>
  <c r="V145" i="4"/>
  <c r="W145" i="4" s="1"/>
  <c r="V113" i="4"/>
  <c r="W113" i="4" s="1"/>
  <c r="V126" i="4"/>
  <c r="W126" i="4" s="1"/>
  <c r="V131" i="4"/>
  <c r="Y131" i="4" s="1"/>
  <c r="V120" i="4"/>
  <c r="Y120" i="4" s="1"/>
  <c r="V111" i="4"/>
  <c r="W111" i="4" s="1"/>
  <c r="V75" i="4"/>
  <c r="V132" i="4"/>
  <c r="Y132" i="4" s="1"/>
  <c r="V79" i="4"/>
  <c r="W79" i="4" s="1"/>
  <c r="V64" i="4"/>
  <c r="W64" i="4" s="1"/>
  <c r="V52" i="4"/>
  <c r="W52" i="4" s="1"/>
  <c r="V157" i="4"/>
  <c r="Z157" i="4" s="1"/>
  <c r="V59" i="4"/>
  <c r="Z59" i="4" s="1"/>
  <c r="V102" i="4"/>
  <c r="W102" i="4" s="1"/>
  <c r="V122" i="4"/>
  <c r="Z122" i="4" s="1"/>
  <c r="V88" i="4"/>
  <c r="Y88" i="4" s="1"/>
  <c r="V142" i="4"/>
  <c r="W142" i="4" s="1"/>
  <c r="V76" i="4"/>
  <c r="Y76" i="4" s="1"/>
  <c r="V81" i="4"/>
  <c r="W81" i="4" s="1"/>
  <c r="V91" i="4"/>
  <c r="W91" i="4" s="1"/>
  <c r="V37" i="4"/>
  <c r="W37" i="4" s="1"/>
  <c r="V124" i="4"/>
  <c r="Z124" i="4" s="1"/>
  <c r="V108" i="4"/>
  <c r="Z108" i="4" s="1"/>
  <c r="V130" i="4"/>
  <c r="W130" i="4" s="1"/>
  <c r="V68" i="4"/>
  <c r="Y68" i="4" s="1"/>
  <c r="V41" i="4"/>
  <c r="V65" i="4"/>
  <c r="W65" i="4" s="1"/>
  <c r="V114" i="4"/>
  <c r="Y114" i="4" s="1"/>
  <c r="V92" i="4"/>
  <c r="Y92" i="4" s="1"/>
  <c r="V106" i="4"/>
  <c r="W106" i="4" s="1"/>
  <c r="V104" i="4"/>
  <c r="W104" i="4" s="1"/>
  <c r="V82" i="4"/>
  <c r="Z82" i="4" s="1"/>
  <c r="V123" i="4"/>
  <c r="W123" i="4" s="1"/>
  <c r="V155" i="4"/>
  <c r="Y155" i="4" s="1"/>
  <c r="V94" i="4"/>
  <c r="Z94" i="4" s="1"/>
  <c r="V60" i="4"/>
  <c r="Y60" i="4" s="1"/>
  <c r="V45" i="4"/>
  <c r="Y45" i="4" s="1"/>
  <c r="V61" i="4"/>
  <c r="Y61" i="4" s="1"/>
  <c r="V90" i="4"/>
  <c r="W90" i="4" s="1"/>
  <c r="V154" i="4"/>
  <c r="W154" i="4" s="1"/>
  <c r="V46" i="4"/>
  <c r="W46" i="4" s="1"/>
  <c r="V110" i="4"/>
  <c r="W110" i="4" s="1"/>
  <c r="V97" i="4"/>
  <c r="W97" i="4" s="1"/>
  <c r="V153" i="4"/>
  <c r="Y153" i="4" s="1"/>
  <c r="V116" i="4"/>
  <c r="W116" i="4" s="1"/>
  <c r="AB468" i="10"/>
  <c r="AA243" i="10"/>
  <c r="AB249" i="10"/>
  <c r="AB151" i="10"/>
  <c r="AB401" i="10"/>
  <c r="AA526" i="10"/>
  <c r="AB7" i="10"/>
  <c r="AB357" i="10"/>
  <c r="AA252" i="10"/>
  <c r="AB200" i="10"/>
  <c r="AB319" i="10"/>
  <c r="AB396" i="10"/>
  <c r="AA194" i="10"/>
  <c r="AA361" i="10"/>
  <c r="AB473" i="10"/>
  <c r="AA444" i="10"/>
  <c r="AB72" i="10"/>
  <c r="AB125" i="10"/>
  <c r="W25" i="4"/>
  <c r="X25" i="4" s="1"/>
  <c r="W55" i="4"/>
  <c r="X55" i="4" s="1"/>
  <c r="W20" i="4"/>
  <c r="W14" i="4"/>
  <c r="X14" i="4" s="1"/>
  <c r="W21" i="4"/>
  <c r="Y11" i="4"/>
  <c r="W15" i="4"/>
  <c r="W13" i="4"/>
  <c r="X13" i="4" s="1"/>
  <c r="W36" i="4"/>
  <c r="X36" i="4" s="1"/>
  <c r="W17" i="4"/>
  <c r="W19" i="4"/>
  <c r="W34" i="4"/>
  <c r="W29" i="4"/>
  <c r="X29" i="4" s="1"/>
  <c r="W63" i="4"/>
  <c r="X63" i="4" s="1"/>
  <c r="W9" i="4"/>
  <c r="W12" i="4"/>
  <c r="W10" i="4"/>
  <c r="W27" i="4"/>
  <c r="Y28" i="4"/>
  <c r="Y38" i="4"/>
  <c r="W71" i="4"/>
  <c r="X71" i="4" s="1"/>
  <c r="W87" i="4"/>
  <c r="X87" i="4" s="1"/>
  <c r="W30" i="4"/>
  <c r="W18" i="4"/>
  <c r="Y35" i="4"/>
  <c r="W26" i="4"/>
  <c r="W31" i="4"/>
  <c r="W33" i="4"/>
  <c r="W22" i="4"/>
  <c r="W23" i="4"/>
  <c r="X23" i="4" s="1"/>
  <c r="W32" i="4"/>
  <c r="W24" i="4"/>
  <c r="W7" i="4"/>
  <c r="X7" i="4" s="1"/>
  <c r="W80" i="4"/>
  <c r="X80" i="4" s="1"/>
  <c r="W70" i="4"/>
  <c r="X70" i="4" s="1"/>
  <c r="W44" i="4"/>
  <c r="X44" i="4" s="1"/>
  <c r="Y121" i="4"/>
  <c r="AP121" i="4" s="1"/>
  <c r="W83" i="4"/>
  <c r="X83" i="4" s="1"/>
  <c r="W77" i="4"/>
  <c r="X77" i="4" s="1"/>
  <c r="W95" i="4"/>
  <c r="X95" i="4" s="1"/>
  <c r="W127" i="4"/>
  <c r="X127" i="4" s="1"/>
  <c r="W78" i="4"/>
  <c r="X78" i="4" s="1"/>
  <c r="W98" i="4"/>
  <c r="X98" i="4" s="1"/>
  <c r="W96" i="4"/>
  <c r="X96" i="4" s="1"/>
  <c r="W86" i="4"/>
  <c r="X86" i="4" s="1"/>
  <c r="Y138" i="4"/>
  <c r="W115" i="4"/>
  <c r="X115" i="4" s="1"/>
  <c r="W139" i="4"/>
  <c r="X139" i="4" s="1"/>
  <c r="W85" i="4"/>
  <c r="X85" i="4" s="1"/>
  <c r="Y103" i="4"/>
  <c r="W119" i="4"/>
  <c r="X119" i="4" s="1"/>
  <c r="W135" i="4"/>
  <c r="X135" i="4" s="1"/>
  <c r="W151" i="4"/>
  <c r="X151" i="4" s="1"/>
  <c r="W66" i="4"/>
  <c r="X66" i="4" s="1"/>
  <c r="AA63" i="10"/>
  <c r="AA530" i="10"/>
  <c r="AA533" i="10"/>
  <c r="AA307" i="10"/>
  <c r="AB43" i="10"/>
  <c r="AA57" i="10"/>
  <c r="AA50" i="10"/>
  <c r="AA44" i="10"/>
  <c r="AA162" i="10"/>
  <c r="AB134" i="10"/>
  <c r="AA75" i="10"/>
  <c r="AA81" i="10"/>
  <c r="AA223" i="10"/>
  <c r="AB471" i="10"/>
  <c r="AB457" i="10"/>
  <c r="AA94" i="10"/>
  <c r="AB425" i="10"/>
  <c r="AB180" i="10"/>
  <c r="Y63" i="4"/>
  <c r="AA282" i="10"/>
  <c r="AB62" i="10"/>
  <c r="AB264" i="10"/>
  <c r="AA141" i="10"/>
  <c r="AB142" i="10"/>
  <c r="AB295" i="10"/>
  <c r="AA177" i="10"/>
  <c r="AA222" i="10"/>
  <c r="AB238" i="10"/>
  <c r="AA261" i="10"/>
  <c r="AB337" i="10"/>
  <c r="AA439" i="10"/>
  <c r="AB257" i="10"/>
  <c r="AA236" i="10"/>
  <c r="AA169" i="10"/>
  <c r="AA341" i="10"/>
  <c r="AB285" i="10"/>
  <c r="AA281" i="10"/>
  <c r="AB534" i="10"/>
  <c r="AB372" i="10"/>
  <c r="AB502" i="10"/>
  <c r="AB129" i="10"/>
  <c r="AA467" i="10"/>
  <c r="Y95" i="4"/>
  <c r="AA528" i="10"/>
  <c r="AB103" i="10"/>
  <c r="AB464" i="10"/>
  <c r="W105" i="4"/>
  <c r="X105" i="4" s="1"/>
  <c r="W49" i="4"/>
  <c r="X49" i="4" s="1"/>
  <c r="W148" i="4"/>
  <c r="X148" i="4" s="1"/>
  <c r="W144" i="4"/>
  <c r="X144" i="4" s="1"/>
  <c r="W101" i="4"/>
  <c r="X101" i="4" s="1"/>
  <c r="W117" i="4"/>
  <c r="X117" i="4" s="1"/>
  <c r="W149" i="4"/>
  <c r="X149" i="4" s="1"/>
  <c r="W128" i="4"/>
  <c r="X128" i="4" s="1"/>
  <c r="W118" i="4"/>
  <c r="X118" i="4" s="1"/>
  <c r="W72" i="4"/>
  <c r="X72" i="4" s="1"/>
  <c r="W73" i="4"/>
  <c r="X73" i="4" s="1"/>
  <c r="W51" i="4"/>
  <c r="X51" i="4" s="1"/>
  <c r="W99" i="4"/>
  <c r="X99" i="4" s="1"/>
  <c r="W42" i="4"/>
  <c r="X42" i="4" s="1"/>
  <c r="W134" i="4"/>
  <c r="X134" i="4" s="1"/>
  <c r="W43" i="4"/>
  <c r="X43" i="4" s="1"/>
  <c r="W48" i="4"/>
  <c r="X48" i="4" s="1"/>
  <c r="W53" i="4"/>
  <c r="X53" i="4" s="1"/>
  <c r="W93" i="4"/>
  <c r="X93" i="4" s="1"/>
  <c r="W109" i="4"/>
  <c r="X109" i="4" s="1"/>
  <c r="W125" i="4"/>
  <c r="X125" i="4" s="1"/>
  <c r="Y58" i="4"/>
  <c r="W136" i="4"/>
  <c r="X136" i="4" s="1"/>
  <c r="W141" i="4"/>
  <c r="X141" i="4" s="1"/>
  <c r="AA234" i="10"/>
  <c r="AA340" i="10"/>
  <c r="AB176" i="10"/>
  <c r="W138" i="4"/>
  <c r="X138" i="4" s="1"/>
  <c r="Z18" i="4"/>
  <c r="Y25" i="4"/>
  <c r="Y101" i="4"/>
  <c r="Y33" i="4"/>
  <c r="Y71" i="4"/>
  <c r="Y18" i="4"/>
  <c r="Y93" i="4"/>
  <c r="W28" i="4"/>
  <c r="W103" i="4"/>
  <c r="X103" i="4" s="1"/>
  <c r="Y44" i="4"/>
  <c r="Y22" i="4"/>
  <c r="Y43" i="4"/>
  <c r="Y125" i="4"/>
  <c r="Y127" i="4"/>
  <c r="Y99" i="4"/>
  <c r="W121" i="4"/>
  <c r="X121" i="4" s="1"/>
  <c r="Y115" i="4"/>
  <c r="Y17" i="4"/>
  <c r="W35" i="4"/>
  <c r="W11" i="4"/>
  <c r="Y51" i="4"/>
  <c r="W58" i="4"/>
  <c r="X58" i="4" s="1"/>
  <c r="Y135" i="4"/>
  <c r="Y80" i="4"/>
  <c r="Y109" i="4"/>
  <c r="Y16" i="4"/>
  <c r="W16" i="4"/>
  <c r="W38" i="4"/>
  <c r="X38" i="4" s="1"/>
  <c r="Y23" i="4"/>
  <c r="Y83" i="4"/>
  <c r="Y29" i="4"/>
  <c r="Y141" i="4"/>
  <c r="Y128" i="4"/>
  <c r="Y73" i="4"/>
  <c r="Y72" i="4"/>
  <c r="Y78" i="4"/>
  <c r="Y85" i="4"/>
  <c r="Y87" i="4"/>
  <c r="Y27" i="4"/>
  <c r="Y36" i="4"/>
  <c r="Y139" i="4"/>
  <c r="Y77" i="4"/>
  <c r="Y96" i="4"/>
  <c r="Y34" i="4"/>
  <c r="Y14" i="4"/>
  <c r="Y53" i="4"/>
  <c r="Y55" i="4"/>
  <c r="Y31" i="4"/>
  <c r="Y98" i="4"/>
  <c r="Y144" i="4"/>
  <c r="Y134" i="4"/>
  <c r="Y30" i="4"/>
  <c r="Y151" i="4"/>
  <c r="Y15" i="4"/>
  <c r="Y86" i="4"/>
  <c r="Y66" i="4"/>
  <c r="Y9" i="4"/>
  <c r="Y70" i="4"/>
  <c r="Y20" i="4"/>
  <c r="Y10" i="4"/>
  <c r="Y12" i="4"/>
  <c r="Y105" i="4"/>
  <c r="Y13" i="4"/>
  <c r="Y42" i="4"/>
  <c r="Z117" i="4"/>
  <c r="Y119" i="4"/>
  <c r="AA210" i="10"/>
  <c r="AB250" i="10"/>
  <c r="AA135" i="10"/>
  <c r="AB100" i="10"/>
  <c r="AB542" i="10"/>
  <c r="AB212" i="10"/>
  <c r="AB216" i="10"/>
  <c r="AB518" i="10"/>
  <c r="AA95" i="10"/>
  <c r="AB190" i="10"/>
  <c r="AB101" i="10"/>
  <c r="AA208" i="10"/>
  <c r="AB360" i="10"/>
  <c r="AB92" i="10"/>
  <c r="AA93" i="10"/>
  <c r="AB232" i="10"/>
  <c r="AA324" i="10"/>
  <c r="AA19" i="10"/>
  <c r="AA430" i="10"/>
  <c r="AA67" i="10"/>
  <c r="AA139" i="10"/>
  <c r="AA39" i="10"/>
  <c r="AA33" i="10"/>
  <c r="AB204" i="10"/>
  <c r="AA145" i="10"/>
  <c r="AA77" i="10"/>
  <c r="AA149" i="10"/>
  <c r="AB506" i="10"/>
  <c r="AA404" i="10"/>
  <c r="AA157" i="10"/>
  <c r="AB316" i="10"/>
  <c r="AB443" i="10"/>
  <c r="AA362" i="10"/>
  <c r="AB274" i="10"/>
  <c r="AB219" i="10"/>
  <c r="AA497" i="10"/>
  <c r="AB88" i="10"/>
  <c r="AA483" i="10"/>
  <c r="AB248" i="10"/>
  <c r="AB292" i="10"/>
  <c r="AB417" i="10"/>
  <c r="AB548" i="10"/>
  <c r="AA224" i="10"/>
  <c r="AB197" i="10"/>
  <c r="AB489" i="10"/>
  <c r="AB554" i="10"/>
  <c r="AA350" i="10"/>
  <c r="AA403" i="10"/>
  <c r="AB288" i="10"/>
  <c r="AB524" i="10"/>
  <c r="AB442" i="10"/>
  <c r="AA269" i="10"/>
  <c r="AA82" i="10"/>
  <c r="AA152" i="10"/>
  <c r="AA380" i="10"/>
  <c r="AA46" i="10"/>
  <c r="AA560" i="10"/>
  <c r="AA64" i="10"/>
  <c r="AA329" i="10"/>
  <c r="AA245" i="10"/>
  <c r="AA453" i="10"/>
  <c r="AA207" i="10"/>
  <c r="AA376" i="10"/>
  <c r="AB217" i="10"/>
  <c r="AA346" i="10"/>
  <c r="AB539" i="10"/>
  <c r="AB24" i="10"/>
  <c r="AB150" i="10"/>
  <c r="AB104" i="10"/>
  <c r="AA21" i="10"/>
  <c r="AB479" i="10"/>
  <c r="AA68" i="10"/>
  <c r="AA309" i="10"/>
  <c r="AB558" i="10"/>
  <c r="AB160" i="10"/>
  <c r="AB435" i="10"/>
  <c r="AA132" i="10"/>
  <c r="AA293" i="10"/>
  <c r="AB545" i="10"/>
  <c r="AB297" i="10"/>
  <c r="AB45" i="10"/>
  <c r="AA45" i="10"/>
  <c r="AB440" i="10"/>
  <c r="AA440" i="10"/>
  <c r="AA509" i="10"/>
  <c r="AB509" i="10"/>
  <c r="AB306" i="10"/>
  <c r="AA306" i="10"/>
  <c r="AB278" i="10"/>
  <c r="AA278" i="10"/>
  <c r="AB462" i="10"/>
  <c r="AA462" i="10"/>
  <c r="AB490" i="10"/>
  <c r="AA490" i="10"/>
  <c r="AB321" i="10"/>
  <c r="AA321" i="10"/>
  <c r="AB363" i="10"/>
  <c r="AA363" i="10"/>
  <c r="AB476" i="10"/>
  <c r="AA476" i="10"/>
  <c r="AB195" i="10"/>
  <c r="AA195" i="10"/>
  <c r="AB320" i="10"/>
  <c r="AA320" i="10"/>
  <c r="AB205" i="10"/>
  <c r="AA205" i="10"/>
  <c r="AA188" i="10"/>
  <c r="AB188" i="10"/>
  <c r="AA352" i="10"/>
  <c r="AB352" i="10"/>
  <c r="AB427" i="10"/>
  <c r="AA427" i="10"/>
  <c r="AB237" i="10"/>
  <c r="AA237" i="10"/>
  <c r="AB312" i="10"/>
  <c r="AA312" i="10"/>
  <c r="AA233" i="10"/>
  <c r="AB233" i="10"/>
  <c r="AA47" i="10"/>
  <c r="AB47" i="10"/>
  <c r="AB111" i="10"/>
  <c r="AA111" i="10"/>
  <c r="AA56" i="10"/>
  <c r="AB56" i="10"/>
  <c r="AB519" i="10"/>
  <c r="AA519" i="10"/>
  <c r="AB206" i="10"/>
  <c r="AA206" i="10"/>
  <c r="AA277" i="10"/>
  <c r="AB277" i="10"/>
  <c r="AB498" i="10"/>
  <c r="AA498" i="10"/>
  <c r="AA540" i="10"/>
  <c r="AB540" i="10"/>
  <c r="AB504" i="10"/>
  <c r="AA284" i="10"/>
  <c r="AB559" i="10"/>
  <c r="AB517" i="10"/>
  <c r="AA452" i="10"/>
  <c r="AB37" i="10"/>
  <c r="AA480" i="10"/>
  <c r="AA173" i="10"/>
  <c r="AA478" i="10"/>
  <c r="AB34" i="10"/>
  <c r="AA330" i="10"/>
  <c r="AA102" i="10"/>
  <c r="AA290" i="10"/>
  <c r="AB328" i="10"/>
  <c r="AA378" i="10"/>
  <c r="AB356" i="10"/>
  <c r="AB270" i="10"/>
  <c r="AB20" i="10"/>
  <c r="AA35" i="10"/>
  <c r="AA496" i="10"/>
  <c r="AA138" i="10"/>
  <c r="AA505" i="10"/>
  <c r="AB499" i="10"/>
  <c r="AA499" i="10"/>
  <c r="AA411" i="10"/>
  <c r="AB411" i="10"/>
  <c r="AA191" i="10"/>
  <c r="AB191" i="10"/>
  <c r="AB549" i="10"/>
  <c r="AA549" i="10"/>
  <c r="AA450" i="10"/>
  <c r="AB450" i="10"/>
  <c r="AB395" i="10"/>
  <c r="AA395" i="10"/>
  <c r="AA106" i="10"/>
  <c r="AB106" i="10"/>
  <c r="AA463" i="10"/>
  <c r="AB463" i="10"/>
  <c r="AA265" i="10"/>
  <c r="AB265" i="10"/>
  <c r="AA181" i="10"/>
  <c r="AB181" i="10"/>
  <c r="AB556" i="10"/>
  <c r="AA556" i="10"/>
  <c r="AA384" i="10"/>
  <c r="AB384" i="10"/>
  <c r="AA477" i="10"/>
  <c r="AB477" i="10"/>
  <c r="AB482" i="10"/>
  <c r="AA482" i="10"/>
  <c r="AB225" i="10"/>
  <c r="AA225" i="10"/>
  <c r="AA544" i="10"/>
  <c r="AB544" i="10"/>
  <c r="AA211" i="10"/>
  <c r="AB211" i="10"/>
  <c r="AA325" i="10"/>
  <c r="AB325" i="10"/>
  <c r="AB399" i="10"/>
  <c r="AA399" i="10"/>
  <c r="AB449" i="10"/>
  <c r="AA449" i="10"/>
  <c r="AB85" i="10"/>
  <c r="AA85" i="10"/>
  <c r="AB304" i="10"/>
  <c r="AA304" i="10"/>
  <c r="AB259" i="10"/>
  <c r="AA259" i="10"/>
  <c r="AB247" i="10"/>
  <c r="AA413" i="10"/>
  <c r="AA397" i="10"/>
  <c r="AA402" i="10"/>
  <c r="AB315" i="10"/>
  <c r="AB276" i="10"/>
  <c r="AB230" i="10"/>
  <c r="AB451" i="10"/>
  <c r="AA70" i="10"/>
  <c r="AA491" i="10"/>
  <c r="AB512" i="10"/>
  <c r="AA377" i="10"/>
  <c r="AB227" i="10"/>
  <c r="AB244" i="10"/>
  <c r="AA71" i="10"/>
  <c r="AB26" i="10"/>
  <c r="AA407" i="10"/>
  <c r="AB165" i="10"/>
  <c r="AB529" i="10"/>
  <c r="AB170" i="10"/>
  <c r="AB393" i="10"/>
  <c r="AB375" i="10"/>
  <c r="AB130" i="10"/>
  <c r="AA481" i="10"/>
  <c r="AA271" i="10"/>
  <c r="AB303" i="10"/>
  <c r="AB353" i="10"/>
  <c r="AA353" i="10"/>
  <c r="AA308" i="10"/>
  <c r="AB308" i="10"/>
  <c r="AB156" i="10"/>
  <c r="AA156" i="10"/>
  <c r="AA434" i="10"/>
  <c r="AB434" i="10"/>
  <c r="AA99" i="10"/>
  <c r="AA460" i="10"/>
  <c r="AA550" i="10"/>
  <c r="AA128" i="10"/>
  <c r="AA294" i="10"/>
  <c r="AA364" i="10"/>
  <c r="AA52" i="10"/>
  <c r="AA30" i="10"/>
  <c r="AA78" i="10"/>
  <c r="AB87" i="10"/>
  <c r="AB547" i="10"/>
  <c r="AA546" i="10"/>
  <c r="AA386" i="10"/>
  <c r="AA86" i="10"/>
  <c r="AA185" i="10"/>
  <c r="AB557" i="10"/>
  <c r="AA415" i="10"/>
  <c r="AB398" i="10"/>
  <c r="AA192" i="10"/>
  <c r="AA28" i="10"/>
  <c r="AA36" i="10"/>
  <c r="AB184" i="10"/>
  <c r="AA381" i="10"/>
  <c r="AA55" i="10"/>
  <c r="AB127" i="10"/>
  <c r="AB154" i="10"/>
  <c r="AB196" i="10"/>
  <c r="AA199" i="10"/>
  <c r="AB199" i="10"/>
  <c r="AA172" i="10"/>
  <c r="AB172" i="10"/>
  <c r="AB213" i="10"/>
  <c r="AA213" i="10"/>
  <c r="AA455" i="10"/>
  <c r="AB455" i="10"/>
  <c r="AB368" i="10"/>
  <c r="AA368" i="10"/>
  <c r="AB409" i="10"/>
  <c r="AA144" i="10"/>
  <c r="AA446" i="10"/>
  <c r="AA465" i="10"/>
  <c r="AA136" i="10"/>
  <c r="AA114" i="10"/>
  <c r="AA538" i="10"/>
  <c r="AB421" i="10"/>
  <c r="AB66" i="10"/>
  <c r="AA61" i="10"/>
  <c r="AA241" i="10"/>
  <c r="AB431" i="10"/>
  <c r="AB322" i="10"/>
  <c r="AA59" i="10"/>
  <c r="AA65" i="10"/>
  <c r="AB131" i="10"/>
  <c r="AA414" i="10"/>
  <c r="AA239" i="10"/>
  <c r="AB109" i="10"/>
  <c r="AB302" i="10"/>
  <c r="AB41" i="10"/>
  <c r="AB334" i="10"/>
  <c r="AA275" i="10"/>
  <c r="AA27" i="10"/>
  <c r="AB80" i="10"/>
  <c r="AA179" i="10"/>
  <c r="AA29" i="10"/>
  <c r="AB527" i="10"/>
  <c r="AB445" i="10"/>
  <c r="AA429" i="10"/>
  <c r="AA405" i="10"/>
  <c r="AB189" i="10"/>
  <c r="AB124" i="10"/>
  <c r="AA53" i="10"/>
  <c r="AA382" i="10"/>
  <c r="AB147" i="10"/>
  <c r="AB336" i="10"/>
  <c r="Q403" i="10"/>
  <c r="R403" i="10" s="1"/>
  <c r="AB523" i="10"/>
  <c r="AB469" i="10"/>
  <c r="AB461" i="10"/>
  <c r="AA520" i="10"/>
  <c r="AA296" i="10"/>
  <c r="AA166" i="10"/>
  <c r="AA289" i="10"/>
  <c r="AB298" i="10"/>
  <c r="AB246" i="10"/>
  <c r="AA419" i="10"/>
  <c r="AB118" i="10"/>
  <c r="AB159" i="10"/>
  <c r="AA501" i="10"/>
  <c r="AA418" i="10"/>
  <c r="AA459" i="10"/>
  <c r="AB161" i="10"/>
  <c r="AA305" i="10"/>
  <c r="AB253" i="10"/>
  <c r="AA365" i="10"/>
  <c r="AA148" i="10"/>
  <c r="AA218" i="10"/>
  <c r="AB175" i="10"/>
  <c r="AB262" i="10"/>
  <c r="AA96" i="10"/>
  <c r="AA433" i="10"/>
  <c r="AA366" i="10"/>
  <c r="AA383" i="10"/>
  <c r="AA254" i="10"/>
  <c r="AB494" i="10"/>
  <c r="AB474" i="10"/>
  <c r="AB327" i="10"/>
  <c r="AA126" i="10"/>
  <c r="AA69" i="10"/>
  <c r="AA228" i="10"/>
  <c r="AA332" i="10"/>
  <c r="AB331" i="10"/>
  <c r="AB343" i="10"/>
  <c r="AB344" i="10"/>
  <c r="AA119" i="10"/>
  <c r="AA492" i="10"/>
  <c r="AA416" i="10"/>
  <c r="AA221" i="10"/>
  <c r="AA120" i="10"/>
  <c r="AB493" i="10"/>
  <c r="AA515" i="10"/>
  <c r="AB155" i="10"/>
  <c r="AA146" i="10"/>
  <c r="AB258" i="10"/>
  <c r="AA255" i="10"/>
  <c r="AB536" i="10"/>
  <c r="AA38" i="10"/>
  <c r="AB458" i="10"/>
  <c r="AA167" i="10"/>
  <c r="AA22" i="10"/>
  <c r="AB351" i="10"/>
  <c r="AA32" i="10"/>
  <c r="AA318" i="10"/>
  <c r="AB226" i="10"/>
  <c r="AB485" i="10"/>
  <c r="AA201" i="10"/>
  <c r="AB495" i="10"/>
  <c r="AB412" i="10"/>
  <c r="AA209" i="10"/>
  <c r="AB266" i="10"/>
  <c r="AB389" i="10"/>
  <c r="AA522" i="10"/>
  <c r="AA532" i="10"/>
  <c r="AA436" i="10"/>
  <c r="AA23" i="10"/>
  <c r="AA432" i="10"/>
  <c r="AB97" i="10"/>
  <c r="AA553" i="10"/>
  <c r="AB347" i="10"/>
  <c r="AA373" i="10"/>
  <c r="AB541" i="10"/>
  <c r="AA108" i="10"/>
  <c r="AB220" i="10"/>
  <c r="AB291" i="10"/>
  <c r="AB273" i="10"/>
  <c r="AB301" i="10"/>
  <c r="AA470" i="10"/>
  <c r="AB370" i="10"/>
  <c r="AB551" i="10"/>
  <c r="AB115" i="10"/>
  <c r="AA543" i="10"/>
  <c r="AB202" i="10"/>
  <c r="AA475" i="10"/>
  <c r="AA287" i="10"/>
  <c r="AB385" i="10"/>
  <c r="AA260" i="10"/>
  <c r="AA503" i="10"/>
  <c r="AB214" i="10"/>
  <c r="AA406" i="10"/>
  <c r="AB300" i="10"/>
  <c r="AB143" i="10"/>
  <c r="AB122" i="10"/>
  <c r="AA116" i="10"/>
  <c r="AA390" i="10"/>
  <c r="AB117" i="10"/>
  <c r="AA379" i="10"/>
  <c r="AB113" i="10"/>
  <c r="AA367" i="10"/>
  <c r="AA163" i="10"/>
  <c r="AB487" i="10"/>
  <c r="AB428" i="10"/>
  <c r="AA256" i="10"/>
  <c r="AA314" i="10"/>
  <c r="AB186" i="10"/>
  <c r="AB438" i="10"/>
  <c r="AA42" i="10"/>
  <c r="AA349" i="10"/>
  <c r="AA60" i="10"/>
  <c r="AB31" i="10"/>
  <c r="AA422" i="10"/>
  <c r="AA231" i="10"/>
  <c r="AB48" i="10"/>
  <c r="AA400" i="10"/>
  <c r="AB516" i="10"/>
  <c r="AA335" i="10"/>
  <c r="AA90" i="10"/>
  <c r="AA391" i="10"/>
  <c r="AA74" i="10"/>
  <c r="AA369" i="10"/>
  <c r="AA203" i="10"/>
  <c r="AB158" i="10"/>
  <c r="AA91" i="10"/>
  <c r="AA272" i="10"/>
  <c r="AA323" i="10"/>
  <c r="AA183" i="10"/>
  <c r="AB525" i="10"/>
  <c r="AA140" i="10"/>
  <c r="AA112" i="10"/>
  <c r="AA242" i="10"/>
  <c r="AB98" i="10"/>
  <c r="AA317" i="10"/>
  <c r="AB447" i="10"/>
  <c r="AA535" i="10"/>
  <c r="AB73" i="10"/>
  <c r="AA49" i="10"/>
  <c r="AB229" i="10"/>
  <c r="AB286" i="10"/>
  <c r="AA133" i="10"/>
  <c r="AA107" i="10"/>
  <c r="AA510" i="10"/>
  <c r="AA339" i="10"/>
  <c r="Q300" i="10"/>
  <c r="R300" i="10" s="1"/>
  <c r="AB388" i="10"/>
  <c r="AB537" i="10"/>
  <c r="AA110" i="10"/>
  <c r="AA456" i="10"/>
  <c r="AB279" i="10"/>
  <c r="AA121" i="10"/>
  <c r="AB83" i="10"/>
  <c r="AA392" i="10"/>
  <c r="AB500" i="10"/>
  <c r="Z7" i="4"/>
  <c r="AA7" i="4" s="1"/>
  <c r="AB7" i="4" s="1"/>
  <c r="BU7" i="4" s="1"/>
  <c r="P545" i="10"/>
  <c r="P370" i="10"/>
  <c r="AB174" i="10"/>
  <c r="AA174" i="10"/>
  <c r="AA355" i="10"/>
  <c r="AB355" i="10"/>
  <c r="AA51" i="10"/>
  <c r="AA40" i="10"/>
  <c r="AB54" i="10"/>
  <c r="AA84" i="10"/>
  <c r="AB215" i="10"/>
  <c r="AB437" i="10"/>
  <c r="AA508" i="10"/>
  <c r="AA338" i="10"/>
  <c r="AB168" i="10"/>
  <c r="AA25" i="10"/>
  <c r="AB410" i="10"/>
  <c r="AA448" i="10"/>
  <c r="Q185" i="10"/>
  <c r="R185" i="10" s="1"/>
  <c r="AB187" i="10"/>
  <c r="AB513" i="10"/>
  <c r="AB283" i="10"/>
  <c r="AA105" i="10"/>
  <c r="AA313" i="10"/>
  <c r="AB420" i="10"/>
  <c r="AB484" i="10"/>
  <c r="AB240" i="10"/>
  <c r="AB326" i="10"/>
  <c r="AA345" i="10"/>
  <c r="Q365" i="10"/>
  <c r="R365" i="10" s="1"/>
  <c r="Q92" i="10"/>
  <c r="R92" i="10" s="1"/>
  <c r="AA58" i="10"/>
  <c r="Q353" i="10"/>
  <c r="S353" i="10" s="1"/>
  <c r="AA123" i="10"/>
  <c r="AA486" i="10"/>
  <c r="AB441" i="10"/>
  <c r="AB354" i="10"/>
  <c r="AB466" i="10"/>
  <c r="AA267" i="10"/>
  <c r="AB531" i="10"/>
  <c r="AA79" i="10"/>
  <c r="AB426" i="10"/>
  <c r="AA552" i="10"/>
  <c r="AA408" i="10"/>
  <c r="AA89" i="10"/>
  <c r="AB387" i="10"/>
  <c r="AA311" i="10"/>
  <c r="AB178" i="10"/>
  <c r="AB371" i="10"/>
  <c r="AB374" i="10"/>
  <c r="AB235" i="10"/>
  <c r="AB342" i="10"/>
  <c r="AA13" i="10"/>
  <c r="P156" i="10"/>
  <c r="P73" i="10"/>
  <c r="P453" i="10"/>
  <c r="P9" i="10"/>
  <c r="P74" i="10"/>
  <c r="P51" i="10"/>
  <c r="P23" i="10"/>
  <c r="P72" i="10"/>
  <c r="P315" i="10"/>
  <c r="P365" i="10"/>
  <c r="P556" i="10"/>
  <c r="AB299" i="10"/>
  <c r="AB394" i="10"/>
  <c r="AA251" i="10"/>
  <c r="P28" i="10"/>
  <c r="P158" i="10"/>
  <c r="P200" i="10"/>
  <c r="P306" i="10"/>
  <c r="P481" i="10"/>
  <c r="AA454" i="10"/>
  <c r="P157" i="10"/>
  <c r="P139" i="10"/>
  <c r="P186" i="10"/>
  <c r="P394" i="10"/>
  <c r="P511" i="10"/>
  <c r="P29" i="10"/>
  <c r="P56" i="10"/>
  <c r="P37" i="10"/>
  <c r="P141" i="10"/>
  <c r="P27" i="10"/>
  <c r="P95" i="10"/>
  <c r="P142" i="10"/>
  <c r="P123" i="10"/>
  <c r="P207" i="10"/>
  <c r="P140" i="10"/>
  <c r="P243" i="10"/>
  <c r="P304" i="10"/>
  <c r="P289" i="10"/>
  <c r="P348" i="10"/>
  <c r="P282" i="10"/>
  <c r="P412" i="10"/>
  <c r="P447" i="10"/>
  <c r="P478" i="10"/>
  <c r="P457" i="10"/>
  <c r="P521" i="10"/>
  <c r="P557" i="10"/>
  <c r="P181" i="10"/>
  <c r="P97" i="10"/>
  <c r="P101" i="10"/>
  <c r="P283" i="10"/>
  <c r="P48" i="10"/>
  <c r="P102" i="10"/>
  <c r="P229" i="10"/>
  <c r="P163" i="10"/>
  <c r="P100" i="10"/>
  <c r="P184" i="10"/>
  <c r="P240" i="10"/>
  <c r="P226" i="10"/>
  <c r="P355" i="10"/>
  <c r="P333" i="10"/>
  <c r="P346" i="10"/>
  <c r="P387" i="10"/>
  <c r="P405" i="10"/>
  <c r="P459" i="10"/>
  <c r="P505" i="10"/>
  <c r="P520" i="10"/>
  <c r="AA171" i="10"/>
  <c r="P197" i="10"/>
  <c r="P193" i="10"/>
  <c r="P117" i="10"/>
  <c r="P55" i="10"/>
  <c r="P65" i="10"/>
  <c r="P118" i="10"/>
  <c r="P307" i="10"/>
  <c r="P179" i="10"/>
  <c r="P116" i="10"/>
  <c r="P215" i="10"/>
  <c r="P264" i="10"/>
  <c r="P249" i="10"/>
  <c r="P308" i="10"/>
  <c r="P357" i="10"/>
  <c r="P372" i="10"/>
  <c r="P411" i="10"/>
  <c r="P429" i="10"/>
  <c r="P479" i="10"/>
  <c r="P519" i="10"/>
  <c r="AB359" i="10"/>
  <c r="AB137" i="10"/>
  <c r="AA511" i="10"/>
  <c r="AB8" i="10"/>
  <c r="Q174" i="10"/>
  <c r="R174" i="10" s="1"/>
  <c r="Q122" i="10"/>
  <c r="S122" i="10" s="1"/>
  <c r="Q455" i="10"/>
  <c r="R455" i="10" s="1"/>
  <c r="Q513" i="10"/>
  <c r="R513" i="10" s="1"/>
  <c r="Q377" i="10"/>
  <c r="R377" i="10" s="1"/>
  <c r="Q348" i="10"/>
  <c r="R348" i="10" s="1"/>
  <c r="Q56" i="10"/>
  <c r="Q291" i="10"/>
  <c r="R291" i="10" s="1"/>
  <c r="Q548" i="10"/>
  <c r="S548" i="10" s="1"/>
  <c r="AA10" i="10"/>
  <c r="Q54" i="10"/>
  <c r="S54" i="10" s="1"/>
  <c r="Q165" i="10"/>
  <c r="R165" i="10" s="1"/>
  <c r="Q127" i="10"/>
  <c r="S127" i="10" s="1"/>
  <c r="Q465" i="10"/>
  <c r="R465" i="10" s="1"/>
  <c r="Q444" i="10"/>
  <c r="R444" i="10" s="1"/>
  <c r="Q502" i="10"/>
  <c r="Q116" i="10"/>
  <c r="S116" i="10" s="1"/>
  <c r="AA514" i="10"/>
  <c r="AB333" i="10"/>
  <c r="AA507" i="10"/>
  <c r="AA358" i="10"/>
  <c r="Q544" i="10"/>
  <c r="R544" i="10" s="1"/>
  <c r="Q13" i="10"/>
  <c r="S13" i="10" s="1"/>
  <c r="Q514" i="10"/>
  <c r="Q82" i="10"/>
  <c r="S82" i="10" s="1"/>
  <c r="Q325" i="10"/>
  <c r="S325" i="10" s="1"/>
  <c r="Q126" i="10"/>
  <c r="R126" i="10" s="1"/>
  <c r="Q356" i="10"/>
  <c r="S356" i="10" s="1"/>
  <c r="Q558" i="10"/>
  <c r="S558" i="10" s="1"/>
  <c r="Q440" i="10"/>
  <c r="R440" i="10" s="1"/>
  <c r="Q129" i="10"/>
  <c r="S129" i="10" s="1"/>
  <c r="Q164" i="10"/>
  <c r="S164" i="10" s="1"/>
  <c r="Q141" i="10"/>
  <c r="S141" i="10" s="1"/>
  <c r="Q326" i="10"/>
  <c r="R326" i="10" s="1"/>
  <c r="Q432" i="10"/>
  <c r="S432" i="10" s="1"/>
  <c r="AA153" i="10"/>
  <c r="P13" i="10"/>
  <c r="P559" i="10"/>
  <c r="P544" i="10"/>
  <c r="P543" i="10"/>
  <c r="P538" i="10"/>
  <c r="P527" i="10"/>
  <c r="P503" i="10"/>
  <c r="P506" i="10"/>
  <c r="P500" i="10"/>
  <c r="P491" i="10"/>
  <c r="P473" i="10"/>
  <c r="P484" i="10"/>
  <c r="P489" i="10"/>
  <c r="P442" i="10"/>
  <c r="P445" i="10"/>
  <c r="P444" i="10"/>
  <c r="P421" i="10"/>
  <c r="P389" i="10"/>
  <c r="P468" i="10"/>
  <c r="P433" i="10"/>
  <c r="P403" i="10"/>
  <c r="P418" i="10"/>
  <c r="P428" i="10"/>
  <c r="P396" i="10"/>
  <c r="P362" i="10"/>
  <c r="P330" i="10"/>
  <c r="P298" i="10"/>
  <c r="P266" i="10"/>
  <c r="P349" i="10"/>
  <c r="P317" i="10"/>
  <c r="P364" i="10"/>
  <c r="P332" i="10"/>
  <c r="P386" i="10"/>
  <c r="P339" i="10"/>
  <c r="P305" i="10"/>
  <c r="P273" i="10"/>
  <c r="P242" i="10"/>
  <c r="P210" i="10"/>
  <c r="P178" i="10"/>
  <c r="P288" i="10"/>
  <c r="P256" i="10"/>
  <c r="P224" i="10"/>
  <c r="P456" i="10"/>
  <c r="P231" i="10"/>
  <c r="AC231" i="10" s="1"/>
  <c r="P211" i="10"/>
  <c r="P172" i="10"/>
  <c r="P152" i="10"/>
  <c r="P132" i="10"/>
  <c r="P108" i="10"/>
  <c r="P88" i="10"/>
  <c r="P70" i="10"/>
  <c r="P195" i="10"/>
  <c r="P175" i="10"/>
  <c r="P155" i="10"/>
  <c r="P131" i="10"/>
  <c r="P111" i="10"/>
  <c r="P241" i="10"/>
  <c r="P217" i="10"/>
  <c r="P154" i="10"/>
  <c r="P134" i="10"/>
  <c r="P110" i="10"/>
  <c r="P90" i="10"/>
  <c r="P71" i="10"/>
  <c r="P83" i="10"/>
  <c r="P63" i="10"/>
  <c r="P41" i="10"/>
  <c r="P38" i="10"/>
  <c r="P189" i="10"/>
  <c r="P46" i="10"/>
  <c r="P259" i="10"/>
  <c r="P153" i="10"/>
  <c r="P133" i="10"/>
  <c r="P109" i="10"/>
  <c r="P52" i="10"/>
  <c r="P22" i="10"/>
  <c r="P287" i="10"/>
  <c r="P177" i="10"/>
  <c r="P89" i="10"/>
  <c r="P64" i="10"/>
  <c r="P30" i="10"/>
  <c r="P11" i="10"/>
  <c r="P551" i="10"/>
  <c r="P553" i="10"/>
  <c r="P536" i="10"/>
  <c r="P528" i="10"/>
  <c r="P530" i="10"/>
  <c r="P495" i="10"/>
  <c r="P529" i="10"/>
  <c r="P512" i="10"/>
  <c r="P497" i="10"/>
  <c r="P465" i="10"/>
  <c r="P476" i="10"/>
  <c r="P467" i="10"/>
  <c r="P466" i="10"/>
  <c r="P486" i="10"/>
  <c r="P436" i="10"/>
  <c r="P413" i="10"/>
  <c r="P381" i="10"/>
  <c r="P460" i="10"/>
  <c r="P427" i="10"/>
  <c r="P395" i="10"/>
  <c r="P410" i="10"/>
  <c r="P420" i="10"/>
  <c r="P388" i="10"/>
  <c r="P354" i="10"/>
  <c r="P322" i="10"/>
  <c r="P290" i="10"/>
  <c r="P258" i="10"/>
  <c r="P341" i="10"/>
  <c r="P309" i="10"/>
  <c r="P356" i="10"/>
  <c r="P324" i="10"/>
  <c r="P363" i="10"/>
  <c r="P331" i="10"/>
  <c r="P297" i="10"/>
  <c r="P265" i="10"/>
  <c r="P234" i="10"/>
  <c r="P202" i="10"/>
  <c r="P170" i="10"/>
  <c r="P280" i="10"/>
  <c r="P248" i="10"/>
  <c r="P216" i="10"/>
  <c r="P371" i="10"/>
  <c r="P227" i="10"/>
  <c r="P188" i="10"/>
  <c r="P168" i="10"/>
  <c r="P148" i="10"/>
  <c r="P124" i="10"/>
  <c r="P104" i="10"/>
  <c r="P84" i="10"/>
  <c r="P303" i="10"/>
  <c r="P191" i="10"/>
  <c r="P171" i="10"/>
  <c r="P147" i="10"/>
  <c r="P127" i="10"/>
  <c r="P107" i="10"/>
  <c r="P233" i="10"/>
  <c r="P213" i="10"/>
  <c r="P150" i="10"/>
  <c r="P126" i="10"/>
  <c r="P106" i="10"/>
  <c r="P86" i="10"/>
  <c r="P99" i="10"/>
  <c r="P79" i="10"/>
  <c r="P60" i="10"/>
  <c r="P33" i="10"/>
  <c r="P25" i="10"/>
  <c r="P185" i="10"/>
  <c r="P291" i="10"/>
  <c r="P251" i="10"/>
  <c r="P149" i="10"/>
  <c r="P125" i="10"/>
  <c r="P105" i="10"/>
  <c r="P50" i="10"/>
  <c r="P40" i="10"/>
  <c r="P271" i="10"/>
  <c r="P169" i="10"/>
  <c r="P81" i="10"/>
  <c r="P62" i="10"/>
  <c r="P295" i="10"/>
  <c r="AA424" i="10"/>
  <c r="AB424" i="10"/>
  <c r="AB472" i="10"/>
  <c r="AA472" i="10"/>
  <c r="AA310" i="10"/>
  <c r="AB310" i="10"/>
  <c r="AA198" i="10"/>
  <c r="AB198" i="10"/>
  <c r="Q526" i="10"/>
  <c r="S526" i="10" s="1"/>
  <c r="Q85" i="10"/>
  <c r="S85" i="10" s="1"/>
  <c r="Q69" i="10"/>
  <c r="R69" i="10" s="1"/>
  <c r="Q412" i="10"/>
  <c r="S412" i="10" s="1"/>
  <c r="Q317" i="10"/>
  <c r="R317" i="10" s="1"/>
  <c r="Q272" i="10"/>
  <c r="S272" i="10" s="1"/>
  <c r="Q110" i="10"/>
  <c r="R110" i="10" s="1"/>
  <c r="Q509" i="10"/>
  <c r="S509" i="10" s="1"/>
  <c r="Q340" i="10"/>
  <c r="Q77" i="10"/>
  <c r="R77" i="10" s="1"/>
  <c r="Q543" i="10"/>
  <c r="S543" i="10" s="1"/>
  <c r="Q534" i="10"/>
  <c r="Q426" i="10"/>
  <c r="Q301" i="10"/>
  <c r="S301" i="10" s="1"/>
  <c r="Q113" i="10"/>
  <c r="R113" i="10" s="1"/>
  <c r="Q58" i="10"/>
  <c r="Q180" i="10"/>
  <c r="R180" i="10" s="1"/>
  <c r="Q157" i="10"/>
  <c r="S157" i="10" s="1"/>
  <c r="Q259" i="10"/>
  <c r="R259" i="10" s="1"/>
  <c r="Q342" i="10"/>
  <c r="Q335" i="10"/>
  <c r="Q437" i="10"/>
  <c r="S437" i="10" s="1"/>
  <c r="Q478" i="10"/>
  <c r="R478" i="10" s="1"/>
  <c r="Q552" i="10"/>
  <c r="P24" i="10"/>
  <c r="P53" i="10"/>
  <c r="P255" i="10"/>
  <c r="P77" i="10"/>
  <c r="P247" i="10"/>
  <c r="P35" i="10"/>
  <c r="P121" i="10"/>
  <c r="P201" i="10"/>
  <c r="P59" i="10"/>
  <c r="P31" i="10"/>
  <c r="P75" i="10"/>
  <c r="P78" i="10"/>
  <c r="P122" i="10"/>
  <c r="P209" i="10"/>
  <c r="P375" i="10"/>
  <c r="P143" i="10"/>
  <c r="P187" i="10"/>
  <c r="P76" i="10"/>
  <c r="P120" i="10"/>
  <c r="P164" i="10"/>
  <c r="P219" i="10"/>
  <c r="P208" i="10"/>
  <c r="P272" i="10"/>
  <c r="P194" i="10"/>
  <c r="P257" i="10"/>
  <c r="P323" i="10"/>
  <c r="P316" i="10"/>
  <c r="P378" i="10"/>
  <c r="P250" i="10"/>
  <c r="P314" i="10"/>
  <c r="P380" i="10"/>
  <c r="P402" i="10"/>
  <c r="P419" i="10"/>
  <c r="P373" i="10"/>
  <c r="P438" i="10"/>
  <c r="P458" i="10"/>
  <c r="P490" i="10"/>
  <c r="P488" i="10"/>
  <c r="P513" i="10"/>
  <c r="P522" i="10"/>
  <c r="P542" i="10"/>
  <c r="P554" i="10"/>
  <c r="Q222" i="10"/>
  <c r="R222" i="10" s="1"/>
  <c r="Q420" i="10"/>
  <c r="S420" i="10" s="1"/>
  <c r="Q280" i="10"/>
  <c r="S280" i="10" s="1"/>
  <c r="Q522" i="10"/>
  <c r="R522" i="10" s="1"/>
  <c r="Q93" i="10"/>
  <c r="R93" i="10" s="1"/>
  <c r="Q510" i="10"/>
  <c r="R510" i="10" s="1"/>
  <c r="Q304" i="10"/>
  <c r="Q33" i="10"/>
  <c r="R33" i="10" s="1"/>
  <c r="Q251" i="10"/>
  <c r="S251" i="10" s="1"/>
  <c r="Q319" i="10"/>
  <c r="S319" i="10" s="1"/>
  <c r="Q462" i="10"/>
  <c r="S462" i="10" s="1"/>
  <c r="Q556" i="10"/>
  <c r="Q380" i="10"/>
  <c r="R380" i="10" s="1"/>
  <c r="Q182" i="10"/>
  <c r="S182" i="10" s="1"/>
  <c r="Q516" i="10"/>
  <c r="S516" i="10" s="1"/>
  <c r="Q393" i="10"/>
  <c r="R393" i="10" s="1"/>
  <c r="Q197" i="10"/>
  <c r="S197" i="10" s="1"/>
  <c r="Q73" i="10"/>
  <c r="S73" i="10" s="1"/>
  <c r="Q413" i="10"/>
  <c r="S413" i="10" s="1"/>
  <c r="Q475" i="10"/>
  <c r="R475" i="10" s="1"/>
  <c r="Q202" i="10"/>
  <c r="S202" i="10" s="1"/>
  <c r="Q138" i="10"/>
  <c r="R138" i="10" s="1"/>
  <c r="Q364" i="10"/>
  <c r="Q471" i="10"/>
  <c r="R471" i="10" s="1"/>
  <c r="Q361" i="10"/>
  <c r="S361" i="10" s="1"/>
  <c r="Q253" i="10"/>
  <c r="Q118" i="10"/>
  <c r="R118" i="10" s="1"/>
  <c r="Q100" i="10"/>
  <c r="R100" i="10" s="1"/>
  <c r="Q244" i="10"/>
  <c r="R244" i="10" s="1"/>
  <c r="Q111" i="10"/>
  <c r="R111" i="10" s="1"/>
  <c r="Q283" i="10"/>
  <c r="S283" i="10" s="1"/>
  <c r="Q215" i="10"/>
  <c r="R215" i="10" s="1"/>
  <c r="Q382" i="10"/>
  <c r="R382" i="10" s="1"/>
  <c r="Q422" i="10"/>
  <c r="S422" i="10" s="1"/>
  <c r="Q503" i="10"/>
  <c r="P26" i="10"/>
  <c r="P165" i="10"/>
  <c r="P47" i="10"/>
  <c r="P93" i="10"/>
  <c r="P34" i="10"/>
  <c r="P54" i="10"/>
  <c r="P137" i="10"/>
  <c r="P275" i="10"/>
  <c r="P279" i="10"/>
  <c r="P43" i="10"/>
  <c r="P91" i="10"/>
  <c r="P94" i="10"/>
  <c r="P138" i="10"/>
  <c r="P225" i="10"/>
  <c r="P115" i="10"/>
  <c r="P159" i="10"/>
  <c r="P203" i="10"/>
  <c r="P92" i="10"/>
  <c r="P136" i="10"/>
  <c r="P180" i="10"/>
  <c r="AC180" i="10" s="1"/>
  <c r="P235" i="10"/>
  <c r="P232" i="10"/>
  <c r="P296" i="10"/>
  <c r="P218" i="10"/>
  <c r="P281" i="10"/>
  <c r="P347" i="10"/>
  <c r="P340" i="10"/>
  <c r="P325" i="10"/>
  <c r="P274" i="10"/>
  <c r="P338" i="10"/>
  <c r="P404" i="10"/>
  <c r="P426" i="10"/>
  <c r="AC426" i="10" s="1"/>
  <c r="P439" i="10"/>
  <c r="P397" i="10"/>
  <c r="P452" i="10"/>
  <c r="P450" i="10"/>
  <c r="P501" i="10"/>
  <c r="P498" i="10"/>
  <c r="P514" i="10"/>
  <c r="P537" i="10"/>
  <c r="P550" i="10"/>
  <c r="AB555" i="10"/>
  <c r="P8" i="10"/>
  <c r="P7" i="10"/>
  <c r="P555" i="10"/>
  <c r="P560" i="10"/>
  <c r="P540" i="10"/>
  <c r="P552" i="10"/>
  <c r="P539" i="10"/>
  <c r="P549" i="10"/>
  <c r="P534" i="10"/>
  <c r="P516" i="10"/>
  <c r="P531" i="10"/>
  <c r="P518" i="10"/>
  <c r="P499" i="10"/>
  <c r="P517" i="10"/>
  <c r="P533" i="10"/>
  <c r="P509" i="10"/>
  <c r="P496" i="10"/>
  <c r="P502" i="10"/>
  <c r="P487" i="10"/>
  <c r="P485" i="10"/>
  <c r="P469" i="10"/>
  <c r="P504" i="10"/>
  <c r="P480" i="10"/>
  <c r="P483" i="10"/>
  <c r="P471" i="10"/>
  <c r="P455" i="10"/>
  <c r="P470" i="10"/>
  <c r="P454" i="10"/>
  <c r="P441" i="10"/>
  <c r="P474" i="10"/>
  <c r="P440" i="10"/>
  <c r="P435" i="10"/>
  <c r="P417" i="10"/>
  <c r="P401" i="10"/>
  <c r="P385" i="10"/>
  <c r="P369" i="10"/>
  <c r="P464" i="10"/>
  <c r="P443" i="10"/>
  <c r="P431" i="10"/>
  <c r="P415" i="10"/>
  <c r="P399" i="10"/>
  <c r="P430" i="10"/>
  <c r="P414" i="10"/>
  <c r="P398" i="10"/>
  <c r="P424" i="10"/>
  <c r="P408" i="10"/>
  <c r="P392" i="10"/>
  <c r="P376" i="10"/>
  <c r="P358" i="10"/>
  <c r="P342" i="10"/>
  <c r="P326" i="10"/>
  <c r="P310" i="10"/>
  <c r="P294" i="10"/>
  <c r="P278" i="10"/>
  <c r="P262" i="10"/>
  <c r="P246" i="10"/>
  <c r="P345" i="10"/>
  <c r="P329" i="10"/>
  <c r="P313" i="10"/>
  <c r="P374" i="10"/>
  <c r="P360" i="10"/>
  <c r="P344" i="10"/>
  <c r="P328" i="10"/>
  <c r="P312" i="10"/>
  <c r="P367" i="10"/>
  <c r="P351" i="10"/>
  <c r="P335" i="10"/>
  <c r="P319" i="10"/>
  <c r="P301" i="10"/>
  <c r="P285" i="10"/>
  <c r="P269" i="10"/>
  <c r="P253" i="10"/>
  <c r="P238" i="10"/>
  <c r="P222" i="10"/>
  <c r="P206" i="10"/>
  <c r="P190" i="10"/>
  <c r="P174" i="10"/>
  <c r="P300" i="10"/>
  <c r="P284" i="10"/>
  <c r="P268" i="10"/>
  <c r="P252" i="10"/>
  <c r="P236" i="10"/>
  <c r="P220" i="10"/>
  <c r="P204" i="10"/>
  <c r="P379" i="10"/>
  <c r="P239" i="10"/>
  <c r="P223" i="10"/>
  <c r="P192" i="10"/>
  <c r="P176" i="10"/>
  <c r="P160" i="10"/>
  <c r="P144" i="10"/>
  <c r="P128" i="10"/>
  <c r="P112" i="10"/>
  <c r="P96" i="10"/>
  <c r="P80" i="10"/>
  <c r="P68" i="10"/>
  <c r="P199" i="10"/>
  <c r="P183" i="10"/>
  <c r="P167" i="10"/>
  <c r="P151" i="10"/>
  <c r="P135" i="10"/>
  <c r="P119" i="10"/>
  <c r="P103" i="10"/>
  <c r="P237" i="10"/>
  <c r="P221" i="10"/>
  <c r="P162" i="10"/>
  <c r="P146" i="10"/>
  <c r="P130" i="10"/>
  <c r="P114" i="10"/>
  <c r="P98" i="10"/>
  <c r="P82" i="10"/>
  <c r="P69" i="10"/>
  <c r="P87" i="10"/>
  <c r="P67" i="10"/>
  <c r="P58" i="10"/>
  <c r="P39" i="10"/>
  <c r="P21" i="10"/>
  <c r="P61" i="10"/>
  <c r="P299" i="10"/>
  <c r="P267" i="10"/>
  <c r="P161" i="10"/>
  <c r="P145" i="10"/>
  <c r="P129" i="10"/>
  <c r="P113" i="10"/>
  <c r="P57" i="10"/>
  <c r="P45" i="10"/>
  <c r="P42" i="10"/>
  <c r="P32" i="10"/>
  <c r="P205" i="10"/>
  <c r="P44" i="10"/>
  <c r="P85" i="10"/>
  <c r="P66" i="10"/>
  <c r="P49" i="10"/>
  <c r="P263" i="10"/>
  <c r="P173" i="10"/>
  <c r="P36" i="10"/>
  <c r="P20" i="10"/>
  <c r="P10" i="10"/>
  <c r="P12" i="10"/>
  <c r="P558" i="10"/>
  <c r="P548" i="10"/>
  <c r="P547" i="10"/>
  <c r="P546" i="10"/>
  <c r="P532" i="10"/>
  <c r="P541" i="10"/>
  <c r="P524" i="10"/>
  <c r="P535" i="10"/>
  <c r="P526" i="10"/>
  <c r="P507" i="10"/>
  <c r="P523" i="10"/>
  <c r="P510" i="10"/>
  <c r="P525" i="10"/>
  <c r="P515" i="10"/>
  <c r="P508" i="10"/>
  <c r="P494" i="10"/>
  <c r="P492" i="10"/>
  <c r="P477" i="10"/>
  <c r="P461" i="10"/>
  <c r="P493" i="10"/>
  <c r="P472" i="10"/>
  <c r="P475" i="10"/>
  <c r="P463" i="10"/>
  <c r="P446" i="10"/>
  <c r="P462" i="10"/>
  <c r="P449" i="10"/>
  <c r="P482" i="10"/>
  <c r="P448" i="10"/>
  <c r="P432" i="10"/>
  <c r="P425" i="10"/>
  <c r="P409" i="10"/>
  <c r="P393" i="10"/>
  <c r="P377" i="10"/>
  <c r="P361" i="10"/>
  <c r="P451" i="10"/>
  <c r="P437" i="10"/>
  <c r="P423" i="10"/>
  <c r="P407" i="10"/>
  <c r="P391" i="10"/>
  <c r="P422" i="10"/>
  <c r="P406" i="10"/>
  <c r="P390" i="10"/>
  <c r="P416" i="10"/>
  <c r="P400" i="10"/>
  <c r="P384" i="10"/>
  <c r="P366" i="10"/>
  <c r="P350" i="10"/>
  <c r="P334" i="10"/>
  <c r="P318" i="10"/>
  <c r="P302" i="10"/>
  <c r="P286" i="10"/>
  <c r="P270" i="10"/>
  <c r="P254" i="10"/>
  <c r="P353" i="10"/>
  <c r="P337" i="10"/>
  <c r="P321" i="10"/>
  <c r="P382" i="10"/>
  <c r="P368" i="10"/>
  <c r="P352" i="10"/>
  <c r="P336" i="10"/>
  <c r="P320" i="10"/>
  <c r="P434" i="10"/>
  <c r="P359" i="10"/>
  <c r="P343" i="10"/>
  <c r="P327" i="10"/>
  <c r="P311" i="10"/>
  <c r="P293" i="10"/>
  <c r="P277" i="10"/>
  <c r="P261" i="10"/>
  <c r="P245" i="10"/>
  <c r="P230" i="10"/>
  <c r="P214" i="10"/>
  <c r="P198" i="10"/>
  <c r="P182" i="10"/>
  <c r="P166" i="10"/>
  <c r="P292" i="10"/>
  <c r="P276" i="10"/>
  <c r="P260" i="10"/>
  <c r="P244" i="10"/>
  <c r="P228" i="10"/>
  <c r="P212" i="10"/>
  <c r="P196" i="10"/>
  <c r="P383" i="10"/>
  <c r="Q553" i="10"/>
  <c r="Q430" i="10"/>
  <c r="Q159" i="10"/>
  <c r="S159" i="10" s="1"/>
  <c r="Q62" i="10"/>
  <c r="S62" i="10" s="1"/>
  <c r="Q130" i="10"/>
  <c r="Q533" i="10"/>
  <c r="R533" i="10" s="1"/>
  <c r="Q472" i="10"/>
  <c r="S472" i="10" s="1"/>
  <c r="Q448" i="10"/>
  <c r="S448" i="10" s="1"/>
  <c r="Q349" i="10"/>
  <c r="Q312" i="10"/>
  <c r="Q147" i="10"/>
  <c r="S147" i="10" s="1"/>
  <c r="Q234" i="10"/>
  <c r="S234" i="10" s="1"/>
  <c r="Q196" i="10"/>
  <c r="Q37" i="10"/>
  <c r="Q523" i="10"/>
  <c r="S523" i="10" s="1"/>
  <c r="Q493" i="10"/>
  <c r="S493" i="10" s="1"/>
  <c r="Q372" i="10"/>
  <c r="R372" i="10" s="1"/>
  <c r="Q225" i="10"/>
  <c r="Q230" i="10"/>
  <c r="S230" i="10" s="1"/>
  <c r="Q178" i="10"/>
  <c r="Q200" i="10"/>
  <c r="Q443" i="10"/>
  <c r="Q201" i="10"/>
  <c r="S201" i="10" s="1"/>
  <c r="Q480" i="10"/>
  <c r="R480" i="10" s="1"/>
  <c r="Q400" i="10"/>
  <c r="Q401" i="10"/>
  <c r="R401" i="10" s="1"/>
  <c r="Q320" i="10"/>
  <c r="Q269" i="10"/>
  <c r="S269" i="10" s="1"/>
  <c r="Q252" i="10"/>
  <c r="Q35" i="10"/>
  <c r="O11" i="10"/>
  <c r="Q11" i="10" s="1"/>
  <c r="Q53" i="10"/>
  <c r="Q148" i="10"/>
  <c r="Q228" i="10"/>
  <c r="S228" i="10" s="1"/>
  <c r="Q88" i="10"/>
  <c r="Q95" i="10"/>
  <c r="Q191" i="10"/>
  <c r="Q275" i="10"/>
  <c r="R275" i="10" s="1"/>
  <c r="Q310" i="10"/>
  <c r="R310" i="10" s="1"/>
  <c r="Q199" i="10"/>
  <c r="S199" i="10" s="1"/>
  <c r="Q481" i="10"/>
  <c r="R481" i="10" s="1"/>
  <c r="Q367" i="10"/>
  <c r="R367" i="10" s="1"/>
  <c r="Q442" i="10"/>
  <c r="R442" i="10" s="1"/>
  <c r="Q406" i="10"/>
  <c r="Q449" i="10"/>
  <c r="Q500" i="10"/>
  <c r="Q10" i="10"/>
  <c r="R10" i="10" s="1"/>
  <c r="Q7" i="10"/>
  <c r="Q559" i="10"/>
  <c r="Q560" i="10"/>
  <c r="R560" i="10" s="1"/>
  <c r="Q537" i="10"/>
  <c r="S537" i="10" s="1"/>
  <c r="Q536" i="10"/>
  <c r="R536" i="10" s="1"/>
  <c r="Q517" i="10"/>
  <c r="Q507" i="10"/>
  <c r="Q524" i="10"/>
  <c r="S524" i="10" s="1"/>
  <c r="Q528" i="10"/>
  <c r="R528" i="10" s="1"/>
  <c r="Q482" i="10"/>
  <c r="Q466" i="10"/>
  <c r="Q453" i="10"/>
  <c r="S453" i="10" s="1"/>
  <c r="Q495" i="10"/>
  <c r="S495" i="10" s="1"/>
  <c r="Q459" i="10"/>
  <c r="Q492" i="10"/>
  <c r="Q410" i="10"/>
  <c r="S410" i="10" s="1"/>
  <c r="Q394" i="10"/>
  <c r="S394" i="10" s="1"/>
  <c r="Q477" i="10"/>
  <c r="Q436" i="10"/>
  <c r="R436" i="10" s="1"/>
  <c r="Q446" i="10"/>
  <c r="S446" i="10" s="1"/>
  <c r="Q423" i="10"/>
  <c r="Q407" i="10"/>
  <c r="Q391" i="10"/>
  <c r="Q370" i="10"/>
  <c r="S370" i="10" s="1"/>
  <c r="Q355" i="10"/>
  <c r="R355" i="10" s="1"/>
  <c r="Q339" i="10"/>
  <c r="Q323" i="10"/>
  <c r="Q306" i="10"/>
  <c r="R306" i="10" s="1"/>
  <c r="Q375" i="10"/>
  <c r="R375" i="10" s="1"/>
  <c r="Q235" i="10"/>
  <c r="Q219" i="10"/>
  <c r="R219" i="10" s="1"/>
  <c r="Q203" i="10"/>
  <c r="Q362" i="10"/>
  <c r="Q346" i="10"/>
  <c r="Q330" i="10"/>
  <c r="Q314" i="10"/>
  <c r="Q302" i="10"/>
  <c r="Q294" i="10"/>
  <c r="Q286" i="10"/>
  <c r="Q278" i="10"/>
  <c r="Q270" i="10"/>
  <c r="R270" i="10" s="1"/>
  <c r="Q262" i="10"/>
  <c r="S262" i="10" s="1"/>
  <c r="Q254" i="10"/>
  <c r="S254" i="10" s="1"/>
  <c r="Q246" i="10"/>
  <c r="S246" i="10" s="1"/>
  <c r="Q179" i="10"/>
  <c r="S179" i="10" s="1"/>
  <c r="Q131" i="10"/>
  <c r="Q115" i="10"/>
  <c r="Q99" i="10"/>
  <c r="S99" i="10" s="1"/>
  <c r="Q83" i="10"/>
  <c r="S83" i="10" s="1"/>
  <c r="Q161" i="10"/>
  <c r="Q145" i="10"/>
  <c r="S145" i="10" s="1"/>
  <c r="Q20" i="10"/>
  <c r="S20" i="10" s="1"/>
  <c r="Q63" i="10"/>
  <c r="Q24" i="10"/>
  <c r="S24" i="10" s="1"/>
  <c r="Q72" i="10"/>
  <c r="Q232" i="10"/>
  <c r="R232" i="10" s="1"/>
  <c r="Q216" i="10"/>
  <c r="S216" i="10" s="1"/>
  <c r="Q184" i="10"/>
  <c r="Q168" i="10"/>
  <c r="R168" i="10" s="1"/>
  <c r="Q152" i="10"/>
  <c r="S152" i="10" s="1"/>
  <c r="Q136" i="10"/>
  <c r="Q120" i="10"/>
  <c r="Q104" i="10"/>
  <c r="S104" i="10" s="1"/>
  <c r="Q55" i="10"/>
  <c r="B43" i="10"/>
  <c r="Q68" i="10"/>
  <c r="S68" i="10" s="1"/>
  <c r="Q39" i="10"/>
  <c r="Q19" i="10"/>
  <c r="R19" i="10" s="1"/>
  <c r="Q30" i="10"/>
  <c r="Q49" i="10"/>
  <c r="Q102" i="10"/>
  <c r="Q28" i="10"/>
  <c r="Q81" i="10"/>
  <c r="S81" i="10" s="1"/>
  <c r="Q109" i="10"/>
  <c r="Q125" i="10"/>
  <c r="S125" i="10" s="1"/>
  <c r="Q242" i="10"/>
  <c r="Q276" i="10"/>
  <c r="Q155" i="10"/>
  <c r="Q249" i="10"/>
  <c r="Q265" i="10"/>
  <c r="R265" i="10" s="1"/>
  <c r="Q281" i="10"/>
  <c r="S281" i="10" s="1"/>
  <c r="Q297" i="10"/>
  <c r="R297" i="10" s="1"/>
  <c r="Q387" i="10"/>
  <c r="Q237" i="10"/>
  <c r="S237" i="10" s="1"/>
  <c r="Q313" i="10"/>
  <c r="R313" i="10" s="1"/>
  <c r="Q345" i="10"/>
  <c r="Q385" i="10"/>
  <c r="S385" i="10" s="1"/>
  <c r="Q457" i="10"/>
  <c r="R457" i="10" s="1"/>
  <c r="Q392" i="10"/>
  <c r="S392" i="10" s="1"/>
  <c r="Q424" i="10"/>
  <c r="R424" i="10" s="1"/>
  <c r="Q491" i="10"/>
  <c r="Q530" i="10"/>
  <c r="S530" i="10" s="1"/>
  <c r="Q177" i="10"/>
  <c r="R177" i="10" s="1"/>
  <c r="Q332" i="10"/>
  <c r="Q452" i="10"/>
  <c r="Q532" i="10"/>
  <c r="S532" i="10" s="1"/>
  <c r="Q42" i="10"/>
  <c r="R42" i="10" s="1"/>
  <c r="Q106" i="10"/>
  <c r="S106" i="10" s="1"/>
  <c r="Q170" i="10"/>
  <c r="Q71" i="10"/>
  <c r="S71" i="10" s="1"/>
  <c r="Q214" i="10"/>
  <c r="Q169" i="10"/>
  <c r="Q209" i="10"/>
  <c r="Q324" i="10"/>
  <c r="S324" i="10" s="1"/>
  <c r="Q368" i="10"/>
  <c r="S368" i="10" s="1"/>
  <c r="Q421" i="10"/>
  <c r="S421" i="10" s="1"/>
  <c r="Q494" i="10"/>
  <c r="Q476" i="10"/>
  <c r="R476" i="10" s="1"/>
  <c r="Q538" i="10"/>
  <c r="Q198" i="10"/>
  <c r="Q490" i="10"/>
  <c r="S490" i="10" s="1"/>
  <c r="Q86" i="10"/>
  <c r="S86" i="10" s="1"/>
  <c r="Q158" i="10"/>
  <c r="R158" i="10" s="1"/>
  <c r="Q50" i="10"/>
  <c r="R50" i="10" s="1"/>
  <c r="Q218" i="10"/>
  <c r="R218" i="10" s="1"/>
  <c r="Q264" i="10"/>
  <c r="S264" i="10" s="1"/>
  <c r="Q296" i="10"/>
  <c r="Q189" i="10"/>
  <c r="Q229" i="10"/>
  <c r="S229" i="10" s="1"/>
  <c r="Q309" i="10"/>
  <c r="R309" i="10" s="1"/>
  <c r="Q341" i="10"/>
  <c r="S341" i="10" s="1"/>
  <c r="Q376" i="10"/>
  <c r="R376" i="10" s="1"/>
  <c r="Q425" i="10"/>
  <c r="S425" i="10" s="1"/>
  <c r="Q404" i="10"/>
  <c r="R404" i="10" s="1"/>
  <c r="Q456" i="10"/>
  <c r="Q506" i="10"/>
  <c r="Q551" i="10"/>
  <c r="S551" i="10" s="1"/>
  <c r="Q27" i="10"/>
  <c r="S27" i="10" s="1"/>
  <c r="Q114" i="10"/>
  <c r="Q166" i="10"/>
  <c r="Q204" i="10"/>
  <c r="S204" i="10" s="1"/>
  <c r="Q45" i="10"/>
  <c r="R45" i="10" s="1"/>
  <c r="Q143" i="10"/>
  <c r="Q217" i="10"/>
  <c r="Q469" i="10"/>
  <c r="Q460" i="10"/>
  <c r="R460" i="10" s="1"/>
  <c r="Q542" i="10"/>
  <c r="R542" i="10" s="1"/>
  <c r="Q12" i="10"/>
  <c r="Q549" i="10"/>
  <c r="Q541" i="10"/>
  <c r="Q540" i="10"/>
  <c r="Q525" i="10"/>
  <c r="R525" i="10" s="1"/>
  <c r="Q512" i="10"/>
  <c r="Q499" i="10"/>
  <c r="Q511" i="10"/>
  <c r="R511" i="10" s="1"/>
  <c r="Q489" i="10"/>
  <c r="Q474" i="10"/>
  <c r="Q458" i="10"/>
  <c r="Q445" i="10"/>
  <c r="R445" i="10" s="1"/>
  <c r="Q467" i="10"/>
  <c r="Q434" i="10"/>
  <c r="R434" i="10" s="1"/>
  <c r="Q418" i="10"/>
  <c r="R418" i="10" s="1"/>
  <c r="Q402" i="10"/>
  <c r="S402" i="10" s="1"/>
  <c r="Q386" i="10"/>
  <c r="Q433" i="10"/>
  <c r="Q473" i="10"/>
  <c r="Q431" i="10"/>
  <c r="R431" i="10" s="1"/>
  <c r="Q415" i="10"/>
  <c r="Q399" i="10"/>
  <c r="Q378" i="10"/>
  <c r="Q363" i="10"/>
  <c r="Q347" i="10"/>
  <c r="Q331" i="10"/>
  <c r="Q315" i="10"/>
  <c r="Q383" i="10"/>
  <c r="S383" i="10" s="1"/>
  <c r="Q243" i="10"/>
  <c r="Q227" i="10"/>
  <c r="S227" i="10" s="1"/>
  <c r="Q211" i="10"/>
  <c r="Q195" i="10"/>
  <c r="S195" i="10" s="1"/>
  <c r="Q354" i="10"/>
  <c r="Q338" i="10"/>
  <c r="Q322" i="10"/>
  <c r="R322" i="10" s="1"/>
  <c r="Q307" i="10"/>
  <c r="S307" i="10" s="1"/>
  <c r="Q298" i="10"/>
  <c r="R298" i="10" s="1"/>
  <c r="Q290" i="10"/>
  <c r="Q282" i="10"/>
  <c r="R282" i="10" s="1"/>
  <c r="Q274" i="10"/>
  <c r="Q266" i="10"/>
  <c r="R266" i="10" s="1"/>
  <c r="Q258" i="10"/>
  <c r="Q250" i="10"/>
  <c r="Q187" i="10"/>
  <c r="R187" i="10" s="1"/>
  <c r="Q171" i="10"/>
  <c r="Q123" i="10"/>
  <c r="Q107" i="10"/>
  <c r="R107" i="10" s="1"/>
  <c r="Q91" i="10"/>
  <c r="S91" i="10" s="1"/>
  <c r="Q75" i="10"/>
  <c r="Q153" i="10"/>
  <c r="Q137" i="10"/>
  <c r="Q84" i="10"/>
  <c r="R84" i="10" s="1"/>
  <c r="Q48" i="10"/>
  <c r="Q80" i="10"/>
  <c r="Q240" i="10"/>
  <c r="S240" i="10" s="1"/>
  <c r="Q224" i="10"/>
  <c r="Q192" i="10"/>
  <c r="Q176" i="10"/>
  <c r="S176" i="10" s="1"/>
  <c r="Q160" i="10"/>
  <c r="Q144" i="10"/>
  <c r="R144" i="10" s="1"/>
  <c r="Q128" i="10"/>
  <c r="Q112" i="10"/>
  <c r="S112" i="10" s="1"/>
  <c r="Q61" i="10"/>
  <c r="S61" i="10" s="1"/>
  <c r="Q51" i="10"/>
  <c r="Q29" i="10"/>
  <c r="S29" i="10" s="1"/>
  <c r="Q43" i="10"/>
  <c r="Q31" i="10"/>
  <c r="R31" i="10" s="1"/>
  <c r="Q40" i="10"/>
  <c r="S40" i="10" s="1"/>
  <c r="Q66" i="10"/>
  <c r="Q78" i="10"/>
  <c r="S78" i="10" s="1"/>
  <c r="Q134" i="10"/>
  <c r="S134" i="10" s="1"/>
  <c r="Q52" i="10"/>
  <c r="S52" i="10" s="1"/>
  <c r="Q101" i="10"/>
  <c r="Q117" i="10"/>
  <c r="Q210" i="10"/>
  <c r="S210" i="10" s="1"/>
  <c r="Q260" i="10"/>
  <c r="R260" i="10" s="1"/>
  <c r="Q292" i="10"/>
  <c r="Q181" i="10"/>
  <c r="Q257" i="10"/>
  <c r="Q273" i="10"/>
  <c r="R273" i="10" s="1"/>
  <c r="Q289" i="10"/>
  <c r="R289" i="10" s="1"/>
  <c r="Q305" i="10"/>
  <c r="Q205" i="10"/>
  <c r="R205" i="10" s="1"/>
  <c r="Q336" i="10"/>
  <c r="S336" i="10" s="1"/>
  <c r="Q329" i="10"/>
  <c r="Q8" i="10"/>
  <c r="Q545" i="10"/>
  <c r="S545" i="10" s="1"/>
  <c r="Q555" i="10"/>
  <c r="S555" i="10" s="1"/>
  <c r="Q531" i="10"/>
  <c r="R531" i="10" s="1"/>
  <c r="Q521" i="10"/>
  <c r="S521" i="10" s="1"/>
  <c r="Q508" i="10"/>
  <c r="Q504" i="10"/>
  <c r="S504" i="10" s="1"/>
  <c r="Q496" i="10"/>
  <c r="Q486" i="10"/>
  <c r="R486" i="10" s="1"/>
  <c r="Q470" i="10"/>
  <c r="R470" i="10" s="1"/>
  <c r="Q454" i="10"/>
  <c r="S454" i="10" s="1"/>
  <c r="Q441" i="10"/>
  <c r="Q463" i="10"/>
  <c r="Q428" i="10"/>
  <c r="Q414" i="10"/>
  <c r="R414" i="10" s="1"/>
  <c r="Q398" i="10"/>
  <c r="Q485" i="10"/>
  <c r="Q438" i="10"/>
  <c r="R438" i="10" s="1"/>
  <c r="Q450" i="10"/>
  <c r="R450" i="10" s="1"/>
  <c r="Q427" i="10"/>
  <c r="Q411" i="10"/>
  <c r="Q395" i="10"/>
  <c r="Q374" i="10"/>
  <c r="R374" i="10" s="1"/>
  <c r="Q359" i="10"/>
  <c r="S359" i="10" s="1"/>
  <c r="Q343" i="10"/>
  <c r="S343" i="10" s="1"/>
  <c r="Q327" i="10"/>
  <c r="S327" i="10" s="1"/>
  <c r="Q311" i="10"/>
  <c r="S311" i="10" s="1"/>
  <c r="Q379" i="10"/>
  <c r="Q239" i="10"/>
  <c r="S239" i="10" s="1"/>
  <c r="Q223" i="10"/>
  <c r="Q207" i="10"/>
  <c r="S207" i="10" s="1"/>
  <c r="Q366" i="10"/>
  <c r="S366" i="10" s="1"/>
  <c r="Q350" i="10"/>
  <c r="R350" i="10" s="1"/>
  <c r="Q334" i="10"/>
  <c r="S334" i="10" s="1"/>
  <c r="Q318" i="10"/>
  <c r="Q303" i="10"/>
  <c r="Q295" i="10"/>
  <c r="Q287" i="10"/>
  <c r="R287" i="10" s="1"/>
  <c r="Q279" i="10"/>
  <c r="Q271" i="10"/>
  <c r="S271" i="10" s="1"/>
  <c r="Q263" i="10"/>
  <c r="Q255" i="10"/>
  <c r="R255" i="10" s="1"/>
  <c r="Q247" i="10"/>
  <c r="R247" i="10" s="1"/>
  <c r="Q183" i="10"/>
  <c r="Q167" i="10"/>
  <c r="S167" i="10" s="1"/>
  <c r="Q119" i="10"/>
  <c r="R119" i="10" s="1"/>
  <c r="Q103" i="10"/>
  <c r="S103" i="10" s="1"/>
  <c r="Q87" i="10"/>
  <c r="Q67" i="10"/>
  <c r="S67" i="10" s="1"/>
  <c r="Q149" i="10"/>
  <c r="S149" i="10" s="1"/>
  <c r="Q44" i="10"/>
  <c r="S44" i="10" s="1"/>
  <c r="Q65" i="10"/>
  <c r="Q26" i="10"/>
  <c r="R26" i="10" s="1"/>
  <c r="Q76" i="10"/>
  <c r="Q236" i="10"/>
  <c r="Q220" i="10"/>
  <c r="Q188" i="10"/>
  <c r="Q172" i="10"/>
  <c r="Q156" i="10"/>
  <c r="R156" i="10" s="1"/>
  <c r="Q140" i="10"/>
  <c r="Q124" i="10"/>
  <c r="Q108" i="10"/>
  <c r="AC108" i="10" s="1"/>
  <c r="Q59" i="10"/>
  <c r="Q46" i="10"/>
  <c r="S46" i="10" s="1"/>
  <c r="Q96" i="10"/>
  <c r="Q41" i="10"/>
  <c r="Q23" i="10"/>
  <c r="R23" i="10" s="1"/>
  <c r="Q21" i="10"/>
  <c r="S21" i="10" s="1"/>
  <c r="Q47" i="10"/>
  <c r="Q94" i="10"/>
  <c r="R94" i="10" s="1"/>
  <c r="Q150" i="10"/>
  <c r="S150" i="10" s="1"/>
  <c r="Q57" i="10"/>
  <c r="Q105" i="10"/>
  <c r="R105" i="10" s="1"/>
  <c r="Q121" i="10"/>
  <c r="Q226" i="10"/>
  <c r="S226" i="10" s="1"/>
  <c r="Q268" i="10"/>
  <c r="Q139" i="10"/>
  <c r="Q245" i="10"/>
  <c r="AC245" i="10" s="1"/>
  <c r="Q261" i="10"/>
  <c r="S261" i="10" s="1"/>
  <c r="Q277" i="10"/>
  <c r="R277" i="10" s="1"/>
  <c r="Q293" i="10"/>
  <c r="S293" i="10" s="1"/>
  <c r="Q381" i="10"/>
  <c r="S381" i="10" s="1"/>
  <c r="Q221" i="10"/>
  <c r="Q352" i="10"/>
  <c r="S352" i="10" s="1"/>
  <c r="Q337" i="10"/>
  <c r="Q435" i="10"/>
  <c r="S435" i="10" s="1"/>
  <c r="Q461" i="10"/>
  <c r="R461" i="10" s="1"/>
  <c r="Q384" i="10"/>
  <c r="Q416" i="10"/>
  <c r="Q464" i="10"/>
  <c r="Q520" i="10"/>
  <c r="Q527" i="10"/>
  <c r="Q316" i="10"/>
  <c r="R316" i="10" s="1"/>
  <c r="Q397" i="10"/>
  <c r="R397" i="10" s="1"/>
  <c r="Q484" i="10"/>
  <c r="S484" i="10" s="1"/>
  <c r="Q32" i="10"/>
  <c r="Q90" i="10"/>
  <c r="Q154" i="10"/>
  <c r="R154" i="10" s="1"/>
  <c r="Q194" i="10"/>
  <c r="Q133" i="10"/>
  <c r="S133" i="10" s="1"/>
  <c r="Q151" i="10"/>
  <c r="S151" i="10" s="1"/>
  <c r="Q373" i="10"/>
  <c r="Q308" i="10"/>
  <c r="S308" i="10" s="1"/>
  <c r="Q360" i="10"/>
  <c r="R360" i="10" s="1"/>
  <c r="Q405" i="10"/>
  <c r="Q468" i="10"/>
  <c r="Q505" i="10"/>
  <c r="R505" i="10" s="1"/>
  <c r="Q515" i="10"/>
  <c r="Q535" i="10"/>
  <c r="S535" i="10" s="1"/>
  <c r="Q447" i="10"/>
  <c r="S447" i="10" s="1"/>
  <c r="Q70" i="10"/>
  <c r="R70" i="10" s="1"/>
  <c r="Q142" i="10"/>
  <c r="Q38" i="10"/>
  <c r="Q89" i="10"/>
  <c r="Q256" i="10"/>
  <c r="R256" i="10" s="1"/>
  <c r="Q288" i="10"/>
  <c r="Q173" i="10"/>
  <c r="Q213" i="10"/>
  <c r="R213" i="10" s="1"/>
  <c r="Q344" i="10"/>
  <c r="S344" i="10" s="1"/>
  <c r="Q333" i="10"/>
  <c r="Q369" i="10"/>
  <c r="R369" i="10" s="1"/>
  <c r="Q409" i="10"/>
  <c r="R409" i="10" s="1"/>
  <c r="Q396" i="10"/>
  <c r="S396" i="10" s="1"/>
  <c r="Q479" i="10"/>
  <c r="Q501" i="10"/>
  <c r="Q519" i="10"/>
  <c r="S519" i="10" s="1"/>
  <c r="Q557" i="10"/>
  <c r="Q98" i="10"/>
  <c r="S98" i="10" s="1"/>
  <c r="Q162" i="10"/>
  <c r="R162" i="10" s="1"/>
  <c r="Q190" i="10"/>
  <c r="S190" i="10" s="1"/>
  <c r="Q22" i="10"/>
  <c r="R22" i="10" s="1"/>
  <c r="Q238" i="10"/>
  <c r="Q206" i="10"/>
  <c r="Q429" i="10"/>
  <c r="R429" i="10" s="1"/>
  <c r="Q451" i="10"/>
  <c r="R451" i="10" s="1"/>
  <c r="Q550" i="10"/>
  <c r="Q547" i="10"/>
  <c r="R547" i="10" s="1"/>
  <c r="Q554" i="10"/>
  <c r="R554" i="10" s="1"/>
  <c r="Q439" i="10"/>
  <c r="R439" i="10" s="1"/>
  <c r="Q193" i="10"/>
  <c r="Q208" i="10"/>
  <c r="Q146" i="10"/>
  <c r="Q539" i="10"/>
  <c r="R539" i="10" s="1"/>
  <c r="Q498" i="10"/>
  <c r="Q388" i="10"/>
  <c r="Q357" i="10"/>
  <c r="S357" i="10" s="1"/>
  <c r="Q328" i="10"/>
  <c r="R328" i="10" s="1"/>
  <c r="Q163" i="10"/>
  <c r="Q248" i="10"/>
  <c r="R248" i="10" s="1"/>
  <c r="Q25" i="10"/>
  <c r="R25" i="10" s="1"/>
  <c r="Q64" i="10"/>
  <c r="R64" i="10" s="1"/>
  <c r="Q546" i="10"/>
  <c r="Q487" i="10"/>
  <c r="Q389" i="10"/>
  <c r="S389" i="10" s="1"/>
  <c r="Q241" i="10"/>
  <c r="Q135" i="10"/>
  <c r="Q186" i="10"/>
  <c r="Q74" i="10"/>
  <c r="R74" i="10" s="1"/>
  <c r="Q483" i="10"/>
  <c r="R483" i="10" s="1"/>
  <c r="Q233" i="10"/>
  <c r="Q497" i="10"/>
  <c r="Q408" i="10"/>
  <c r="S408" i="10" s="1"/>
  <c r="Q417" i="10"/>
  <c r="S417" i="10" s="1"/>
  <c r="Q321" i="10"/>
  <c r="Q285" i="10"/>
  <c r="R285" i="10" s="1"/>
  <c r="Q284" i="10"/>
  <c r="R284" i="10" s="1"/>
  <c r="Q97" i="10"/>
  <c r="S97" i="10" s="1"/>
  <c r="Q34" i="10"/>
  <c r="Q36" i="10"/>
  <c r="S36" i="10" s="1"/>
  <c r="Q132" i="10"/>
  <c r="Q212" i="10"/>
  <c r="S212" i="10" s="1"/>
  <c r="Q60" i="10"/>
  <c r="Q79" i="10"/>
  <c r="Q175" i="10"/>
  <c r="S175" i="10" s="1"/>
  <c r="Q267" i="10"/>
  <c r="S267" i="10" s="1"/>
  <c r="Q299" i="10"/>
  <c r="R299" i="10" s="1"/>
  <c r="Q358" i="10"/>
  <c r="Q371" i="10"/>
  <c r="Q351" i="10"/>
  <c r="Q419" i="10"/>
  <c r="Q390" i="10"/>
  <c r="Q488" i="10"/>
  <c r="Q518" i="10"/>
  <c r="Q529" i="10"/>
  <c r="R7" i="5"/>
  <c r="AC7" i="5"/>
  <c r="AD7" i="5" s="1"/>
  <c r="AT10" i="10"/>
  <c r="AU10" i="10"/>
  <c r="Q274" i="5"/>
  <c r="R274" i="5" s="1"/>
  <c r="Q481" i="5"/>
  <c r="S481" i="5" s="1"/>
  <c r="Q205" i="5"/>
  <c r="R205" i="5" s="1"/>
  <c r="Q288" i="5"/>
  <c r="R288" i="5" s="1"/>
  <c r="Q52" i="5"/>
  <c r="R52" i="5" s="1"/>
  <c r="Q397" i="5"/>
  <c r="R397" i="5" s="1"/>
  <c r="Q422" i="5"/>
  <c r="R422" i="5" s="1"/>
  <c r="Q115" i="5"/>
  <c r="S115" i="5" s="1"/>
  <c r="Q470" i="5"/>
  <c r="S470" i="5" s="1"/>
  <c r="X7" i="10"/>
  <c r="Y7" i="10"/>
  <c r="T9" i="10"/>
  <c r="AJ9" i="10"/>
  <c r="Z9" i="10"/>
  <c r="AM9" i="10"/>
  <c r="Q9" i="10"/>
  <c r="W9" i="10"/>
  <c r="AP9" i="10"/>
  <c r="AG9" i="10"/>
  <c r="X8" i="10"/>
  <c r="Y8" i="10"/>
  <c r="X10" i="10"/>
  <c r="Y10" i="10"/>
  <c r="Q117" i="5"/>
  <c r="S117" i="5" s="1"/>
  <c r="Q440" i="5"/>
  <c r="R440" i="5" s="1"/>
  <c r="Q540" i="5"/>
  <c r="S540" i="5" s="1"/>
  <c r="X12" i="10"/>
  <c r="Y12" i="10"/>
  <c r="Y13" i="10"/>
  <c r="X13" i="10"/>
  <c r="Q22" i="5"/>
  <c r="S22" i="5" s="1"/>
  <c r="Q138" i="5"/>
  <c r="S138" i="5" s="1"/>
  <c r="Q229" i="5"/>
  <c r="R229" i="5" s="1"/>
  <c r="Q408" i="5"/>
  <c r="R408" i="5" s="1"/>
  <c r="Q437" i="5"/>
  <c r="R437" i="5" s="1"/>
  <c r="Q89" i="5"/>
  <c r="S89" i="5" s="1"/>
  <c r="Q204" i="5"/>
  <c r="R204" i="5" s="1"/>
  <c r="Q73" i="5"/>
  <c r="S73" i="5" s="1"/>
  <c r="Q216" i="5"/>
  <c r="R216" i="5" s="1"/>
  <c r="Q346" i="5"/>
  <c r="S346" i="5" s="1"/>
  <c r="Q504" i="5"/>
  <c r="R504" i="5" s="1"/>
  <c r="Q525" i="5"/>
  <c r="R525" i="5" s="1"/>
  <c r="Q306" i="5"/>
  <c r="S306" i="5" s="1"/>
  <c r="X473" i="10"/>
  <c r="Y473" i="10"/>
  <c r="X415" i="10"/>
  <c r="Y415" i="10"/>
  <c r="Y313" i="10"/>
  <c r="X313" i="10"/>
  <c r="X152" i="10"/>
  <c r="Y152" i="10"/>
  <c r="X284" i="10"/>
  <c r="Y284" i="10"/>
  <c r="Y79" i="10"/>
  <c r="X79" i="10"/>
  <c r="X186" i="10"/>
  <c r="Y186" i="10"/>
  <c r="Y546" i="10"/>
  <c r="X546" i="10"/>
  <c r="Y513" i="10"/>
  <c r="X513" i="10"/>
  <c r="Y443" i="10"/>
  <c r="X443" i="10"/>
  <c r="X427" i="10"/>
  <c r="Y427" i="10"/>
  <c r="X322" i="10"/>
  <c r="Y322" i="10"/>
  <c r="Y340" i="10"/>
  <c r="X340" i="10"/>
  <c r="Y227" i="10"/>
  <c r="X227" i="10"/>
  <c r="X377" i="10"/>
  <c r="Y377" i="10"/>
  <c r="Y141" i="10"/>
  <c r="X141" i="10"/>
  <c r="Y105" i="10"/>
  <c r="X105" i="10"/>
  <c r="Y139" i="10"/>
  <c r="X139" i="10"/>
  <c r="Y119" i="10"/>
  <c r="X119" i="10"/>
  <c r="Y196" i="10"/>
  <c r="X196" i="10"/>
  <c r="X44" i="10"/>
  <c r="Y44" i="10"/>
  <c r="Y66" i="10"/>
  <c r="X66" i="10"/>
  <c r="Y537" i="10"/>
  <c r="X537" i="10"/>
  <c r="Y501" i="10"/>
  <c r="X501" i="10"/>
  <c r="Y390" i="10"/>
  <c r="X390" i="10"/>
  <c r="X291" i="10"/>
  <c r="Y291" i="10"/>
  <c r="Y312" i="10"/>
  <c r="X312" i="10"/>
  <c r="Y153" i="10"/>
  <c r="X153" i="10"/>
  <c r="Y550" i="10"/>
  <c r="X550" i="10"/>
  <c r="Y523" i="10"/>
  <c r="X523" i="10"/>
  <c r="Y497" i="10"/>
  <c r="X497" i="10"/>
  <c r="Y439" i="10"/>
  <c r="X439" i="10"/>
  <c r="Y453" i="10"/>
  <c r="X453" i="10"/>
  <c r="X437" i="10"/>
  <c r="Y437" i="10"/>
  <c r="Y402" i="10"/>
  <c r="X402" i="10"/>
  <c r="X436" i="10"/>
  <c r="Y436" i="10"/>
  <c r="Y400" i="10"/>
  <c r="X400" i="10"/>
  <c r="X407" i="10"/>
  <c r="Y407" i="10"/>
  <c r="Y351" i="10"/>
  <c r="X351" i="10"/>
  <c r="Y319" i="10"/>
  <c r="X319" i="10"/>
  <c r="X267" i="10"/>
  <c r="Y267" i="10"/>
  <c r="X365" i="10"/>
  <c r="Y365" i="10"/>
  <c r="Y333" i="10"/>
  <c r="X333" i="10"/>
  <c r="Y364" i="10"/>
  <c r="X364" i="10"/>
  <c r="Y239" i="10"/>
  <c r="X239" i="10"/>
  <c r="Y175" i="10"/>
  <c r="X175" i="10"/>
  <c r="Y293" i="10"/>
  <c r="X293" i="10"/>
  <c r="Y277" i="10"/>
  <c r="X277" i="10"/>
  <c r="Y261" i="10"/>
  <c r="X261" i="10"/>
  <c r="Y245" i="10"/>
  <c r="X245" i="10"/>
  <c r="Y77" i="10"/>
  <c r="X77" i="10"/>
  <c r="X132" i="10"/>
  <c r="Y132" i="10"/>
  <c r="X100" i="10"/>
  <c r="Y100" i="10"/>
  <c r="X272" i="10"/>
  <c r="Y272" i="10"/>
  <c r="Y159" i="10"/>
  <c r="X159" i="10"/>
  <c r="X84" i="10"/>
  <c r="Y84" i="10"/>
  <c r="Y24" i="10"/>
  <c r="X24" i="10"/>
  <c r="X190" i="10"/>
  <c r="Y190" i="10"/>
  <c r="Y64" i="10"/>
  <c r="X64" i="10"/>
  <c r="Y57" i="10"/>
  <c r="X57" i="10"/>
  <c r="Y42" i="10"/>
  <c r="X42" i="10"/>
  <c r="Y462" i="10"/>
  <c r="X462" i="10"/>
  <c r="Y382" i="10"/>
  <c r="X382" i="10"/>
  <c r="Y331" i="10"/>
  <c r="X331" i="10"/>
  <c r="Y345" i="10"/>
  <c r="X345" i="10"/>
  <c r="Y549" i="10"/>
  <c r="X549" i="10"/>
  <c r="Y553" i="10"/>
  <c r="X553" i="10"/>
  <c r="Y521" i="10"/>
  <c r="X521" i="10"/>
  <c r="X516" i="10"/>
  <c r="Y516" i="10"/>
  <c r="Y493" i="10"/>
  <c r="X493" i="10"/>
  <c r="Y451" i="10"/>
  <c r="X451" i="10"/>
  <c r="Y370" i="10"/>
  <c r="X370" i="10"/>
  <c r="X279" i="10"/>
  <c r="Y279" i="10"/>
  <c r="Y376" i="10"/>
  <c r="X376" i="10"/>
  <c r="X334" i="10"/>
  <c r="Y334" i="10"/>
  <c r="Y348" i="10"/>
  <c r="X348" i="10"/>
  <c r="Y219" i="10"/>
  <c r="X219" i="10"/>
  <c r="X373" i="10"/>
  <c r="Y373" i="10"/>
  <c r="Y133" i="10"/>
  <c r="X133" i="10"/>
  <c r="Y101" i="10"/>
  <c r="X101" i="10"/>
  <c r="Y147" i="10"/>
  <c r="X147" i="10"/>
  <c r="Y204" i="10"/>
  <c r="X204" i="10"/>
  <c r="X58" i="10"/>
  <c r="Y58" i="10"/>
  <c r="Y47" i="10"/>
  <c r="X47" i="10"/>
  <c r="Y200" i="10"/>
  <c r="X200" i="10"/>
  <c r="Y40" i="10"/>
  <c r="X40" i="10"/>
  <c r="Y134" i="10"/>
  <c r="X134" i="10"/>
  <c r="Y61" i="10"/>
  <c r="X61" i="10"/>
  <c r="X214" i="10"/>
  <c r="Y214" i="10"/>
  <c r="X230" i="10"/>
  <c r="Y230" i="10"/>
  <c r="Y106" i="10"/>
  <c r="X106" i="10"/>
  <c r="Y138" i="10"/>
  <c r="X138" i="10"/>
  <c r="Y168" i="10"/>
  <c r="X168" i="10"/>
  <c r="Y184" i="10"/>
  <c r="X184" i="10"/>
  <c r="Y154" i="10"/>
  <c r="X154" i="10"/>
  <c r="Y169" i="10"/>
  <c r="X169" i="10"/>
  <c r="Y185" i="10"/>
  <c r="X185" i="10"/>
  <c r="X216" i="10"/>
  <c r="Y216" i="10"/>
  <c r="X232" i="10"/>
  <c r="Y232" i="10"/>
  <c r="Y209" i="10"/>
  <c r="X209" i="10"/>
  <c r="Y225" i="10"/>
  <c r="X225" i="10"/>
  <c r="Y241" i="10"/>
  <c r="X241" i="10"/>
  <c r="X258" i="10"/>
  <c r="Y258" i="10"/>
  <c r="X274" i="10"/>
  <c r="Y274" i="10"/>
  <c r="X290" i="10"/>
  <c r="Y290" i="10"/>
  <c r="X306" i="10"/>
  <c r="Y306" i="10"/>
  <c r="X389" i="10"/>
  <c r="Y389" i="10"/>
  <c r="X405" i="10"/>
  <c r="Y405" i="10"/>
  <c r="X421" i="10"/>
  <c r="Y421" i="10"/>
  <c r="X375" i="10"/>
  <c r="Y375" i="10"/>
  <c r="Y455" i="10"/>
  <c r="X455" i="10"/>
  <c r="Y494" i="10"/>
  <c r="X494" i="10"/>
  <c r="Y448" i="10"/>
  <c r="X448" i="10"/>
  <c r="Y489" i="10"/>
  <c r="X489" i="10"/>
  <c r="Y538" i="10"/>
  <c r="X538" i="10"/>
  <c r="Y515" i="10"/>
  <c r="X515" i="10"/>
  <c r="X540" i="10"/>
  <c r="Y540" i="10"/>
  <c r="Q9" i="5"/>
  <c r="Q65" i="5"/>
  <c r="S65" i="5" s="1"/>
  <c r="Q160" i="5"/>
  <c r="R160" i="5" s="1"/>
  <c r="Q188" i="5"/>
  <c r="S188" i="5" s="1"/>
  <c r="Q266" i="5"/>
  <c r="R266" i="5" s="1"/>
  <c r="Q287" i="5"/>
  <c r="R287" i="5" s="1"/>
  <c r="Q363" i="5"/>
  <c r="S363" i="5" s="1"/>
  <c r="Q483" i="5"/>
  <c r="S483" i="5" s="1"/>
  <c r="Q492" i="5"/>
  <c r="R492" i="5" s="1"/>
  <c r="Q515" i="5"/>
  <c r="R515" i="5" s="1"/>
  <c r="Q95" i="5"/>
  <c r="R95" i="5" s="1"/>
  <c r="Q329" i="5"/>
  <c r="R329" i="5" s="1"/>
  <c r="Q33" i="5"/>
  <c r="S33" i="5" s="1"/>
  <c r="X560" i="10"/>
  <c r="Y560" i="10"/>
  <c r="Y509" i="10"/>
  <c r="X509" i="10"/>
  <c r="Y447" i="10"/>
  <c r="X447" i="10"/>
  <c r="Y366" i="10"/>
  <c r="X366" i="10"/>
  <c r="Y355" i="10"/>
  <c r="X355" i="10"/>
  <c r="Y372" i="10"/>
  <c r="X372" i="10"/>
  <c r="Y328" i="10"/>
  <c r="X328" i="10"/>
  <c r="Y137" i="10"/>
  <c r="X137" i="10"/>
  <c r="X144" i="10"/>
  <c r="Y144" i="10"/>
  <c r="X112" i="10"/>
  <c r="Y112" i="10"/>
  <c r="X276" i="10"/>
  <c r="Y276" i="10"/>
  <c r="Y151" i="10"/>
  <c r="X151" i="10"/>
  <c r="Y63" i="10"/>
  <c r="X63" i="10"/>
  <c r="X55" i="10"/>
  <c r="Y55" i="10"/>
  <c r="Y38" i="10"/>
  <c r="X38" i="10"/>
  <c r="X178" i="10"/>
  <c r="Y178" i="10"/>
  <c r="X86" i="10"/>
  <c r="Y86" i="10"/>
  <c r="Y545" i="10"/>
  <c r="X545" i="10"/>
  <c r="Y529" i="10"/>
  <c r="X529" i="10"/>
  <c r="X511" i="10"/>
  <c r="Y511" i="10"/>
  <c r="X520" i="10"/>
  <c r="Y520" i="10"/>
  <c r="Y458" i="10"/>
  <c r="X458" i="10"/>
  <c r="Y471" i="10"/>
  <c r="X471" i="10"/>
  <c r="Y430" i="10"/>
  <c r="X430" i="10"/>
  <c r="Y424" i="10"/>
  <c r="X424" i="10"/>
  <c r="X411" i="10"/>
  <c r="Y411" i="10"/>
  <c r="X287" i="10"/>
  <c r="Y287" i="10"/>
  <c r="X346" i="10"/>
  <c r="Y346" i="10"/>
  <c r="X314" i="10"/>
  <c r="Y314" i="10"/>
  <c r="Y324" i="10"/>
  <c r="X324" i="10"/>
  <c r="Y211" i="10"/>
  <c r="X211" i="10"/>
  <c r="Y305" i="10"/>
  <c r="X305" i="10"/>
  <c r="Y129" i="10"/>
  <c r="X129" i="10"/>
  <c r="Y97" i="10"/>
  <c r="X97" i="10"/>
  <c r="Y131" i="10"/>
  <c r="X131" i="10"/>
  <c r="Y115" i="10"/>
  <c r="X115" i="10"/>
  <c r="Y99" i="10"/>
  <c r="X99" i="10"/>
  <c r="X88" i="10"/>
  <c r="Y88" i="10"/>
  <c r="Y20" i="10"/>
  <c r="X20" i="10"/>
  <c r="X98" i="10"/>
  <c r="Y98" i="10"/>
  <c r="X536" i="10"/>
  <c r="Y536" i="10"/>
  <c r="X491" i="10"/>
  <c r="Y491" i="10"/>
  <c r="Y396" i="10"/>
  <c r="X396" i="10"/>
  <c r="Y321" i="10"/>
  <c r="X321" i="10"/>
  <c r="Y215" i="10"/>
  <c r="X215" i="10"/>
  <c r="X556" i="10"/>
  <c r="Y556" i="10"/>
  <c r="X531" i="10"/>
  <c r="Y531" i="10"/>
  <c r="Y504" i="10"/>
  <c r="X504" i="10"/>
  <c r="Y505" i="10"/>
  <c r="X505" i="10"/>
  <c r="Y490" i="10"/>
  <c r="X490" i="10"/>
  <c r="Y449" i="10"/>
  <c r="X449" i="10"/>
  <c r="Y426" i="10"/>
  <c r="X426" i="10"/>
  <c r="Y394" i="10"/>
  <c r="X394" i="10"/>
  <c r="X432" i="10"/>
  <c r="Y432" i="10"/>
  <c r="Y392" i="10"/>
  <c r="X392" i="10"/>
  <c r="X391" i="10"/>
  <c r="Y391" i="10"/>
  <c r="Y343" i="10"/>
  <c r="X343" i="10"/>
  <c r="Y311" i="10"/>
  <c r="X311" i="10"/>
  <c r="X251" i="10"/>
  <c r="Y251" i="10"/>
  <c r="Y357" i="10"/>
  <c r="X357" i="10"/>
  <c r="Y325" i="10"/>
  <c r="X325" i="10"/>
  <c r="Y352" i="10"/>
  <c r="X352" i="10"/>
  <c r="Y223" i="10"/>
  <c r="X223" i="10"/>
  <c r="X300" i="10"/>
  <c r="Y300" i="10"/>
  <c r="Y289" i="10"/>
  <c r="X289" i="10"/>
  <c r="Y273" i="10"/>
  <c r="X273" i="10"/>
  <c r="Y257" i="10"/>
  <c r="X257" i="10"/>
  <c r="Y161" i="10"/>
  <c r="X161" i="10"/>
  <c r="X156" i="10"/>
  <c r="Y156" i="10"/>
  <c r="X124" i="10"/>
  <c r="Y124" i="10"/>
  <c r="X296" i="10"/>
  <c r="Y296" i="10"/>
  <c r="X264" i="10"/>
  <c r="Y264" i="10"/>
  <c r="Y143" i="10"/>
  <c r="X143" i="10"/>
  <c r="Y53" i="10"/>
  <c r="X53" i="10"/>
  <c r="X41" i="10"/>
  <c r="Y41" i="10"/>
  <c r="X182" i="10"/>
  <c r="Y182" i="10"/>
  <c r="Y56" i="10"/>
  <c r="X56" i="10"/>
  <c r="Y54" i="10"/>
  <c r="X54" i="10"/>
  <c r="X555" i="10"/>
  <c r="Y555" i="10"/>
  <c r="X485" i="10"/>
  <c r="Y485" i="10"/>
  <c r="Y420" i="10"/>
  <c r="X420" i="10"/>
  <c r="Y307" i="10"/>
  <c r="X307" i="10"/>
  <c r="Y337" i="10"/>
  <c r="X337" i="10"/>
  <c r="X559" i="10"/>
  <c r="Y559" i="10"/>
  <c r="Y542" i="10"/>
  <c r="X542" i="10"/>
  <c r="X532" i="10"/>
  <c r="Y532" i="10"/>
  <c r="Y492" i="10"/>
  <c r="X492" i="10"/>
  <c r="Y484" i="10"/>
  <c r="X484" i="10"/>
  <c r="X450" i="10"/>
  <c r="Y450" i="10"/>
  <c r="X419" i="10"/>
  <c r="Y419" i="10"/>
  <c r="X263" i="10"/>
  <c r="Y263" i="10"/>
  <c r="X358" i="10"/>
  <c r="Y358" i="10"/>
  <c r="X326" i="10"/>
  <c r="Y326" i="10"/>
  <c r="Y332" i="10"/>
  <c r="X332" i="10"/>
  <c r="Y203" i="10"/>
  <c r="X203" i="10"/>
  <c r="X206" i="10"/>
  <c r="Y206" i="10"/>
  <c r="Y125" i="10"/>
  <c r="X125" i="10"/>
  <c r="Y89" i="10"/>
  <c r="X89" i="10"/>
  <c r="Y91" i="10"/>
  <c r="X91" i="10"/>
  <c r="X96" i="10"/>
  <c r="Y96" i="10"/>
  <c r="X33" i="10"/>
  <c r="Y33" i="10"/>
  <c r="X43" i="10"/>
  <c r="Y43" i="10"/>
  <c r="X90" i="10"/>
  <c r="Y90" i="10"/>
  <c r="Y21" i="10"/>
  <c r="X21" i="10"/>
  <c r="Y27" i="10"/>
  <c r="X27" i="10"/>
  <c r="Y114" i="10"/>
  <c r="X114" i="10"/>
  <c r="Y146" i="10"/>
  <c r="X146" i="10"/>
  <c r="Y197" i="10"/>
  <c r="X197" i="10"/>
  <c r="X218" i="10"/>
  <c r="Y218" i="10"/>
  <c r="X234" i="10"/>
  <c r="Y234" i="10"/>
  <c r="Y110" i="10"/>
  <c r="X110" i="10"/>
  <c r="Y142" i="10"/>
  <c r="X142" i="10"/>
  <c r="Y172" i="10"/>
  <c r="X172" i="10"/>
  <c r="Y188" i="10"/>
  <c r="X188" i="10"/>
  <c r="Y162" i="10"/>
  <c r="X162" i="10"/>
  <c r="Y173" i="10"/>
  <c r="X173" i="10"/>
  <c r="Y189" i="10"/>
  <c r="X189" i="10"/>
  <c r="X220" i="10"/>
  <c r="Y220" i="10"/>
  <c r="X236" i="10"/>
  <c r="Y236" i="10"/>
  <c r="Y213" i="10"/>
  <c r="X213" i="10"/>
  <c r="Y229" i="10"/>
  <c r="X229" i="10"/>
  <c r="X246" i="10"/>
  <c r="Y246" i="10"/>
  <c r="X262" i="10"/>
  <c r="Y262" i="10"/>
  <c r="X278" i="10"/>
  <c r="Y278" i="10"/>
  <c r="X294" i="10"/>
  <c r="Y294" i="10"/>
  <c r="Y363" i="10"/>
  <c r="X363" i="10"/>
  <c r="X393" i="10"/>
  <c r="Y393" i="10"/>
  <c r="X409" i="10"/>
  <c r="Y409" i="10"/>
  <c r="X425" i="10"/>
  <c r="Y425" i="10"/>
  <c r="X379" i="10"/>
  <c r="Y379" i="10"/>
  <c r="Y463" i="10"/>
  <c r="X463" i="10"/>
  <c r="Y434" i="10"/>
  <c r="X434" i="10"/>
  <c r="Y452" i="10"/>
  <c r="X452" i="10"/>
  <c r="Y486" i="10"/>
  <c r="X486" i="10"/>
  <c r="X495" i="10"/>
  <c r="Y495" i="10"/>
  <c r="Y519" i="10"/>
  <c r="X519" i="10"/>
  <c r="X544" i="10"/>
  <c r="Y544" i="10"/>
  <c r="X496" i="10"/>
  <c r="Y496" i="10"/>
  <c r="Y398" i="10"/>
  <c r="X398" i="10"/>
  <c r="X275" i="10"/>
  <c r="Y275" i="10"/>
  <c r="Y167" i="10"/>
  <c r="X167" i="10"/>
  <c r="X120" i="10"/>
  <c r="Y120" i="10"/>
  <c r="X252" i="10"/>
  <c r="Y252" i="10"/>
  <c r="X68" i="10"/>
  <c r="Y68" i="10"/>
  <c r="X39" i="10"/>
  <c r="Y39" i="10"/>
  <c r="Y62" i="10"/>
  <c r="X62" i="10"/>
  <c r="Y45" i="10"/>
  <c r="X45" i="10"/>
  <c r="X534" i="10"/>
  <c r="Y534" i="10"/>
  <c r="Y482" i="10"/>
  <c r="X482" i="10"/>
  <c r="Y502" i="10"/>
  <c r="X502" i="10"/>
  <c r="Y428" i="10"/>
  <c r="X428" i="10"/>
  <c r="X303" i="10"/>
  <c r="Y303" i="10"/>
  <c r="X354" i="10"/>
  <c r="Y354" i="10"/>
  <c r="Y103" i="10"/>
  <c r="X103" i="10"/>
  <c r="S231" i="10"/>
  <c r="R231" i="10"/>
  <c r="Y525" i="10"/>
  <c r="X525" i="10"/>
  <c r="Y478" i="10"/>
  <c r="X478" i="10"/>
  <c r="Y464" i="10"/>
  <c r="X464" i="10"/>
  <c r="Y412" i="10"/>
  <c r="X412" i="10"/>
  <c r="Y339" i="10"/>
  <c r="X339" i="10"/>
  <c r="Y353" i="10"/>
  <c r="X353" i="10"/>
  <c r="Y231" i="10"/>
  <c r="X231" i="10"/>
  <c r="Y85" i="10"/>
  <c r="X85" i="10"/>
  <c r="X136" i="10"/>
  <c r="Y136" i="10"/>
  <c r="X104" i="10"/>
  <c r="Y104" i="10"/>
  <c r="X268" i="10"/>
  <c r="Y268" i="10"/>
  <c r="Y135" i="10"/>
  <c r="X135" i="10"/>
  <c r="X92" i="10"/>
  <c r="Y92" i="10"/>
  <c r="Y51" i="10"/>
  <c r="X51" i="10"/>
  <c r="Y28" i="10"/>
  <c r="X28" i="10"/>
  <c r="X170" i="10"/>
  <c r="Y170" i="10"/>
  <c r="X70" i="10"/>
  <c r="Y70" i="10"/>
  <c r="Y554" i="10"/>
  <c r="X554" i="10"/>
  <c r="Y530" i="10"/>
  <c r="X530" i="10"/>
  <c r="X507" i="10"/>
  <c r="Y507" i="10"/>
  <c r="Y488" i="10"/>
  <c r="X488" i="10"/>
  <c r="Y480" i="10"/>
  <c r="X480" i="10"/>
  <c r="X446" i="10"/>
  <c r="Y446" i="10"/>
  <c r="Y378" i="10"/>
  <c r="X378" i="10"/>
  <c r="X457" i="10"/>
  <c r="Y457" i="10"/>
  <c r="X395" i="10"/>
  <c r="Y395" i="10"/>
  <c r="X271" i="10"/>
  <c r="Y271" i="10"/>
  <c r="X338" i="10"/>
  <c r="Y338" i="10"/>
  <c r="X361" i="10"/>
  <c r="Y361" i="10"/>
  <c r="Y308" i="10"/>
  <c r="X308" i="10"/>
  <c r="Y195" i="10"/>
  <c r="X195" i="10"/>
  <c r="X202" i="10"/>
  <c r="Y202" i="10"/>
  <c r="Y121" i="10"/>
  <c r="X121" i="10"/>
  <c r="Y81" i="10"/>
  <c r="X81" i="10"/>
  <c r="Y127" i="10"/>
  <c r="X127" i="10"/>
  <c r="Y111" i="10"/>
  <c r="X111" i="10"/>
  <c r="Y83" i="10"/>
  <c r="X83" i="10"/>
  <c r="X72" i="10"/>
  <c r="Y72" i="10"/>
  <c r="X19" i="10"/>
  <c r="Y19" i="10"/>
  <c r="X82" i="10"/>
  <c r="Y82" i="10"/>
  <c r="Y517" i="10"/>
  <c r="X517" i="10"/>
  <c r="X477" i="10"/>
  <c r="Y477" i="10"/>
  <c r="Y347" i="10"/>
  <c r="X347" i="10"/>
  <c r="Y360" i="10"/>
  <c r="X360" i="10"/>
  <c r="X304" i="10"/>
  <c r="Y304" i="10"/>
  <c r="Y558" i="10"/>
  <c r="X558" i="10"/>
  <c r="X551" i="10"/>
  <c r="Y551" i="10"/>
  <c r="Y514" i="10"/>
  <c r="X514" i="10"/>
  <c r="Y470" i="10"/>
  <c r="X470" i="10"/>
  <c r="Y468" i="10"/>
  <c r="X468" i="10"/>
  <c r="Y445" i="10"/>
  <c r="X445" i="10"/>
  <c r="Y418" i="10"/>
  <c r="X418" i="10"/>
  <c r="Y386" i="10"/>
  <c r="X386" i="10"/>
  <c r="Y416" i="10"/>
  <c r="X416" i="10"/>
  <c r="Y384" i="10"/>
  <c r="X384" i="10"/>
  <c r="X469" i="10"/>
  <c r="Y469" i="10"/>
  <c r="Y335" i="10"/>
  <c r="X335" i="10"/>
  <c r="X299" i="10"/>
  <c r="Y299" i="10"/>
  <c r="Y435" i="10"/>
  <c r="X435" i="10"/>
  <c r="Y349" i="10"/>
  <c r="X349" i="10"/>
  <c r="Y317" i="10"/>
  <c r="X317" i="10"/>
  <c r="Y336" i="10"/>
  <c r="X336" i="10"/>
  <c r="Y207" i="10"/>
  <c r="X207" i="10"/>
  <c r="Y301" i="10"/>
  <c r="X301" i="10"/>
  <c r="Y285" i="10"/>
  <c r="X285" i="10"/>
  <c r="Y269" i="10"/>
  <c r="X269" i="10"/>
  <c r="Y253" i="10"/>
  <c r="X253" i="10"/>
  <c r="Y145" i="10"/>
  <c r="X145" i="10"/>
  <c r="X148" i="10"/>
  <c r="Y148" i="10"/>
  <c r="X116" i="10"/>
  <c r="Y116" i="10"/>
  <c r="X288" i="10"/>
  <c r="Y288" i="10"/>
  <c r="X256" i="10"/>
  <c r="Y256" i="10"/>
  <c r="Y87" i="10"/>
  <c r="X87" i="10"/>
  <c r="Y36" i="10"/>
  <c r="X36" i="10"/>
  <c r="Y35" i="10"/>
  <c r="X35" i="10"/>
  <c r="X174" i="10"/>
  <c r="Y174" i="10"/>
  <c r="X94" i="10"/>
  <c r="Y94" i="10"/>
  <c r="Y50" i="10"/>
  <c r="X50" i="10"/>
  <c r="Y526" i="10"/>
  <c r="X526" i="10"/>
  <c r="Y456" i="10"/>
  <c r="X456" i="10"/>
  <c r="Y388" i="10"/>
  <c r="X388" i="10"/>
  <c r="X259" i="10"/>
  <c r="Y259" i="10"/>
  <c r="Y368" i="10"/>
  <c r="X368" i="10"/>
  <c r="Y557" i="10"/>
  <c r="X557" i="10"/>
  <c r="Y533" i="10"/>
  <c r="X533" i="10"/>
  <c r="Y527" i="10"/>
  <c r="X527" i="10"/>
  <c r="Y474" i="10"/>
  <c r="X474" i="10"/>
  <c r="Y476" i="10"/>
  <c r="X476" i="10"/>
  <c r="X442" i="10"/>
  <c r="Y442" i="10"/>
  <c r="X403" i="10"/>
  <c r="Y403" i="10"/>
  <c r="X247" i="10"/>
  <c r="Y247" i="10"/>
  <c r="X350" i="10"/>
  <c r="Y350" i="10"/>
  <c r="X318" i="10"/>
  <c r="Y318" i="10"/>
  <c r="Y316" i="10"/>
  <c r="X316" i="10"/>
  <c r="Y187" i="10"/>
  <c r="X187" i="10"/>
  <c r="X198" i="10"/>
  <c r="Y198" i="10"/>
  <c r="Y117" i="10"/>
  <c r="X117" i="10"/>
  <c r="Y73" i="10"/>
  <c r="X73" i="10"/>
  <c r="Y75" i="10"/>
  <c r="X75" i="10"/>
  <c r="X80" i="10"/>
  <c r="Y80" i="10"/>
  <c r="Y22" i="10"/>
  <c r="X22" i="10"/>
  <c r="X31" i="10"/>
  <c r="Y31" i="10"/>
  <c r="X74" i="10"/>
  <c r="Y74" i="10"/>
  <c r="X30" i="10"/>
  <c r="Y30" i="10"/>
  <c r="Y34" i="10"/>
  <c r="X34" i="10"/>
  <c r="Y122" i="10"/>
  <c r="X122" i="10"/>
  <c r="Y150" i="10"/>
  <c r="X150" i="10"/>
  <c r="Y205" i="10"/>
  <c r="X205" i="10"/>
  <c r="X222" i="10"/>
  <c r="Y222" i="10"/>
  <c r="X238" i="10"/>
  <c r="Y238" i="10"/>
  <c r="Y118" i="10"/>
  <c r="X118" i="10"/>
  <c r="Y176" i="10"/>
  <c r="X176" i="10"/>
  <c r="Y192" i="10"/>
  <c r="X192" i="10"/>
  <c r="Y201" i="10"/>
  <c r="X201" i="10"/>
  <c r="Y177" i="10"/>
  <c r="X177" i="10"/>
  <c r="Y193" i="10"/>
  <c r="X193" i="10"/>
  <c r="X224" i="10"/>
  <c r="Y224" i="10"/>
  <c r="X240" i="10"/>
  <c r="Y240" i="10"/>
  <c r="Y217" i="10"/>
  <c r="X217" i="10"/>
  <c r="Y233" i="10"/>
  <c r="X233" i="10"/>
  <c r="X250" i="10"/>
  <c r="Y250" i="10"/>
  <c r="X266" i="10"/>
  <c r="Y266" i="10"/>
  <c r="X282" i="10"/>
  <c r="Y282" i="10"/>
  <c r="X298" i="10"/>
  <c r="Y298" i="10"/>
  <c r="Y367" i="10"/>
  <c r="X367" i="10"/>
  <c r="X397" i="10"/>
  <c r="Y397" i="10"/>
  <c r="X413" i="10"/>
  <c r="Y413" i="10"/>
  <c r="X429" i="10"/>
  <c r="Y429" i="10"/>
  <c r="X383" i="10"/>
  <c r="Y383" i="10"/>
  <c r="Y459" i="10"/>
  <c r="X459" i="10"/>
  <c r="Y440" i="10"/>
  <c r="X440" i="10"/>
  <c r="Y475" i="10"/>
  <c r="X475" i="10"/>
  <c r="Y498" i="10"/>
  <c r="X498" i="10"/>
  <c r="X499" i="10"/>
  <c r="Y499" i="10"/>
  <c r="Y543" i="10"/>
  <c r="X543" i="10"/>
  <c r="Q30" i="5"/>
  <c r="R30" i="5" s="1"/>
  <c r="Q90" i="5"/>
  <c r="S90" i="5" s="1"/>
  <c r="Q147" i="5"/>
  <c r="R147" i="5" s="1"/>
  <c r="Q194" i="5"/>
  <c r="S194" i="5" s="1"/>
  <c r="Q281" i="5"/>
  <c r="S281" i="5" s="1"/>
  <c r="Q411" i="5"/>
  <c r="R411" i="5" s="1"/>
  <c r="Q374" i="5"/>
  <c r="S374" i="5" s="1"/>
  <c r="Q519" i="5"/>
  <c r="R519" i="5" s="1"/>
  <c r="Q530" i="5"/>
  <c r="S530" i="5" s="1"/>
  <c r="Q403" i="5"/>
  <c r="S403" i="5" s="1"/>
  <c r="Q193" i="5"/>
  <c r="R193" i="5" s="1"/>
  <c r="Q252" i="5"/>
  <c r="S252" i="5" s="1"/>
  <c r="Q446" i="5"/>
  <c r="S446" i="5" s="1"/>
  <c r="X528" i="10"/>
  <c r="Y528" i="10"/>
  <c r="X481" i="10"/>
  <c r="Y481" i="10"/>
  <c r="Y414" i="10"/>
  <c r="X414" i="10"/>
  <c r="Y404" i="10"/>
  <c r="X404" i="10"/>
  <c r="Y315" i="10"/>
  <c r="X315" i="10"/>
  <c r="Y329" i="10"/>
  <c r="X329" i="10"/>
  <c r="Y183" i="10"/>
  <c r="X183" i="10"/>
  <c r="X160" i="10"/>
  <c r="Y160" i="10"/>
  <c r="X128" i="10"/>
  <c r="Y128" i="10"/>
  <c r="X292" i="10"/>
  <c r="Y292" i="10"/>
  <c r="X260" i="10"/>
  <c r="Y260" i="10"/>
  <c r="Y95" i="10"/>
  <c r="X95" i="10"/>
  <c r="X76" i="10"/>
  <c r="Y76" i="10"/>
  <c r="Y26" i="10"/>
  <c r="X26" i="10"/>
  <c r="X194" i="10"/>
  <c r="Y194" i="10"/>
  <c r="X71" i="10"/>
  <c r="Y71" i="10"/>
  <c r="Y52" i="10"/>
  <c r="X52" i="10"/>
  <c r="Y547" i="10"/>
  <c r="X547" i="10"/>
  <c r="Y512" i="10"/>
  <c r="X512" i="10"/>
  <c r="X522" i="10"/>
  <c r="Y522" i="10"/>
  <c r="X487" i="10"/>
  <c r="Y487" i="10"/>
  <c r="Y472" i="10"/>
  <c r="X472" i="10"/>
  <c r="X438" i="10"/>
  <c r="Y438" i="10"/>
  <c r="Y362" i="10"/>
  <c r="X362" i="10"/>
  <c r="Y431" i="10"/>
  <c r="X431" i="10"/>
  <c r="X461" i="10"/>
  <c r="Y461" i="10"/>
  <c r="X255" i="10"/>
  <c r="Y255" i="10"/>
  <c r="X330" i="10"/>
  <c r="Y330" i="10"/>
  <c r="Y356" i="10"/>
  <c r="X356" i="10"/>
  <c r="Y243" i="10"/>
  <c r="X243" i="10"/>
  <c r="Y179" i="10"/>
  <c r="X179" i="10"/>
  <c r="Y157" i="10"/>
  <c r="X157" i="10"/>
  <c r="Y113" i="10"/>
  <c r="X113" i="10"/>
  <c r="Y155" i="10"/>
  <c r="X155" i="10"/>
  <c r="Y123" i="10"/>
  <c r="X123" i="10"/>
  <c r="Y107" i="10"/>
  <c r="X107" i="10"/>
  <c r="Y60" i="10"/>
  <c r="X60" i="10"/>
  <c r="X59" i="10"/>
  <c r="Y59" i="10"/>
  <c r="X48" i="10"/>
  <c r="Y48" i="10"/>
  <c r="Y552" i="10"/>
  <c r="X552" i="10"/>
  <c r="Y510" i="10"/>
  <c r="X510" i="10"/>
  <c r="Y422" i="10"/>
  <c r="X422" i="10"/>
  <c r="Y323" i="10"/>
  <c r="X323" i="10"/>
  <c r="Y344" i="10"/>
  <c r="X344" i="10"/>
  <c r="X381" i="10"/>
  <c r="Y381" i="10"/>
  <c r="X541" i="10"/>
  <c r="Y541" i="10"/>
  <c r="X524" i="10"/>
  <c r="Y524" i="10"/>
  <c r="Y506" i="10"/>
  <c r="X506" i="10"/>
  <c r="Y454" i="10"/>
  <c r="X454" i="10"/>
  <c r="Y460" i="10"/>
  <c r="X460" i="10"/>
  <c r="Y441" i="10"/>
  <c r="X441" i="10"/>
  <c r="Y410" i="10"/>
  <c r="X410" i="10"/>
  <c r="Y374" i="10"/>
  <c r="X374" i="10"/>
  <c r="Y408" i="10"/>
  <c r="X408" i="10"/>
  <c r="X423" i="10"/>
  <c r="Y423" i="10"/>
  <c r="Y359" i="10"/>
  <c r="X359" i="10"/>
  <c r="Y327" i="10"/>
  <c r="X327" i="10"/>
  <c r="X283" i="10"/>
  <c r="Y283" i="10"/>
  <c r="Y380" i="10"/>
  <c r="X380" i="10"/>
  <c r="Y341" i="10"/>
  <c r="X341" i="10"/>
  <c r="Y309" i="10"/>
  <c r="X309" i="10"/>
  <c r="Y320" i="10"/>
  <c r="X320" i="10"/>
  <c r="Y191" i="10"/>
  <c r="X191" i="10"/>
  <c r="Y297" i="10"/>
  <c r="X297" i="10"/>
  <c r="Y281" i="10"/>
  <c r="X281" i="10"/>
  <c r="Y265" i="10"/>
  <c r="X265" i="10"/>
  <c r="Y249" i="10"/>
  <c r="X249" i="10"/>
  <c r="Y93" i="10"/>
  <c r="X93" i="10"/>
  <c r="X140" i="10"/>
  <c r="Y140" i="10"/>
  <c r="X108" i="10"/>
  <c r="Y108" i="10"/>
  <c r="X280" i="10"/>
  <c r="Y280" i="10"/>
  <c r="X248" i="10"/>
  <c r="Y248" i="10"/>
  <c r="Y67" i="10"/>
  <c r="X67" i="10"/>
  <c r="Y29" i="10"/>
  <c r="X29" i="10"/>
  <c r="Y25" i="10"/>
  <c r="X25" i="10"/>
  <c r="X166" i="10"/>
  <c r="Y166" i="10"/>
  <c r="X78" i="10"/>
  <c r="Y78" i="10"/>
  <c r="Y208" i="10"/>
  <c r="X208" i="10"/>
  <c r="Y508" i="10"/>
  <c r="X508" i="10"/>
  <c r="Y406" i="10"/>
  <c r="X406" i="10"/>
  <c r="X399" i="10"/>
  <c r="Y399" i="10"/>
  <c r="X369" i="10"/>
  <c r="Y369" i="10"/>
  <c r="Y199" i="10"/>
  <c r="X199" i="10"/>
  <c r="X548" i="10"/>
  <c r="Y548" i="10"/>
  <c r="Y535" i="10"/>
  <c r="X535" i="10"/>
  <c r="Y500" i="10"/>
  <c r="X500" i="10"/>
  <c r="Y466" i="10"/>
  <c r="X466" i="10"/>
  <c r="Y483" i="10"/>
  <c r="X483" i="10"/>
  <c r="X433" i="10"/>
  <c r="Y433" i="10"/>
  <c r="X295" i="10"/>
  <c r="Y295" i="10"/>
  <c r="X465" i="10"/>
  <c r="Y465" i="10"/>
  <c r="X342" i="10"/>
  <c r="Y342" i="10"/>
  <c r="X310" i="10"/>
  <c r="Y310" i="10"/>
  <c r="Y235" i="10"/>
  <c r="X235" i="10"/>
  <c r="Y171" i="10"/>
  <c r="X171" i="10"/>
  <c r="Y149" i="10"/>
  <c r="X149" i="10"/>
  <c r="Y109" i="10"/>
  <c r="X109" i="10"/>
  <c r="Y163" i="10"/>
  <c r="X163" i="10"/>
  <c r="Y65" i="10"/>
  <c r="X65" i="10"/>
  <c r="X46" i="10"/>
  <c r="Y46" i="10"/>
  <c r="Y49" i="10"/>
  <c r="X49" i="10"/>
  <c r="X23" i="10"/>
  <c r="Y23" i="10"/>
  <c r="X69" i="10"/>
  <c r="Y69" i="10"/>
  <c r="Y32" i="10"/>
  <c r="X32" i="10"/>
  <c r="Y37" i="10"/>
  <c r="X37" i="10"/>
  <c r="Y130" i="10"/>
  <c r="X130" i="10"/>
  <c r="Y158" i="10"/>
  <c r="X158" i="10"/>
  <c r="X210" i="10"/>
  <c r="Y210" i="10"/>
  <c r="X226" i="10"/>
  <c r="Y226" i="10"/>
  <c r="X242" i="10"/>
  <c r="Y242" i="10"/>
  <c r="Y126" i="10"/>
  <c r="X126" i="10"/>
  <c r="Y164" i="10"/>
  <c r="X164" i="10"/>
  <c r="Y180" i="10"/>
  <c r="X180" i="10"/>
  <c r="Y102" i="10"/>
  <c r="X102" i="10"/>
  <c r="Y165" i="10"/>
  <c r="X165" i="10"/>
  <c r="Y181" i="10"/>
  <c r="X181" i="10"/>
  <c r="X212" i="10"/>
  <c r="Y212" i="10"/>
  <c r="X228" i="10"/>
  <c r="Y228" i="10"/>
  <c r="X244" i="10"/>
  <c r="Y244" i="10"/>
  <c r="Y221" i="10"/>
  <c r="X221" i="10"/>
  <c r="Y237" i="10"/>
  <c r="X237" i="10"/>
  <c r="X254" i="10"/>
  <c r="Y254" i="10"/>
  <c r="X270" i="10"/>
  <c r="Y270" i="10"/>
  <c r="X286" i="10"/>
  <c r="Y286" i="10"/>
  <c r="X302" i="10"/>
  <c r="Y302" i="10"/>
  <c r="X387" i="10"/>
  <c r="Y387" i="10"/>
  <c r="X401" i="10"/>
  <c r="Y401" i="10"/>
  <c r="X417" i="10"/>
  <c r="Y417" i="10"/>
  <c r="X371" i="10"/>
  <c r="Y371" i="10"/>
  <c r="X385" i="10"/>
  <c r="Y385" i="10"/>
  <c r="Y467" i="10"/>
  <c r="X467" i="10"/>
  <c r="Y444" i="10"/>
  <c r="X444" i="10"/>
  <c r="Y479" i="10"/>
  <c r="X479" i="10"/>
  <c r="Y518" i="10"/>
  <c r="X518" i="10"/>
  <c r="X503" i="10"/>
  <c r="Y503" i="10"/>
  <c r="Y539" i="10"/>
  <c r="X539" i="10"/>
  <c r="Q207" i="5"/>
  <c r="R207" i="5" s="1"/>
  <c r="Q203" i="5"/>
  <c r="R203" i="5" s="1"/>
  <c r="Q305" i="5"/>
  <c r="S305" i="5" s="1"/>
  <c r="Q355" i="5"/>
  <c r="S355" i="5" s="1"/>
  <c r="Q388" i="5"/>
  <c r="S388" i="5" s="1"/>
  <c r="Q366" i="5"/>
  <c r="R366" i="5" s="1"/>
  <c r="Q434" i="5"/>
  <c r="S434" i="5" s="1"/>
  <c r="Q509" i="5"/>
  <c r="S509" i="5" s="1"/>
  <c r="Q400" i="5"/>
  <c r="S400" i="5" s="1"/>
  <c r="Q37" i="5"/>
  <c r="S37" i="5" s="1"/>
  <c r="Q189" i="5"/>
  <c r="S189" i="5" s="1"/>
  <c r="Q399" i="5"/>
  <c r="S399" i="5" s="1"/>
  <c r="Q100" i="5"/>
  <c r="R100" i="5" s="1"/>
  <c r="Q498" i="5"/>
  <c r="R498" i="5" s="1"/>
  <c r="Q190" i="5"/>
  <c r="R190" i="5" s="1"/>
  <c r="Q421" i="5"/>
  <c r="R421" i="5" s="1"/>
  <c r="Q522" i="5"/>
  <c r="R522" i="5" s="1"/>
  <c r="Q107" i="5"/>
  <c r="S107" i="5" s="1"/>
  <c r="Q60" i="5"/>
  <c r="R60" i="5" s="1"/>
  <c r="Q94" i="5"/>
  <c r="R94" i="5" s="1"/>
  <c r="Q83" i="5"/>
  <c r="R83" i="5" s="1"/>
  <c r="Q170" i="5"/>
  <c r="S170" i="5" s="1"/>
  <c r="Q240" i="5"/>
  <c r="R240" i="5" s="1"/>
  <c r="Q292" i="5"/>
  <c r="R292" i="5" s="1"/>
  <c r="Q239" i="5"/>
  <c r="S239" i="5" s="1"/>
  <c r="Q257" i="5"/>
  <c r="S257" i="5" s="1"/>
  <c r="Q279" i="5"/>
  <c r="R279" i="5" s="1"/>
  <c r="Q351" i="5"/>
  <c r="R351" i="5" s="1"/>
  <c r="Q393" i="5"/>
  <c r="S393" i="5" s="1"/>
  <c r="Q410" i="5"/>
  <c r="S410" i="5" s="1"/>
  <c r="Q342" i="5"/>
  <c r="S342" i="5" s="1"/>
  <c r="Q541" i="5"/>
  <c r="S541" i="5" s="1"/>
  <c r="Q549" i="5"/>
  <c r="S549" i="5" s="1"/>
  <c r="Q47" i="5"/>
  <c r="S47" i="5" s="1"/>
  <c r="Q146" i="5"/>
  <c r="S146" i="5" s="1"/>
  <c r="Q296" i="5"/>
  <c r="S296" i="5" s="1"/>
  <c r="Q394" i="5"/>
  <c r="R394" i="5" s="1"/>
  <c r="Q520" i="5"/>
  <c r="R520" i="5" s="1"/>
  <c r="Q70" i="5"/>
  <c r="R70" i="5" s="1"/>
  <c r="Q337" i="5"/>
  <c r="S337" i="5" s="1"/>
  <c r="Q126" i="5"/>
  <c r="S126" i="5" s="1"/>
  <c r="Q447" i="5"/>
  <c r="R447" i="5" s="1"/>
  <c r="Q42" i="5"/>
  <c r="S42" i="5" s="1"/>
  <c r="Q86" i="5"/>
  <c r="R86" i="5" s="1"/>
  <c r="Q148" i="5"/>
  <c r="R148" i="5" s="1"/>
  <c r="Q311" i="5"/>
  <c r="R311" i="5" s="1"/>
  <c r="Q347" i="5"/>
  <c r="S347" i="5" s="1"/>
  <c r="Q536" i="5"/>
  <c r="S536" i="5" s="1"/>
  <c r="Q36" i="5"/>
  <c r="S36" i="5" s="1"/>
  <c r="Q109" i="5"/>
  <c r="R109" i="5" s="1"/>
  <c r="Q176" i="5"/>
  <c r="S176" i="5" s="1"/>
  <c r="Q350" i="5"/>
  <c r="R350" i="5" s="1"/>
  <c r="Q383" i="5"/>
  <c r="R383" i="5" s="1"/>
  <c r="Q373" i="5"/>
  <c r="S373" i="5" s="1"/>
  <c r="Q19" i="5"/>
  <c r="R19" i="5" s="1"/>
  <c r="Q201" i="5"/>
  <c r="R201" i="5" s="1"/>
  <c r="B263" i="2"/>
  <c r="B223" i="2"/>
  <c r="B225" i="2" s="1"/>
  <c r="Q213" i="5"/>
  <c r="S213" i="5" s="1"/>
  <c r="Q496" i="5"/>
  <c r="R496" i="5" s="1"/>
  <c r="Q246" i="5"/>
  <c r="S246" i="5" s="1"/>
  <c r="Q227" i="5"/>
  <c r="R227" i="5" s="1"/>
  <c r="Q461" i="5"/>
  <c r="S461" i="5" s="1"/>
  <c r="Q335" i="5"/>
  <c r="S335" i="5" s="1"/>
  <c r="Q487" i="5"/>
  <c r="R487" i="5" s="1"/>
  <c r="Q450" i="5"/>
  <c r="R450" i="5" s="1"/>
  <c r="Q268" i="5"/>
  <c r="S268" i="5" s="1"/>
  <c r="Q460" i="5"/>
  <c r="R460" i="5" s="1"/>
  <c r="Q458" i="5"/>
  <c r="R458" i="5" s="1"/>
  <c r="Q81" i="5"/>
  <c r="R81" i="5" s="1"/>
  <c r="Q169" i="5"/>
  <c r="R169" i="5" s="1"/>
  <c r="Q196" i="5"/>
  <c r="S196" i="5" s="1"/>
  <c r="Q245" i="5"/>
  <c r="R245" i="5" s="1"/>
  <c r="Q512" i="5"/>
  <c r="S512" i="5" s="1"/>
  <c r="Q445" i="5"/>
  <c r="S445" i="5" s="1"/>
  <c r="Q466" i="5"/>
  <c r="R466" i="5" s="1"/>
  <c r="Q66" i="5"/>
  <c r="R66" i="5" s="1"/>
  <c r="Q144" i="5"/>
  <c r="S144" i="5" s="1"/>
  <c r="Q152" i="5"/>
  <c r="R152" i="5" s="1"/>
  <c r="Q97" i="5"/>
  <c r="S97" i="5" s="1"/>
  <c r="Q423" i="5"/>
  <c r="S423" i="5" s="1"/>
  <c r="Q362" i="5"/>
  <c r="R362" i="5" s="1"/>
  <c r="Q500" i="5"/>
  <c r="S500" i="5" s="1"/>
  <c r="Q58" i="5"/>
  <c r="R58" i="5" s="1"/>
  <c r="Q183" i="5"/>
  <c r="S183" i="5" s="1"/>
  <c r="Q482" i="5"/>
  <c r="R482" i="5" s="1"/>
  <c r="Q300" i="5"/>
  <c r="S300" i="5" s="1"/>
  <c r="Q29" i="5"/>
  <c r="R29" i="5" s="1"/>
  <c r="Q120" i="5"/>
  <c r="S120" i="5" s="1"/>
  <c r="Q200" i="5"/>
  <c r="S200" i="5" s="1"/>
  <c r="Q432" i="5"/>
  <c r="S432" i="5" s="1"/>
  <c r="Q230" i="5"/>
  <c r="R230" i="5" s="1"/>
  <c r="Q336" i="5"/>
  <c r="R336" i="5" s="1"/>
  <c r="Q265" i="5"/>
  <c r="R265" i="5" s="1"/>
  <c r="Q341" i="5"/>
  <c r="R341" i="5" s="1"/>
  <c r="Q116" i="5"/>
  <c r="S116" i="5" s="1"/>
  <c r="Q277" i="5"/>
  <c r="R277" i="5" s="1"/>
  <c r="Q64" i="5"/>
  <c r="S64" i="5" s="1"/>
  <c r="Q533" i="5"/>
  <c r="R533" i="5" s="1"/>
  <c r="Q262" i="5"/>
  <c r="S262" i="5" s="1"/>
  <c r="Q456" i="5"/>
  <c r="R456" i="5" s="1"/>
  <c r="Q272" i="5"/>
  <c r="S272" i="5" s="1"/>
  <c r="Q136" i="5"/>
  <c r="S136" i="5" s="1"/>
  <c r="Q334" i="5"/>
  <c r="R334" i="5" s="1"/>
  <c r="Q192" i="5"/>
  <c r="R192" i="5" s="1"/>
  <c r="Q202" i="5"/>
  <c r="S202" i="5" s="1"/>
  <c r="Q54" i="5"/>
  <c r="S54" i="5" s="1"/>
  <c r="Q486" i="5"/>
  <c r="R486" i="5" s="1"/>
  <c r="Q316" i="5"/>
  <c r="S316" i="5" s="1"/>
  <c r="Q118" i="5"/>
  <c r="S118" i="5" s="1"/>
  <c r="Q35" i="5"/>
  <c r="R35" i="5" s="1"/>
  <c r="Q554" i="5"/>
  <c r="S554" i="5" s="1"/>
  <c r="Q129" i="5"/>
  <c r="S129" i="5" s="1"/>
  <c r="Q165" i="5"/>
  <c r="R165" i="5" s="1"/>
  <c r="Q278" i="5"/>
  <c r="S278" i="5" s="1"/>
  <c r="Q354" i="5"/>
  <c r="R354" i="5" s="1"/>
  <c r="Q454" i="5"/>
  <c r="S454" i="5" s="1"/>
  <c r="Q489" i="5"/>
  <c r="R489" i="5" s="1"/>
  <c r="Q553" i="5"/>
  <c r="S553" i="5" s="1"/>
  <c r="Q429" i="5"/>
  <c r="R429" i="5" s="1"/>
  <c r="Q72" i="5"/>
  <c r="R72" i="5" s="1"/>
  <c r="Q104" i="5"/>
  <c r="R104" i="5" s="1"/>
  <c r="Q143" i="5"/>
  <c r="S143" i="5" s="1"/>
  <c r="Q180" i="5"/>
  <c r="S180" i="5" s="1"/>
  <c r="Q219" i="5"/>
  <c r="S219" i="5" s="1"/>
  <c r="Q247" i="5"/>
  <c r="R247" i="5" s="1"/>
  <c r="Q378" i="5"/>
  <c r="S378" i="5" s="1"/>
  <c r="Q518" i="5"/>
  <c r="S518" i="5" s="1"/>
  <c r="Q57" i="5"/>
  <c r="S57" i="5" s="1"/>
  <c r="Q367" i="5"/>
  <c r="R367" i="5" s="1"/>
  <c r="Q503" i="5"/>
  <c r="R503" i="5" s="1"/>
  <c r="Q270" i="5"/>
  <c r="S270" i="5" s="1"/>
  <c r="Q187" i="5"/>
  <c r="S187" i="5" s="1"/>
  <c r="Q128" i="5"/>
  <c r="S128" i="5" s="1"/>
  <c r="Q8" i="5"/>
  <c r="R8" i="5" s="1"/>
  <c r="Q271" i="5"/>
  <c r="S271" i="5" s="1"/>
  <c r="Q198" i="5"/>
  <c r="S198" i="5" s="1"/>
  <c r="Q123" i="5"/>
  <c r="R123" i="5" s="1"/>
  <c r="Q69" i="5"/>
  <c r="R69" i="5" s="1"/>
  <c r="Q443" i="5"/>
  <c r="R443" i="5" s="1"/>
  <c r="P139" i="5"/>
  <c r="P488" i="5"/>
  <c r="Q113" i="5"/>
  <c r="S113" i="5" s="1"/>
  <c r="Q469" i="5"/>
  <c r="R469" i="5" s="1"/>
  <c r="P195" i="5"/>
  <c r="P205" i="5"/>
  <c r="Q395" i="5"/>
  <c r="S395" i="5" s="1"/>
  <c r="P179" i="5"/>
  <c r="P463" i="5"/>
  <c r="Q32" i="5"/>
  <c r="S32" i="5" s="1"/>
  <c r="Q59" i="5"/>
  <c r="R59" i="5" s="1"/>
  <c r="Q80" i="5"/>
  <c r="Q142" i="5"/>
  <c r="S142" i="5" s="1"/>
  <c r="Q121" i="5"/>
  <c r="S121" i="5" s="1"/>
  <c r="Q179" i="5"/>
  <c r="R179" i="5" s="1"/>
  <c r="Q251" i="5"/>
  <c r="S251" i="5" s="1"/>
  <c r="Q226" i="5"/>
  <c r="R226" i="5" s="1"/>
  <c r="Q328" i="5"/>
  <c r="Q330" i="5"/>
  <c r="S330" i="5" s="1"/>
  <c r="Q315" i="5"/>
  <c r="R315" i="5" s="1"/>
  <c r="Q386" i="5"/>
  <c r="R386" i="5" s="1"/>
  <c r="Q343" i="5"/>
  <c r="S343" i="5" s="1"/>
  <c r="Q263" i="5"/>
  <c r="S263" i="5" s="1"/>
  <c r="Q415" i="5"/>
  <c r="R415" i="5" s="1"/>
  <c r="Q471" i="5"/>
  <c r="R471" i="5" s="1"/>
  <c r="Q526" i="5"/>
  <c r="Q452" i="5"/>
  <c r="R452" i="5" s="1"/>
  <c r="Q510" i="5"/>
  <c r="Q484" i="5"/>
  <c r="S484" i="5" s="1"/>
  <c r="Q546" i="5"/>
  <c r="S546" i="5" s="1"/>
  <c r="Q552" i="5"/>
  <c r="R552" i="5" s="1"/>
  <c r="Q557" i="5"/>
  <c r="S557" i="5" s="1"/>
  <c r="Q516" i="5"/>
  <c r="R516" i="5" s="1"/>
  <c r="Q38" i="5"/>
  <c r="Q154" i="5"/>
  <c r="S154" i="5" s="1"/>
  <c r="Q185" i="5"/>
  <c r="Q242" i="5"/>
  <c r="R242" i="5" s="1"/>
  <c r="Q211" i="5"/>
  <c r="S211" i="5" s="1"/>
  <c r="Q391" i="5"/>
  <c r="S391" i="5" s="1"/>
  <c r="Q338" i="5"/>
  <c r="S338" i="5" s="1"/>
  <c r="Q475" i="5"/>
  <c r="R475" i="5" s="1"/>
  <c r="Q467" i="5"/>
  <c r="S467" i="5" s="1"/>
  <c r="Q497" i="5"/>
  <c r="S497" i="5" s="1"/>
  <c r="Q550" i="5"/>
  <c r="R550" i="5" s="1"/>
  <c r="Q534" i="5"/>
  <c r="S534" i="5" s="1"/>
  <c r="Q24" i="5"/>
  <c r="Q75" i="5"/>
  <c r="R75" i="5" s="1"/>
  <c r="Q119" i="5"/>
  <c r="R119" i="5" s="1"/>
  <c r="Q96" i="5"/>
  <c r="R96" i="5" s="1"/>
  <c r="Q161" i="5"/>
  <c r="S161" i="5" s="1"/>
  <c r="Q235" i="5"/>
  <c r="S235" i="5" s="1"/>
  <c r="Q209" i="5"/>
  <c r="S209" i="5" s="1"/>
  <c r="Q260" i="5"/>
  <c r="S260" i="5" s="1"/>
  <c r="Q358" i="5"/>
  <c r="R358" i="5" s="1"/>
  <c r="Q477" i="5"/>
  <c r="S477" i="5" s="1"/>
  <c r="Q430" i="5"/>
  <c r="S430" i="5" s="1"/>
  <c r="Q114" i="5"/>
  <c r="R114" i="5" s="1"/>
  <c r="Q431" i="5"/>
  <c r="R431" i="5" s="1"/>
  <c r="Q528" i="5"/>
  <c r="R528" i="5" s="1"/>
  <c r="Q412" i="5"/>
  <c r="R412" i="5" s="1"/>
  <c r="Q380" i="5"/>
  <c r="S380" i="5" s="1"/>
  <c r="Q325" i="5"/>
  <c r="R325" i="5" s="1"/>
  <c r="Q175" i="5"/>
  <c r="S175" i="5" s="1"/>
  <c r="Q91" i="5"/>
  <c r="R91" i="5" s="1"/>
  <c r="Q418" i="5"/>
  <c r="R418" i="5" s="1"/>
  <c r="Q141" i="5"/>
  <c r="R141" i="5" s="1"/>
  <c r="Q206" i="5"/>
  <c r="R206" i="5" s="1"/>
  <c r="Q122" i="5"/>
  <c r="Q93" i="5"/>
  <c r="R93" i="5" s="1"/>
  <c r="Q39" i="5"/>
  <c r="S39" i="5" s="1"/>
  <c r="Q370" i="5"/>
  <c r="R370" i="5" s="1"/>
  <c r="Q340" i="5"/>
  <c r="Q43" i="5"/>
  <c r="Q502" i="5"/>
  <c r="S502" i="5" s="1"/>
  <c r="Q166" i="5"/>
  <c r="R166" i="5" s="1"/>
  <c r="Q449" i="5"/>
  <c r="S449" i="5" s="1"/>
  <c r="Q404" i="5"/>
  <c r="S404" i="5" s="1"/>
  <c r="Q184" i="5"/>
  <c r="R184" i="5" s="1"/>
  <c r="Q545" i="5"/>
  <c r="R545" i="5" s="1"/>
  <c r="Q312" i="5"/>
  <c r="R312" i="5" s="1"/>
  <c r="Q84" i="5"/>
  <c r="R84" i="5" s="1"/>
  <c r="Q478" i="5"/>
  <c r="S478" i="5" s="1"/>
  <c r="Q369" i="5"/>
  <c r="S369" i="5" s="1"/>
  <c r="Q382" i="5"/>
  <c r="S382" i="5" s="1"/>
  <c r="Q261" i="5"/>
  <c r="S261" i="5" s="1"/>
  <c r="Q92" i="5"/>
  <c r="R92" i="5" s="1"/>
  <c r="O11" i="5"/>
  <c r="AG11" i="5" s="1"/>
  <c r="AH11" i="5" s="1"/>
  <c r="Q49" i="5"/>
  <c r="Q50" i="5"/>
  <c r="R50" i="5" s="1"/>
  <c r="Q63" i="5"/>
  <c r="S63" i="5" s="1"/>
  <c r="Q77" i="5"/>
  <c r="S77" i="5" s="1"/>
  <c r="Q44" i="5"/>
  <c r="S44" i="5" s="1"/>
  <c r="Q137" i="5"/>
  <c r="R137" i="5" s="1"/>
  <c r="Q140" i="5"/>
  <c r="R140" i="5" s="1"/>
  <c r="Q127" i="5"/>
  <c r="R127" i="5" s="1"/>
  <c r="Q174" i="5"/>
  <c r="R174" i="5" s="1"/>
  <c r="Q168" i="5"/>
  <c r="S168" i="5" s="1"/>
  <c r="Q232" i="5"/>
  <c r="S232" i="5" s="1"/>
  <c r="Q221" i="5"/>
  <c r="S221" i="5" s="1"/>
  <c r="Q222" i="5"/>
  <c r="S222" i="5" s="1"/>
  <c r="Q264" i="5"/>
  <c r="S264" i="5" s="1"/>
  <c r="Q331" i="5"/>
  <c r="Q293" i="5"/>
  <c r="R293" i="5" s="1"/>
  <c r="Q220" i="5"/>
  <c r="Q286" i="5"/>
  <c r="S286" i="5" s="1"/>
  <c r="Q348" i="5"/>
  <c r="S348" i="5" s="1"/>
  <c r="Q372" i="5"/>
  <c r="S372" i="5" s="1"/>
  <c r="Q438" i="5"/>
  <c r="Q26" i="5"/>
  <c r="S26" i="5" s="1"/>
  <c r="Q41" i="5"/>
  <c r="S41" i="5" s="1"/>
  <c r="Q61" i="5"/>
  <c r="R61" i="5" s="1"/>
  <c r="Q87" i="5"/>
  <c r="S87" i="5" s="1"/>
  <c r="Q133" i="5"/>
  <c r="S133" i="5" s="1"/>
  <c r="Q149" i="5"/>
  <c r="R149" i="5" s="1"/>
  <c r="Q156" i="5"/>
  <c r="S156" i="5" s="1"/>
  <c r="Q132" i="5"/>
  <c r="R132" i="5" s="1"/>
  <c r="Q238" i="5"/>
  <c r="S238" i="5" s="1"/>
  <c r="Q195" i="5"/>
  <c r="R195" i="5" s="1"/>
  <c r="Q256" i="5"/>
  <c r="R256" i="5" s="1"/>
  <c r="Q212" i="5"/>
  <c r="Q321" i="5"/>
  <c r="R321" i="5" s="1"/>
  <c r="Q280" i="5"/>
  <c r="R280" i="5" s="1"/>
  <c r="Q357" i="5"/>
  <c r="R357" i="5" s="1"/>
  <c r="Q407" i="5"/>
  <c r="S407" i="5" s="1"/>
  <c r="Q314" i="5"/>
  <c r="S314" i="5" s="1"/>
  <c r="Q402" i="5"/>
  <c r="S402" i="5" s="1"/>
  <c r="Q368" i="5"/>
  <c r="R368" i="5" s="1"/>
  <c r="Q318" i="5"/>
  <c r="S318" i="5" s="1"/>
  <c r="Q464" i="5"/>
  <c r="S464" i="5" s="1"/>
  <c r="Q499" i="5"/>
  <c r="S499" i="5" s="1"/>
  <c r="Q547" i="5"/>
  <c r="S547" i="5" s="1"/>
  <c r="Q476" i="5"/>
  <c r="S476" i="5" s="1"/>
  <c r="Q436" i="5"/>
  <c r="R436" i="5" s="1"/>
  <c r="Q463" i="5"/>
  <c r="S463" i="5" s="1"/>
  <c r="Q417" i="5"/>
  <c r="R417" i="5" s="1"/>
  <c r="Q375" i="5"/>
  <c r="S375" i="5" s="1"/>
  <c r="Q310" i="5"/>
  <c r="S310" i="5" s="1"/>
  <c r="Q217" i="5"/>
  <c r="Q162" i="5"/>
  <c r="R162" i="5" s="1"/>
  <c r="Q131" i="5"/>
  <c r="S131" i="5" s="1"/>
  <c r="Q51" i="5"/>
  <c r="R51" i="5" s="1"/>
  <c r="Q531" i="5"/>
  <c r="Q459" i="5"/>
  <c r="S459" i="5" s="1"/>
  <c r="Q555" i="5"/>
  <c r="S555" i="5" s="1"/>
  <c r="Q548" i="5"/>
  <c r="R548" i="5" s="1"/>
  <c r="Q494" i="5"/>
  <c r="R494" i="5" s="1"/>
  <c r="Q514" i="5"/>
  <c r="S514" i="5" s="1"/>
  <c r="Q457" i="5"/>
  <c r="R457" i="5" s="1"/>
  <c r="Q527" i="5"/>
  <c r="S527" i="5" s="1"/>
  <c r="Q473" i="5"/>
  <c r="S473" i="5" s="1"/>
  <c r="Q416" i="5"/>
  <c r="S416" i="5" s="1"/>
  <c r="Q327" i="5"/>
  <c r="R327" i="5" s="1"/>
  <c r="Q349" i="5"/>
  <c r="S349" i="5" s="1"/>
  <c r="Q389" i="5"/>
  <c r="S389" i="5" s="1"/>
  <c r="Q324" i="5"/>
  <c r="S324" i="5" s="1"/>
  <c r="Q167" i="5"/>
  <c r="Q333" i="5"/>
  <c r="S333" i="5" s="1"/>
  <c r="Q237" i="5"/>
  <c r="R237" i="5" s="1"/>
  <c r="Q244" i="5"/>
  <c r="S244" i="5" s="1"/>
  <c r="Q135" i="5"/>
  <c r="R135" i="5" s="1"/>
  <c r="Q490" i="5"/>
  <c r="S490" i="5" s="1"/>
  <c r="Q283" i="5"/>
  <c r="S283" i="5" s="1"/>
  <c r="Q99" i="5"/>
  <c r="R99" i="5" s="1"/>
  <c r="Q506" i="5"/>
  <c r="Q323" i="5"/>
  <c r="R323" i="5" s="1"/>
  <c r="Q31" i="5"/>
  <c r="R31" i="5" s="1"/>
  <c r="Q529" i="5"/>
  <c r="S529" i="5" s="1"/>
  <c r="Q501" i="5"/>
  <c r="R501" i="5" s="1"/>
  <c r="Q439" i="5"/>
  <c r="R439" i="5" s="1"/>
  <c r="Q258" i="5"/>
  <c r="S258" i="5" s="1"/>
  <c r="Q125" i="5"/>
  <c r="R125" i="5" s="1"/>
  <c r="Q12" i="5"/>
  <c r="S12" i="5" s="1"/>
  <c r="Q34" i="5"/>
  <c r="S34" i="5" s="1"/>
  <c r="Q48" i="5"/>
  <c r="Q68" i="5"/>
  <c r="R68" i="5" s="1"/>
  <c r="Q76" i="5"/>
  <c r="R76" i="5" s="1"/>
  <c r="Q106" i="5"/>
  <c r="R106" i="5" s="1"/>
  <c r="Q153" i="5"/>
  <c r="S153" i="5" s="1"/>
  <c r="Q157" i="5"/>
  <c r="S157" i="5" s="1"/>
  <c r="Q139" i="5"/>
  <c r="S139" i="5" s="1"/>
  <c r="Q145" i="5"/>
  <c r="S145" i="5" s="1"/>
  <c r="Q182" i="5"/>
  <c r="R182" i="5" s="1"/>
  <c r="Q241" i="5"/>
  <c r="S241" i="5" s="1"/>
  <c r="Q233" i="5"/>
  <c r="R233" i="5" s="1"/>
  <c r="Q234" i="5"/>
  <c r="S234" i="5" s="1"/>
  <c r="Q284" i="5"/>
  <c r="Q215" i="5"/>
  <c r="S215" i="5" s="1"/>
  <c r="Q303" i="5"/>
  <c r="R303" i="5" s="1"/>
  <c r="Q248" i="5"/>
  <c r="R248" i="5" s="1"/>
  <c r="Q304" i="5"/>
  <c r="S304" i="5" s="1"/>
  <c r="Q360" i="5"/>
  <c r="R360" i="5" s="1"/>
  <c r="Q385" i="5"/>
  <c r="B43" i="5"/>
  <c r="Q45" i="5"/>
  <c r="S45" i="5" s="1"/>
  <c r="Q27" i="5"/>
  <c r="S27" i="5" s="1"/>
  <c r="Q78" i="5"/>
  <c r="R78" i="5" s="1"/>
  <c r="Q110" i="5"/>
  <c r="R110" i="5" s="1"/>
  <c r="Q151" i="5"/>
  <c r="S151" i="5" s="1"/>
  <c r="Q105" i="5"/>
  <c r="S105" i="5" s="1"/>
  <c r="Q163" i="5"/>
  <c r="S163" i="5" s="1"/>
  <c r="Q178" i="5"/>
  <c r="S178" i="5" s="1"/>
  <c r="Q186" i="5"/>
  <c r="Q214" i="5"/>
  <c r="R214" i="5" s="1"/>
  <c r="Q276" i="5"/>
  <c r="Q255" i="5"/>
  <c r="R255" i="5" s="1"/>
  <c r="Q173" i="5"/>
  <c r="Q297" i="5"/>
  <c r="S297" i="5" s="1"/>
  <c r="Q295" i="5"/>
  <c r="S295" i="5" s="1"/>
  <c r="Q428" i="5"/>
  <c r="R428" i="5" s="1"/>
  <c r="Q353" i="5"/>
  <c r="R353" i="5" s="1"/>
  <c r="Q414" i="5"/>
  <c r="S414" i="5" s="1"/>
  <c r="Q384" i="5"/>
  <c r="Q381" i="5"/>
  <c r="S381" i="5" s="1"/>
  <c r="Q474" i="5"/>
  <c r="S474" i="5" s="1"/>
  <c r="Q544" i="5"/>
  <c r="S544" i="5" s="1"/>
  <c r="Q451" i="5"/>
  <c r="S451" i="5" s="1"/>
  <c r="Q424" i="5"/>
  <c r="Q345" i="5"/>
  <c r="R345" i="5" s="1"/>
  <c r="Q387" i="5"/>
  <c r="S387" i="5" s="1"/>
  <c r="Q379" i="5"/>
  <c r="R379" i="5" s="1"/>
  <c r="Q352" i="5"/>
  <c r="S352" i="5" s="1"/>
  <c r="Q259" i="5"/>
  <c r="S259" i="5" s="1"/>
  <c r="Q225" i="5"/>
  <c r="S225" i="5" s="1"/>
  <c r="Q150" i="5"/>
  <c r="S150" i="5" s="1"/>
  <c r="Q111" i="5"/>
  <c r="R111" i="5" s="1"/>
  <c r="Q40" i="5"/>
  <c r="R40" i="5" s="1"/>
  <c r="Q472" i="5"/>
  <c r="R472" i="5" s="1"/>
  <c r="Q558" i="5"/>
  <c r="R558" i="5" s="1"/>
  <c r="Q532" i="5"/>
  <c r="S532" i="5" s="1"/>
  <c r="Q542" i="5"/>
  <c r="S542" i="5" s="1"/>
  <c r="Q465" i="5"/>
  <c r="R465" i="5" s="1"/>
  <c r="Q493" i="5"/>
  <c r="S493" i="5" s="1"/>
  <c r="Q435" i="5"/>
  <c r="R435" i="5" s="1"/>
  <c r="Q521" i="5"/>
  <c r="Q462" i="5"/>
  <c r="S462" i="5" s="1"/>
  <c r="Q401" i="5"/>
  <c r="S401" i="5" s="1"/>
  <c r="Q413" i="5"/>
  <c r="S413" i="5" s="1"/>
  <c r="Q282" i="5"/>
  <c r="S282" i="5" s="1"/>
  <c r="Q371" i="5"/>
  <c r="R371" i="5" s="1"/>
  <c r="Q294" i="5"/>
  <c r="R294" i="5" s="1"/>
  <c r="Q307" i="5"/>
  <c r="S307" i="5" s="1"/>
  <c r="Q223" i="5"/>
  <c r="R223" i="5" s="1"/>
  <c r="Q339" i="5"/>
  <c r="R339" i="5" s="1"/>
  <c r="Q448" i="5"/>
  <c r="R448" i="5" s="1"/>
  <c r="Q455" i="5"/>
  <c r="S455" i="5" s="1"/>
  <c r="Q298" i="5"/>
  <c r="S298" i="5" s="1"/>
  <c r="Q28" i="5"/>
  <c r="S28" i="5" s="1"/>
  <c r="Q406" i="5"/>
  <c r="S406" i="5" s="1"/>
  <c r="Q250" i="5"/>
  <c r="S250" i="5" s="1"/>
  <c r="Q556" i="5"/>
  <c r="S556" i="5" s="1"/>
  <c r="Q426" i="5"/>
  <c r="S426" i="5" s="1"/>
  <c r="Q390" i="5"/>
  <c r="S390" i="5" s="1"/>
  <c r="Q254" i="5"/>
  <c r="S254" i="5" s="1"/>
  <c r="Q228" i="5"/>
  <c r="R228" i="5" s="1"/>
  <c r="Q82" i="5"/>
  <c r="S82" i="5" s="1"/>
  <c r="Q21" i="5"/>
  <c r="S21" i="5" s="1"/>
  <c r="Q25" i="5"/>
  <c r="S25" i="5" s="1"/>
  <c r="Q62" i="5"/>
  <c r="R62" i="5" s="1"/>
  <c r="Q74" i="5"/>
  <c r="S74" i="5" s="1"/>
  <c r="Q85" i="5"/>
  <c r="S85" i="5" s="1"/>
  <c r="Q108" i="5"/>
  <c r="R108" i="5" s="1"/>
  <c r="Q53" i="5"/>
  <c r="Q102" i="5"/>
  <c r="R102" i="5" s="1"/>
  <c r="Q155" i="5"/>
  <c r="R155" i="5" s="1"/>
  <c r="Q172" i="5"/>
  <c r="S172" i="5" s="1"/>
  <c r="Q208" i="5"/>
  <c r="R208" i="5" s="1"/>
  <c r="Q177" i="5"/>
  <c r="R177" i="5" s="1"/>
  <c r="Q171" i="5"/>
  <c r="R171" i="5" s="1"/>
  <c r="Q101" i="5"/>
  <c r="R101" i="5" s="1"/>
  <c r="Q299" i="5"/>
  <c r="Q253" i="5"/>
  <c r="R253" i="5" s="1"/>
  <c r="Q320" i="5"/>
  <c r="S320" i="5" s="1"/>
  <c r="Q267" i="5"/>
  <c r="R267" i="5" s="1"/>
  <c r="Q317" i="5"/>
  <c r="R317" i="5" s="1"/>
  <c r="Q289" i="5"/>
  <c r="S289" i="5" s="1"/>
  <c r="Q396" i="5"/>
  <c r="S396" i="5" s="1"/>
  <c r="Q13" i="5"/>
  <c r="S13" i="5" s="1"/>
  <c r="Q23" i="5"/>
  <c r="R23" i="5" s="1"/>
  <c r="Q67" i="5"/>
  <c r="R67" i="5" s="1"/>
  <c r="Q71" i="5"/>
  <c r="R71" i="5" s="1"/>
  <c r="Q103" i="5"/>
  <c r="S103" i="5" s="1"/>
  <c r="Q98" i="5"/>
  <c r="R98" i="5" s="1"/>
  <c r="Q124" i="5"/>
  <c r="S124" i="5" s="1"/>
  <c r="Q130" i="5"/>
  <c r="S130" i="5" s="1"/>
  <c r="Q181" i="5"/>
  <c r="S181" i="5" s="1"/>
  <c r="Q210" i="5"/>
  <c r="R210" i="5" s="1"/>
  <c r="Q231" i="5"/>
  <c r="R231" i="5" s="1"/>
  <c r="Q302" i="5"/>
  <c r="R302" i="5" s="1"/>
  <c r="Q285" i="5"/>
  <c r="R285" i="5" s="1"/>
  <c r="Q243" i="5"/>
  <c r="S243" i="5" s="1"/>
  <c r="Q319" i="5"/>
  <c r="R319" i="5" s="1"/>
  <c r="Q356" i="5"/>
  <c r="S356" i="5" s="1"/>
  <c r="Q441" i="5"/>
  <c r="R441" i="5" s="1"/>
  <c r="Q365" i="5"/>
  <c r="S365" i="5" s="1"/>
  <c r="Q322" i="5"/>
  <c r="S322" i="5" s="1"/>
  <c r="Q398" i="5"/>
  <c r="R398" i="5" s="1"/>
  <c r="Q433" i="5"/>
  <c r="S433" i="5" s="1"/>
  <c r="Q485" i="5"/>
  <c r="R485" i="5" s="1"/>
  <c r="Q560" i="5"/>
  <c r="S560" i="5" s="1"/>
  <c r="Q543" i="5"/>
  <c r="R543" i="5" s="1"/>
  <c r="Q495" i="5"/>
  <c r="S495" i="5" s="1"/>
  <c r="Q523" i="5"/>
  <c r="S523" i="5" s="1"/>
  <c r="Q405" i="5"/>
  <c r="R405" i="5" s="1"/>
  <c r="Q308" i="5"/>
  <c r="S308" i="5" s="1"/>
  <c r="Q309" i="5"/>
  <c r="S309" i="5" s="1"/>
  <c r="Q313" i="5"/>
  <c r="S313" i="5" s="1"/>
  <c r="Q236" i="5"/>
  <c r="R236" i="5" s="1"/>
  <c r="Q112" i="5"/>
  <c r="R112" i="5" s="1"/>
  <c r="Q79" i="5"/>
  <c r="S79" i="5" s="1"/>
  <c r="Q10" i="5"/>
  <c r="R10" i="5" s="1"/>
  <c r="Q427" i="5"/>
  <c r="R427" i="5" s="1"/>
  <c r="Q507" i="5"/>
  <c r="S507" i="5" s="1"/>
  <c r="Q491" i="5"/>
  <c r="R491" i="5" s="1"/>
  <c r="Q535" i="5"/>
  <c r="R535" i="5" s="1"/>
  <c r="Q444" i="5"/>
  <c r="R444" i="5" s="1"/>
  <c r="Q488" i="5"/>
  <c r="R488" i="5" s="1"/>
  <c r="Q420" i="5"/>
  <c r="R420" i="5" s="1"/>
  <c r="Q511" i="5"/>
  <c r="R511" i="5" s="1"/>
  <c r="Q453" i="5"/>
  <c r="R453" i="5" s="1"/>
  <c r="Q377" i="5"/>
  <c r="Q392" i="5"/>
  <c r="R392" i="5" s="1"/>
  <c r="Q442" i="5"/>
  <c r="R442" i="5" s="1"/>
  <c r="Q273" i="5"/>
  <c r="R273" i="5" s="1"/>
  <c r="Q275" i="5"/>
  <c r="R275" i="5" s="1"/>
  <c r="Q290" i="5"/>
  <c r="S290" i="5" s="1"/>
  <c r="Q269" i="5"/>
  <c r="S269" i="5" s="1"/>
  <c r="P289" i="5"/>
  <c r="P80" i="5"/>
  <c r="P123" i="5"/>
  <c r="P247" i="5"/>
  <c r="AC247" i="5" s="1"/>
  <c r="AS247" i="5" s="1"/>
  <c r="Q479" i="5"/>
  <c r="R479" i="5" s="1"/>
  <c r="Q361" i="5"/>
  <c r="P260" i="5"/>
  <c r="AC260" i="5" s="1"/>
  <c r="AS260" i="5" s="1"/>
  <c r="AU260" i="5" s="1"/>
  <c r="P28" i="5"/>
  <c r="P8" i="5"/>
  <c r="P32" i="5"/>
  <c r="P95" i="5"/>
  <c r="P550" i="5"/>
  <c r="P163" i="5"/>
  <c r="P217" i="5"/>
  <c r="P108" i="5"/>
  <c r="P526" i="5"/>
  <c r="P237" i="5"/>
  <c r="P387" i="5"/>
  <c r="P430" i="5"/>
  <c r="P271" i="5"/>
  <c r="P141" i="5"/>
  <c r="P11" i="5"/>
  <c r="P233" i="5"/>
  <c r="P45" i="5"/>
  <c r="P97" i="5"/>
  <c r="P419" i="5"/>
  <c r="P540" i="5"/>
  <c r="P469" i="5"/>
  <c r="P313" i="5"/>
  <c r="P376" i="5"/>
  <c r="Q524" i="5"/>
  <c r="R524" i="5" s="1"/>
  <c r="Q46" i="5"/>
  <c r="S46" i="5" s="1"/>
  <c r="Q199" i="5"/>
  <c r="R199" i="5" s="1"/>
  <c r="Q332" i="5"/>
  <c r="R332" i="5" s="1"/>
  <c r="Q425" i="5"/>
  <c r="S425" i="5" s="1"/>
  <c r="Q538" i="5"/>
  <c r="R538" i="5" s="1"/>
  <c r="Q326" i="5"/>
  <c r="S326" i="5" s="1"/>
  <c r="Q359" i="5"/>
  <c r="S359" i="5" s="1"/>
  <c r="Q559" i="5"/>
  <c r="R559" i="5" s="1"/>
  <c r="P276" i="5"/>
  <c r="P249" i="5"/>
  <c r="P101" i="5"/>
  <c r="P142" i="5"/>
  <c r="AC142" i="5" s="1"/>
  <c r="AS142" i="5" s="1"/>
  <c r="P171" i="5"/>
  <c r="P20" i="5"/>
  <c r="P418" i="5"/>
  <c r="P404" i="5"/>
  <c r="AC404" i="5" s="1"/>
  <c r="AD404" i="5" s="1"/>
  <c r="P393" i="5"/>
  <c r="P116" i="5"/>
  <c r="P482" i="5"/>
  <c r="P211" i="5"/>
  <c r="P477" i="5"/>
  <c r="P124" i="5"/>
  <c r="AC124" i="5" s="1"/>
  <c r="AD124" i="5" s="1"/>
  <c r="P366" i="5"/>
  <c r="P434" i="5"/>
  <c r="P236" i="5"/>
  <c r="P284" i="5"/>
  <c r="P206" i="5"/>
  <c r="P422" i="5"/>
  <c r="P270" i="5"/>
  <c r="P223" i="5"/>
  <c r="P190" i="5"/>
  <c r="P115" i="5"/>
  <c r="P64" i="5"/>
  <c r="AC64" i="5" s="1"/>
  <c r="AE64" i="5" s="1"/>
  <c r="P167" i="5"/>
  <c r="P100" i="5"/>
  <c r="P36" i="5"/>
  <c r="AC36" i="5" s="1"/>
  <c r="AD36" i="5" s="1"/>
  <c r="P131" i="5"/>
  <c r="P21" i="5"/>
  <c r="P451" i="5"/>
  <c r="P316" i="5"/>
  <c r="P275" i="5"/>
  <c r="P29" i="5"/>
  <c r="P508" i="5"/>
  <c r="AC508" i="5" s="1"/>
  <c r="AS508" i="5" s="1"/>
  <c r="P343" i="5"/>
  <c r="P37" i="5"/>
  <c r="AC37" i="5" s="1"/>
  <c r="AE37" i="5" s="1"/>
  <c r="P340" i="5"/>
  <c r="P442" i="5"/>
  <c r="P530" i="5"/>
  <c r="P556" i="5"/>
  <c r="P218" i="5"/>
  <c r="P381" i="5"/>
  <c r="P302" i="5"/>
  <c r="P363" i="5"/>
  <c r="P272" i="5"/>
  <c r="P208" i="5"/>
  <c r="P127" i="5"/>
  <c r="P105" i="5"/>
  <c r="P50" i="5"/>
  <c r="P170" i="5"/>
  <c r="P92" i="5"/>
  <c r="P246" i="5"/>
  <c r="P152" i="5"/>
  <c r="AC152" i="5" s="1"/>
  <c r="AS152" i="5" s="1"/>
  <c r="AU152" i="5" s="1"/>
  <c r="P66" i="5"/>
  <c r="P440" i="5"/>
  <c r="P216" i="5"/>
  <c r="P262" i="5"/>
  <c r="P168" i="5"/>
  <c r="P443" i="5"/>
  <c r="P334" i="5"/>
  <c r="P555" i="5"/>
  <c r="P263" i="5"/>
  <c r="P506" i="5"/>
  <c r="P517" i="5"/>
  <c r="P453" i="5"/>
  <c r="AC453" i="5" s="1"/>
  <c r="AE453" i="5" s="1"/>
  <c r="P226" i="5"/>
  <c r="P345" i="5"/>
  <c r="Q505" i="5"/>
  <c r="S505" i="5" s="1"/>
  <c r="Q159" i="5"/>
  <c r="S159" i="5" s="1"/>
  <c r="Q291" i="5"/>
  <c r="S291" i="5" s="1"/>
  <c r="Q249" i="5"/>
  <c r="R249" i="5" s="1"/>
  <c r="Q517" i="5"/>
  <c r="R517" i="5" s="1"/>
  <c r="Q537" i="5"/>
  <c r="R537" i="5" s="1"/>
  <c r="Q56" i="5"/>
  <c r="S56" i="5" s="1"/>
  <c r="Q376" i="5"/>
  <c r="S376" i="5" s="1"/>
  <c r="Q551" i="5"/>
  <c r="R551" i="5" s="1"/>
  <c r="Q513" i="5"/>
  <c r="S513" i="5" s="1"/>
  <c r="Q539" i="5"/>
  <c r="R539" i="5" s="1"/>
  <c r="Q344" i="5"/>
  <c r="R344" i="5" s="1"/>
  <c r="Q419" i="5"/>
  <c r="R419" i="5" s="1"/>
  <c r="Q191" i="5"/>
  <c r="R191" i="5" s="1"/>
  <c r="Q158" i="5"/>
  <c r="R158" i="5" s="1"/>
  <c r="Q134" i="5"/>
  <c r="S134" i="5" s="1"/>
  <c r="Q55" i="5"/>
  <c r="R55" i="5" s="1"/>
  <c r="Q480" i="5"/>
  <c r="S480" i="5" s="1"/>
  <c r="Q218" i="5"/>
  <c r="R218" i="5" s="1"/>
  <c r="Q164" i="5"/>
  <c r="S164" i="5" s="1"/>
  <c r="Q224" i="5"/>
  <c r="S224" i="5" s="1"/>
  <c r="Q468" i="5"/>
  <c r="S468" i="5" s="1"/>
  <c r="Q88" i="5"/>
  <c r="R88" i="5" s="1"/>
  <c r="Q197" i="5"/>
  <c r="S197" i="5" s="1"/>
  <c r="Q409" i="5"/>
  <c r="S409" i="5" s="1"/>
  <c r="Q20" i="5"/>
  <c r="R20" i="5" s="1"/>
  <c r="Q301" i="5"/>
  <c r="S301" i="5" s="1"/>
  <c r="Q364" i="5"/>
  <c r="S364" i="5" s="1"/>
  <c r="P335" i="5"/>
  <c r="P424" i="5"/>
  <c r="P290" i="5"/>
  <c r="P89" i="5"/>
  <c r="P265" i="5"/>
  <c r="AC265" i="5" s="1"/>
  <c r="AD265" i="5" s="1"/>
  <c r="P325" i="5"/>
  <c r="P375" i="5"/>
  <c r="P515" i="5"/>
  <c r="P523" i="5"/>
  <c r="AC523" i="5" s="1"/>
  <c r="AE523" i="5" s="1"/>
  <c r="P78" i="5"/>
  <c r="P267" i="5"/>
  <c r="P427" i="5"/>
  <c r="P411" i="5"/>
  <c r="P522" i="5"/>
  <c r="P539" i="5"/>
  <c r="AC539" i="5" s="1"/>
  <c r="P471" i="5"/>
  <c r="P201" i="5"/>
  <c r="P125" i="5"/>
  <c r="P547" i="5"/>
  <c r="P414" i="5"/>
  <c r="P183" i="5"/>
  <c r="P538" i="5"/>
  <c r="P344" i="5"/>
  <c r="P154" i="5"/>
  <c r="P121" i="5"/>
  <c r="AC121" i="5" s="1"/>
  <c r="AD121" i="5" s="1"/>
  <c r="P198" i="5"/>
  <c r="P388" i="5"/>
  <c r="P299" i="5"/>
  <c r="P389" i="5"/>
  <c r="AC389" i="5" s="1"/>
  <c r="AS389" i="5" s="1"/>
  <c r="P513" i="5"/>
  <c r="AC513" i="5" s="1"/>
  <c r="AE513" i="5" s="1"/>
  <c r="P58" i="5"/>
  <c r="P148" i="5"/>
  <c r="P239" i="5"/>
  <c r="P297" i="5"/>
  <c r="AC297" i="5" s="1"/>
  <c r="AE297" i="5" s="1"/>
  <c r="P408" i="5"/>
  <c r="P416" i="5"/>
  <c r="P436" i="5"/>
  <c r="P497" i="5"/>
  <c r="AC497" i="5" s="1"/>
  <c r="AD497" i="5" s="1"/>
  <c r="P525" i="5"/>
  <c r="P521" i="5"/>
  <c r="P536" i="5"/>
  <c r="P120" i="5"/>
  <c r="P44" i="5"/>
  <c r="P132" i="5"/>
  <c r="P230" i="5"/>
  <c r="P261" i="5"/>
  <c r="P329" i="5"/>
  <c r="P323" i="5"/>
  <c r="AC323" i="5" s="1"/>
  <c r="AD323" i="5" s="1"/>
  <c r="P435" i="5"/>
  <c r="P398" i="5"/>
  <c r="P346" i="5"/>
  <c r="P396" i="5"/>
  <c r="P514" i="5"/>
  <c r="P484" i="5"/>
  <c r="P466" i="5"/>
  <c r="P454" i="5"/>
  <c r="P43" i="5"/>
  <c r="P57" i="5"/>
  <c r="P83" i="5"/>
  <c r="P140" i="5"/>
  <c r="P151" i="5"/>
  <c r="P147" i="5"/>
  <c r="P221" i="5"/>
  <c r="P24" i="5"/>
  <c r="P67" i="5"/>
  <c r="P107" i="5"/>
  <c r="P111" i="5"/>
  <c r="P185" i="5"/>
  <c r="P186" i="5"/>
  <c r="AC186" i="5" s="1"/>
  <c r="AE186" i="5" s="1"/>
  <c r="P252" i="5"/>
  <c r="P13" i="5"/>
  <c r="P40" i="5"/>
  <c r="P60" i="5"/>
  <c r="P77" i="5"/>
  <c r="P96" i="5"/>
  <c r="P128" i="5"/>
  <c r="P133" i="5"/>
  <c r="P74" i="5"/>
  <c r="AC74" i="5" s="1"/>
  <c r="AD74" i="5" s="1"/>
  <c r="P165" i="5"/>
  <c r="P225" i="5"/>
  <c r="P222" i="5"/>
  <c r="P243" i="5"/>
  <c r="P112" i="5"/>
  <c r="P309" i="5"/>
  <c r="AC309" i="5" s="1"/>
  <c r="P308" i="5"/>
  <c r="P483" i="5"/>
  <c r="P283" i="5"/>
  <c r="P545" i="5"/>
  <c r="P192" i="5"/>
  <c r="P294" i="5"/>
  <c r="P367" i="5"/>
  <c r="P534" i="5"/>
  <c r="AC534" i="5" s="1"/>
  <c r="AD534" i="5" s="1"/>
  <c r="P504" i="5"/>
  <c r="P546" i="5"/>
  <c r="P150" i="5"/>
  <c r="P304" i="5"/>
  <c r="P374" i="5"/>
  <c r="P380" i="5"/>
  <c r="P350" i="5"/>
  <c r="AC350" i="5" s="1"/>
  <c r="AE350" i="5" s="1"/>
  <c r="P529" i="5"/>
  <c r="P423" i="5"/>
  <c r="P282" i="5"/>
  <c r="P25" i="5"/>
  <c r="P479" i="5"/>
  <c r="P355" i="5"/>
  <c r="P551" i="5"/>
  <c r="P476" i="5"/>
  <c r="P402" i="5"/>
  <c r="P52" i="5"/>
  <c r="P214" i="5"/>
  <c r="AC214" i="5" s="1"/>
  <c r="AS214" i="5" s="1"/>
  <c r="AT214" i="5" s="1"/>
  <c r="P315" i="5"/>
  <c r="AC315" i="5" s="1"/>
  <c r="AE315" i="5" s="1"/>
  <c r="P417" i="5"/>
  <c r="P378" i="5"/>
  <c r="P445" i="5"/>
  <c r="AC445" i="5" s="1"/>
  <c r="AE445" i="5" s="1"/>
  <c r="P441" i="5"/>
  <c r="P91" i="5"/>
  <c r="P160" i="5"/>
  <c r="P259" i="5"/>
  <c r="P306" i="5"/>
  <c r="P288" i="5"/>
  <c r="P258" i="5"/>
  <c r="P486" i="5"/>
  <c r="P371" i="5"/>
  <c r="P461" i="5"/>
  <c r="P496" i="5"/>
  <c r="P23" i="5"/>
  <c r="P110" i="5"/>
  <c r="P72" i="5"/>
  <c r="AC72" i="5" s="1"/>
  <c r="AD72" i="5" s="1"/>
  <c r="P166" i="5"/>
  <c r="P202" i="5"/>
  <c r="P307" i="5"/>
  <c r="P268" i="5"/>
  <c r="P354" i="5"/>
  <c r="P331" i="5"/>
  <c r="P412" i="5"/>
  <c r="AC412" i="5" s="1"/>
  <c r="AS412" i="5" s="1"/>
  <c r="AT412" i="5" s="1"/>
  <c r="P360" i="5"/>
  <c r="P457" i="5"/>
  <c r="P372" i="5"/>
  <c r="P509" i="5"/>
  <c r="P507" i="5"/>
  <c r="P501" i="5"/>
  <c r="P336" i="5"/>
  <c r="P399" i="5"/>
  <c r="P361" i="5"/>
  <c r="P319" i="5"/>
  <c r="P303" i="5"/>
  <c r="P213" i="5"/>
  <c r="P240" i="5"/>
  <c r="P129" i="5"/>
  <c r="P59" i="5"/>
  <c r="AC59" i="5" s="1"/>
  <c r="AE59" i="5" s="1"/>
  <c r="P161" i="5"/>
  <c r="P84" i="5"/>
  <c r="P42" i="5"/>
  <c r="P30" i="5"/>
  <c r="P219" i="5"/>
  <c r="P136" i="5"/>
  <c r="P157" i="5"/>
  <c r="P93" i="5"/>
  <c r="P63" i="5"/>
  <c r="P189" i="5"/>
  <c r="P94" i="5"/>
  <c r="P159" i="5"/>
  <c r="P82" i="5"/>
  <c r="P54" i="5"/>
  <c r="P533" i="5"/>
  <c r="P450" i="5"/>
  <c r="P410" i="5"/>
  <c r="P368" i="5"/>
  <c r="P199" i="5"/>
  <c r="P227" i="5"/>
  <c r="P103" i="5"/>
  <c r="P87" i="5"/>
  <c r="P480" i="5"/>
  <c r="P386" i="5"/>
  <c r="P401" i="5"/>
  <c r="P277" i="5"/>
  <c r="AC277" i="5" s="1"/>
  <c r="AE277" i="5" s="1"/>
  <c r="P104" i="5"/>
  <c r="P478" i="5"/>
  <c r="P397" i="5"/>
  <c r="P281" i="5"/>
  <c r="P220" i="5"/>
  <c r="P528" i="5"/>
  <c r="AC528" i="5" s="1"/>
  <c r="AS528" i="5" s="1"/>
  <c r="AT528" i="5" s="1"/>
  <c r="P364" i="5"/>
  <c r="P173" i="5"/>
  <c r="P464" i="5"/>
  <c r="P518" i="5"/>
  <c r="P392" i="5"/>
  <c r="P34" i="5"/>
  <c r="AC34" i="5" s="1"/>
  <c r="AD34" i="5" s="1"/>
  <c r="P432" i="5"/>
  <c r="P373" i="5"/>
  <c r="P68" i="5"/>
  <c r="P429" i="5"/>
  <c r="P266" i="5"/>
  <c r="P382" i="5"/>
  <c r="P342" i="5"/>
  <c r="P287" i="5"/>
  <c r="P293" i="5"/>
  <c r="P234" i="5"/>
  <c r="P169" i="5"/>
  <c r="P178" i="5"/>
  <c r="P144" i="5"/>
  <c r="P109" i="5"/>
  <c r="P90" i="5"/>
  <c r="P61" i="5"/>
  <c r="P22" i="5"/>
  <c r="P10" i="5"/>
  <c r="P194" i="5"/>
  <c r="P118" i="5"/>
  <c r="P138" i="5"/>
  <c r="P76" i="5"/>
  <c r="P33" i="5"/>
  <c r="P187" i="5"/>
  <c r="AC187" i="5" s="1"/>
  <c r="AD187" i="5" s="1"/>
  <c r="P175" i="5"/>
  <c r="P114" i="5"/>
  <c r="P75" i="5"/>
  <c r="P35" i="5"/>
  <c r="P516" i="5"/>
  <c r="P407" i="5"/>
  <c r="P390" i="5"/>
  <c r="P347" i="5"/>
  <c r="P295" i="5"/>
  <c r="P212" i="5"/>
  <c r="P31" i="5"/>
  <c r="P71" i="5"/>
  <c r="P543" i="5"/>
  <c r="P520" i="5"/>
  <c r="P338" i="5"/>
  <c r="P200" i="5"/>
  <c r="P70" i="5"/>
  <c r="P494" i="5"/>
  <c r="P370" i="5"/>
  <c r="P197" i="5"/>
  <c r="P317" i="5"/>
  <c r="P554" i="5"/>
  <c r="P446" i="5"/>
  <c r="P274" i="5"/>
  <c r="P559" i="5"/>
  <c r="P449" i="5"/>
  <c r="P279" i="5"/>
  <c r="P19" i="5"/>
  <c r="P444" i="5"/>
  <c r="P322" i="5"/>
  <c r="AC322" i="5" s="1"/>
  <c r="AD322" i="5" s="1"/>
  <c r="P420" i="5"/>
  <c r="P143" i="5"/>
  <c r="P244" i="5"/>
  <c r="P548" i="5"/>
  <c r="P395" i="5"/>
  <c r="P542" i="5"/>
  <c r="P475" i="5"/>
  <c r="P38" i="5"/>
  <c r="P365" i="5"/>
  <c r="P182" i="5"/>
  <c r="P251" i="5"/>
  <c r="P257" i="5"/>
  <c r="P425" i="5"/>
  <c r="P241" i="5"/>
  <c r="P452" i="5"/>
  <c r="P502" i="5"/>
  <c r="P558" i="5"/>
  <c r="P535" i="5"/>
  <c r="P433" i="5"/>
  <c r="P69" i="5"/>
  <c r="P210" i="5"/>
  <c r="P310" i="5"/>
  <c r="P332" i="5"/>
  <c r="P328" i="5"/>
  <c r="P359" i="5"/>
  <c r="P495" i="5"/>
  <c r="P447" i="5"/>
  <c r="AC447" i="5" s="1"/>
  <c r="AS447" i="5" s="1"/>
  <c r="AT447" i="5" s="1"/>
  <c r="P527" i="5"/>
  <c r="P473" i="5"/>
  <c r="P541" i="5"/>
  <c r="P499" i="5"/>
  <c r="P400" i="5"/>
  <c r="P349" i="5"/>
  <c r="P231" i="5"/>
  <c r="P512" i="5"/>
  <c r="AC512" i="5" s="1"/>
  <c r="AS512" i="5" s="1"/>
  <c r="AT512" i="5" s="1"/>
  <c r="P560" i="5"/>
  <c r="P531" i="5"/>
  <c r="P348" i="5"/>
  <c r="P188" i="5"/>
  <c r="P85" i="5"/>
  <c r="P485" i="5"/>
  <c r="P458" i="5"/>
  <c r="AC458" i="5" s="1"/>
  <c r="AE458" i="5" s="1"/>
  <c r="P362" i="5"/>
  <c r="AC362" i="5" s="1"/>
  <c r="P351" i="5"/>
  <c r="P248" i="5"/>
  <c r="P79" i="5"/>
  <c r="P191" i="5"/>
  <c r="P229" i="5"/>
  <c r="P280" i="5"/>
  <c r="P353" i="5"/>
  <c r="P256" i="5"/>
  <c r="P421" i="5"/>
  <c r="P403" i="5"/>
  <c r="P510" i="5"/>
  <c r="P409" i="5"/>
  <c r="P544" i="5"/>
  <c r="P474" i="5"/>
  <c r="P86" i="5"/>
  <c r="P119" i="5"/>
  <c r="P203" i="5"/>
  <c r="P215" i="5"/>
  <c r="P321" i="5"/>
  <c r="P324" i="5"/>
  <c r="P238" i="5"/>
  <c r="P426" i="5"/>
  <c r="P377" i="5"/>
  <c r="P333" i="5"/>
  <c r="P250" i="5"/>
  <c r="P492" i="5"/>
  <c r="P465" i="5"/>
  <c r="P459" i="5"/>
  <c r="P549" i="5"/>
  <c r="P428" i="5"/>
  <c r="P456" i="5"/>
  <c r="P431" i="5"/>
  <c r="P46" i="5"/>
  <c r="P98" i="5"/>
  <c r="P180" i="5"/>
  <c r="P26" i="5"/>
  <c r="P99" i="5"/>
  <c r="P137" i="5"/>
  <c r="P181" i="5"/>
  <c r="P224" i="5"/>
  <c r="P232" i="5"/>
  <c r="P330" i="5"/>
  <c r="P312" i="5"/>
  <c r="P318" i="5"/>
  <c r="B94" i="2"/>
  <c r="B102" i="2" s="1"/>
  <c r="B103" i="2" s="1"/>
  <c r="P311" i="5"/>
  <c r="P413" i="5"/>
  <c r="P341" i="5"/>
  <c r="P327" i="5"/>
  <c r="P254" i="5"/>
  <c r="P278" i="5"/>
  <c r="P320" i="5"/>
  <c r="P253" i="5"/>
  <c r="P134" i="5"/>
  <c r="P174" i="5"/>
  <c r="P207" i="5"/>
  <c r="P177" i="5"/>
  <c r="P164" i="5"/>
  <c r="P162" i="5"/>
  <c r="P117" i="5"/>
  <c r="P146" i="5"/>
  <c r="AC146" i="5" s="1"/>
  <c r="AS146" i="5" s="1"/>
  <c r="AT146" i="5" s="1"/>
  <c r="P81" i="5"/>
  <c r="P88" i="5"/>
  <c r="P62" i="5"/>
  <c r="P73" i="5"/>
  <c r="P41" i="5"/>
  <c r="P9" i="5"/>
  <c r="P12" i="5"/>
  <c r="P204" i="5"/>
  <c r="P184" i="5"/>
  <c r="P126" i="5"/>
  <c r="AC126" i="5" s="1"/>
  <c r="AS126" i="5" s="1"/>
  <c r="P172" i="5"/>
  <c r="P145" i="5"/>
  <c r="P106" i="5"/>
  <c r="P51" i="5"/>
  <c r="P65" i="5"/>
  <c r="P48" i="5"/>
  <c r="P156" i="5"/>
  <c r="P196" i="5"/>
  <c r="P176" i="5"/>
  <c r="P155" i="5"/>
  <c r="P122" i="5"/>
  <c r="P102" i="5"/>
  <c r="P56" i="5"/>
  <c r="P47" i="5"/>
  <c r="P27" i="5"/>
  <c r="P553" i="5"/>
  <c r="P552" i="5"/>
  <c r="P491" i="5"/>
  <c r="P385" i="5"/>
  <c r="P439" i="5"/>
  <c r="P493" i="5"/>
  <c r="P438" i="5"/>
  <c r="P369" i="5"/>
  <c r="P269" i="5"/>
  <c r="P384" i="5"/>
  <c r="P291" i="5"/>
  <c r="P383" i="5"/>
  <c r="P337" i="5"/>
  <c r="P286" i="5"/>
  <c r="P296" i="5"/>
  <c r="P242" i="5"/>
  <c r="P113" i="5"/>
  <c r="P149" i="5"/>
  <c r="P53" i="5"/>
  <c r="P135" i="5"/>
  <c r="P39" i="5"/>
  <c r="P468" i="5"/>
  <c r="P537" i="5"/>
  <c r="P511" i="5"/>
  <c r="P481" i="5"/>
  <c r="P437" i="5"/>
  <c r="P467" i="5"/>
  <c r="P357" i="5"/>
  <c r="P358" i="5"/>
  <c r="P379" i="5"/>
  <c r="P273" i="5"/>
  <c r="P298" i="5"/>
  <c r="P209" i="5"/>
  <c r="P158" i="5"/>
  <c r="P49" i="5"/>
  <c r="P524" i="5"/>
  <c r="P448" i="5"/>
  <c r="P489" i="5"/>
  <c r="P352" i="5"/>
  <c r="P339" i="5"/>
  <c r="P314" i="5"/>
  <c r="P305" i="5"/>
  <c r="P228" i="5"/>
  <c r="P55" i="5"/>
  <c r="P326" i="5"/>
  <c r="P415" i="5"/>
  <c r="P532" i="5"/>
  <c r="P462" i="5"/>
  <c r="P245" i="5"/>
  <c r="AC245" i="5" s="1"/>
  <c r="P235" i="5"/>
  <c r="P460" i="5"/>
  <c r="P557" i="5"/>
  <c r="P285" i="5"/>
  <c r="P394" i="5"/>
  <c r="P356" i="5"/>
  <c r="P391" i="5"/>
  <c r="P503" i="5"/>
  <c r="P498" i="5"/>
  <c r="AC498" i="5" s="1"/>
  <c r="AS498" i="5" s="1"/>
  <c r="AU498" i="5" s="1"/>
  <c r="P470" i="5"/>
  <c r="P406" i="5"/>
  <c r="P292" i="5"/>
  <c r="P255" i="5"/>
  <c r="P153" i="5"/>
  <c r="P519" i="5"/>
  <c r="P500" i="5"/>
  <c r="P472" i="5"/>
  <c r="P490" i="5"/>
  <c r="P405" i="5"/>
  <c r="P264" i="5"/>
  <c r="P300" i="5"/>
  <c r="P130" i="5"/>
  <c r="P505" i="5"/>
  <c r="P487" i="5"/>
  <c r="AC487" i="5" s="1"/>
  <c r="AD487" i="5" s="1"/>
  <c r="P301" i="5"/>
  <c r="P193" i="5"/>
  <c r="B189" i="2"/>
  <c r="B252" i="2" s="1"/>
  <c r="S508" i="5"/>
  <c r="Y59" i="5"/>
  <c r="AA10" i="5"/>
  <c r="X7" i="5"/>
  <c r="Y7" i="5"/>
  <c r="AB7" i="5"/>
  <c r="AA7" i="5"/>
  <c r="Z134" i="4"/>
  <c r="Z71" i="4"/>
  <c r="Z125" i="4"/>
  <c r="Z103" i="4"/>
  <c r="Z93" i="4"/>
  <c r="Z51" i="4"/>
  <c r="Z119" i="4"/>
  <c r="Z115" i="4"/>
  <c r="Z80" i="4"/>
  <c r="Z63" i="4"/>
  <c r="Z28" i="4"/>
  <c r="Z121" i="4"/>
  <c r="Z12" i="4"/>
  <c r="Z27" i="4"/>
  <c r="Z43" i="4"/>
  <c r="Z151" i="4"/>
  <c r="Z127" i="4"/>
  <c r="Z14" i="4"/>
  <c r="Z144" i="4"/>
  <c r="Z11" i="4"/>
  <c r="Z23" i="4"/>
  <c r="Z70" i="4"/>
  <c r="Z36" i="4"/>
  <c r="Z53" i="4"/>
  <c r="Z8" i="4"/>
  <c r="Z35" i="4"/>
  <c r="Z22" i="4"/>
  <c r="Z38" i="4"/>
  <c r="Z78" i="4"/>
  <c r="Z148" i="4"/>
  <c r="Z44" i="4"/>
  <c r="Z141" i="4"/>
  <c r="Z48" i="4"/>
  <c r="Z42" i="4"/>
  <c r="Z101" i="4"/>
  <c r="Z73" i="4"/>
  <c r="Z138" i="4"/>
  <c r="Z86" i="4"/>
  <c r="Z77" i="4"/>
  <c r="X434" i="5"/>
  <c r="X223" i="5"/>
  <c r="X64" i="5"/>
  <c r="X551" i="5"/>
  <c r="Y486" i="5"/>
  <c r="X525" i="5"/>
  <c r="Y154" i="5"/>
  <c r="X515" i="5"/>
  <c r="Y206" i="5"/>
  <c r="Y514" i="5"/>
  <c r="Y266" i="5"/>
  <c r="Y29" i="5"/>
  <c r="Y87" i="5"/>
  <c r="Y252" i="5"/>
  <c r="Y415" i="5"/>
  <c r="X427" i="5"/>
  <c r="Y373" i="5"/>
  <c r="Y216" i="5"/>
  <c r="Y281" i="5"/>
  <c r="X475" i="5"/>
  <c r="X448" i="5"/>
  <c r="Y380" i="5"/>
  <c r="Y396" i="5"/>
  <c r="X560" i="5"/>
  <c r="X557" i="5"/>
  <c r="Y555" i="5"/>
  <c r="Y45" i="5"/>
  <c r="X58" i="5"/>
  <c r="X310" i="5"/>
  <c r="Y337" i="5"/>
  <c r="Y200" i="5"/>
  <c r="X455" i="5"/>
  <c r="X552" i="5"/>
  <c r="Y235" i="5"/>
  <c r="X548" i="5"/>
  <c r="X152" i="5"/>
  <c r="X44" i="5"/>
  <c r="X202" i="5"/>
  <c r="Y410" i="5"/>
  <c r="X540" i="5"/>
  <c r="X125" i="5"/>
  <c r="X160" i="5"/>
  <c r="Y255" i="5"/>
  <c r="Y307" i="5"/>
  <c r="Y318" i="5"/>
  <c r="X528" i="5"/>
  <c r="X547" i="5"/>
  <c r="Y143" i="5"/>
  <c r="X315" i="5"/>
  <c r="Y268" i="5"/>
  <c r="Y343" i="5"/>
  <c r="Y376" i="5"/>
  <c r="Y353" i="5"/>
  <c r="Y365" i="5"/>
  <c r="Y72" i="5"/>
  <c r="Y134" i="5"/>
  <c r="X329" i="5"/>
  <c r="X335" i="5"/>
  <c r="Y186" i="5"/>
  <c r="X546" i="5"/>
  <c r="X27" i="5"/>
  <c r="X508" i="5"/>
  <c r="X472" i="5"/>
  <c r="Y379" i="5"/>
  <c r="Y239" i="5"/>
  <c r="Y467" i="5"/>
  <c r="Y253" i="5"/>
  <c r="Y444" i="5"/>
  <c r="X541" i="5"/>
  <c r="X488" i="5"/>
  <c r="Y440" i="5"/>
  <c r="Y531" i="5"/>
  <c r="AB257" i="5"/>
  <c r="X320" i="5"/>
  <c r="Y107" i="5"/>
  <c r="X498" i="5"/>
  <c r="X484" i="5"/>
  <c r="X115" i="5"/>
  <c r="X301" i="5"/>
  <c r="Y190" i="5"/>
  <c r="X214" i="5"/>
  <c r="X375" i="5"/>
  <c r="X559" i="5"/>
  <c r="AB536" i="5"/>
  <c r="X398" i="5"/>
  <c r="Y339" i="5"/>
  <c r="X536" i="5"/>
  <c r="Y524" i="5"/>
  <c r="Y554" i="5"/>
  <c r="Y99" i="5"/>
  <c r="Y332" i="5"/>
  <c r="Y446" i="5"/>
  <c r="AA241" i="5"/>
  <c r="X132" i="5"/>
  <c r="X243" i="5"/>
  <c r="Y346" i="5"/>
  <c r="Y236" i="5"/>
  <c r="X462" i="5"/>
  <c r="Y181" i="5"/>
  <c r="AA495" i="5"/>
  <c r="X378" i="5"/>
  <c r="Y402" i="5"/>
  <c r="X102" i="5"/>
  <c r="Y158" i="5"/>
  <c r="Y97" i="5"/>
  <c r="X194" i="5"/>
  <c r="X231" i="5"/>
  <c r="Y251" i="5"/>
  <c r="X259" i="5"/>
  <c r="Y361" i="5"/>
  <c r="Y411" i="5"/>
  <c r="X438" i="5"/>
  <c r="Y523" i="5"/>
  <c r="Y500" i="5"/>
  <c r="Y530" i="5"/>
  <c r="Y70" i="5"/>
  <c r="X305" i="5"/>
  <c r="Y407" i="5"/>
  <c r="Y430" i="5"/>
  <c r="X491" i="5"/>
  <c r="X453" i="5"/>
  <c r="Y544" i="5"/>
  <c r="X533" i="5"/>
  <c r="X128" i="5"/>
  <c r="X248" i="5"/>
  <c r="X238" i="5"/>
  <c r="Y308" i="5"/>
  <c r="X328" i="5"/>
  <c r="Y357" i="5"/>
  <c r="Y217" i="5"/>
  <c r="Y456" i="5"/>
  <c r="Y492" i="5"/>
  <c r="AB475" i="5"/>
  <c r="Y421" i="5"/>
  <c r="Y503" i="5"/>
  <c r="X451" i="5"/>
  <c r="X537" i="5"/>
  <c r="X273" i="5"/>
  <c r="X404" i="5"/>
  <c r="Y558" i="5"/>
  <c r="Y385" i="5"/>
  <c r="AB96" i="5"/>
  <c r="Y126" i="5"/>
  <c r="Y277" i="5"/>
  <c r="Y284" i="5"/>
  <c r="Y485" i="5"/>
  <c r="X35" i="5"/>
  <c r="X177" i="5"/>
  <c r="X351" i="5"/>
  <c r="X285" i="5"/>
  <c r="X535" i="5"/>
  <c r="Y502" i="5"/>
  <c r="X534" i="5"/>
  <c r="AA199" i="5"/>
  <c r="X136" i="5"/>
  <c r="Y369" i="5"/>
  <c r="Y545" i="5"/>
  <c r="X474" i="5"/>
  <c r="AB211" i="5"/>
  <c r="AB547" i="5"/>
  <c r="Y41" i="5"/>
  <c r="Y196" i="5"/>
  <c r="X370" i="5"/>
  <c r="Y371" i="5"/>
  <c r="Y487" i="5"/>
  <c r="X441" i="5"/>
  <c r="X468" i="5"/>
  <c r="X549" i="5"/>
  <c r="Y386" i="5"/>
  <c r="X481" i="5"/>
  <c r="X123" i="5"/>
  <c r="Y429" i="5"/>
  <c r="X275" i="5"/>
  <c r="X499" i="5"/>
  <c r="X43" i="5"/>
  <c r="X40" i="5"/>
  <c r="X86" i="5"/>
  <c r="X137" i="5"/>
  <c r="Y246" i="5"/>
  <c r="Y211" i="5"/>
  <c r="Y213" i="5"/>
  <c r="Y345" i="5"/>
  <c r="Y395" i="5"/>
  <c r="X364" i="5"/>
  <c r="Y490" i="5"/>
  <c r="X447" i="5"/>
  <c r="X296" i="5"/>
  <c r="AB26" i="5"/>
  <c r="AA168" i="5"/>
  <c r="AA540" i="5"/>
  <c r="X387" i="5"/>
  <c r="X470" i="5"/>
  <c r="X509" i="5"/>
  <c r="X414" i="5"/>
  <c r="Y464" i="5"/>
  <c r="Y425" i="5"/>
  <c r="AB34" i="5"/>
  <c r="AA547" i="5"/>
  <c r="X96" i="5"/>
  <c r="X227" i="5"/>
  <c r="Y265" i="5"/>
  <c r="X292" i="5"/>
  <c r="Y450" i="5"/>
  <c r="X471" i="5"/>
  <c r="X261" i="5"/>
  <c r="Y418" i="5"/>
  <c r="Y518" i="5"/>
  <c r="X428" i="5"/>
  <c r="Y389" i="5"/>
  <c r="Y454" i="5"/>
  <c r="Y556" i="5"/>
  <c r="X360" i="5"/>
  <c r="X479" i="5"/>
  <c r="Y391" i="5"/>
  <c r="X495" i="5"/>
  <c r="Y76" i="5"/>
  <c r="X31" i="5"/>
  <c r="Y119" i="5"/>
  <c r="Y229" i="5"/>
  <c r="Y354" i="5"/>
  <c r="Y460" i="5"/>
  <c r="Y439" i="5"/>
  <c r="X195" i="5"/>
  <c r="X422" i="5"/>
  <c r="AB35" i="5"/>
  <c r="AA427" i="5"/>
  <c r="X226" i="5"/>
  <c r="X313" i="5"/>
  <c r="Y416" i="5"/>
  <c r="X420" i="5"/>
  <c r="Y423" i="5"/>
  <c r="Y527" i="5"/>
  <c r="X538" i="5"/>
  <c r="X19" i="5"/>
  <c r="AA475" i="5"/>
  <c r="X349" i="5"/>
  <c r="X449" i="5"/>
  <c r="Y436" i="5"/>
  <c r="Y493" i="5"/>
  <c r="Y452" i="5"/>
  <c r="X103" i="5"/>
  <c r="X496" i="5"/>
  <c r="Y417" i="5"/>
  <c r="X507" i="5"/>
  <c r="Y176" i="5"/>
  <c r="Y169" i="5"/>
  <c r="Y180" i="5"/>
  <c r="Y366" i="5"/>
  <c r="Y469" i="5"/>
  <c r="Y480" i="5"/>
  <c r="Y150" i="5"/>
  <c r="X207" i="5"/>
  <c r="X340" i="5"/>
  <c r="Y394" i="5"/>
  <c r="X553" i="5"/>
  <c r="Y397" i="5"/>
  <c r="X465" i="5"/>
  <c r="Y443" i="5"/>
  <c r="Y513" i="5"/>
  <c r="X532" i="5"/>
  <c r="Y147" i="5"/>
  <c r="Y267" i="5"/>
  <c r="Y506" i="5"/>
  <c r="AB19" i="5"/>
  <c r="X431" i="5"/>
  <c r="X435" i="5"/>
  <c r="X85" i="5"/>
  <c r="Y297" i="5"/>
  <c r="X69" i="5"/>
  <c r="X184" i="5"/>
  <c r="Y288" i="5"/>
  <c r="X390" i="5"/>
  <c r="Y466" i="5"/>
  <c r="Y388" i="5"/>
  <c r="X23" i="5"/>
  <c r="Y218" i="5"/>
  <c r="Y287" i="5"/>
  <c r="X289" i="5"/>
  <c r="Y298" i="5"/>
  <c r="X504" i="5"/>
  <c r="Y437" i="5"/>
  <c r="Y458" i="5"/>
  <c r="X458" i="5"/>
  <c r="Y476" i="5"/>
  <c r="X476" i="5"/>
  <c r="Y300" i="5"/>
  <c r="X300" i="5"/>
  <c r="X463" i="5"/>
  <c r="Y463" i="5"/>
  <c r="Y110" i="5"/>
  <c r="X110" i="5"/>
  <c r="X34" i="5"/>
  <c r="X401" i="5"/>
  <c r="Y401" i="5"/>
  <c r="X73" i="5"/>
  <c r="Y66" i="5"/>
  <c r="Y148" i="5"/>
  <c r="Y209" i="5"/>
  <c r="Y323" i="5"/>
  <c r="Y381" i="5"/>
  <c r="X512" i="5"/>
  <c r="X400" i="5"/>
  <c r="X516" i="5"/>
  <c r="X324" i="5"/>
  <c r="AA359" i="5"/>
  <c r="AB359" i="5"/>
  <c r="X49" i="5"/>
  <c r="Y92" i="5"/>
  <c r="X164" i="5"/>
  <c r="Y279" i="5"/>
  <c r="X333" i="5"/>
  <c r="Y412" i="5"/>
  <c r="Y459" i="5"/>
  <c r="Y526" i="5"/>
  <c r="X482" i="5"/>
  <c r="X355" i="5"/>
  <c r="Y494" i="5"/>
  <c r="X442" i="5"/>
  <c r="AB295" i="5"/>
  <c r="AA295" i="5"/>
  <c r="X543" i="5"/>
  <c r="Y543" i="5"/>
  <c r="X290" i="5"/>
  <c r="Y290" i="5"/>
  <c r="Y426" i="5"/>
  <c r="X426" i="5"/>
  <c r="X356" i="5"/>
  <c r="Y356" i="5"/>
  <c r="Y240" i="5"/>
  <c r="X240" i="5"/>
  <c r="Y517" i="5"/>
  <c r="X517" i="5"/>
  <c r="Y473" i="5"/>
  <c r="Y403" i="5"/>
  <c r="X403" i="5"/>
  <c r="Y139" i="5"/>
  <c r="X139" i="5"/>
  <c r="X519" i="5"/>
  <c r="Y519" i="5"/>
  <c r="Y529" i="5"/>
  <c r="X529" i="5"/>
  <c r="Y406" i="5"/>
  <c r="X406" i="5"/>
  <c r="Y319" i="5"/>
  <c r="X319" i="5"/>
  <c r="Y167" i="5"/>
  <c r="X167" i="5"/>
  <c r="Y522" i="5"/>
  <c r="X522" i="5"/>
  <c r="Y511" i="5"/>
  <c r="X511" i="5"/>
  <c r="X510" i="5"/>
  <c r="Y510" i="5"/>
  <c r="X409" i="5"/>
  <c r="Y409" i="5"/>
  <c r="X10" i="5"/>
  <c r="Y10" i="5"/>
  <c r="X283" i="5"/>
  <c r="Y405" i="5"/>
  <c r="Y520" i="5"/>
  <c r="X94" i="5"/>
  <c r="X203" i="5"/>
  <c r="X309" i="5"/>
  <c r="X501" i="5"/>
  <c r="AA43" i="5"/>
  <c r="AB317" i="5"/>
  <c r="AA317" i="5"/>
  <c r="Y201" i="5"/>
  <c r="X201" i="5"/>
  <c r="X149" i="5"/>
  <c r="Y149" i="5"/>
  <c r="AB496" i="5"/>
  <c r="AA244" i="5"/>
  <c r="AB244" i="5"/>
  <c r="Y489" i="5"/>
  <c r="X457" i="5"/>
  <c r="X325" i="5"/>
  <c r="Y269" i="5"/>
  <c r="Y461" i="5"/>
  <c r="Y539" i="5"/>
  <c r="Y521" i="5"/>
  <c r="Y22" i="5"/>
  <c r="Y189" i="5"/>
  <c r="X341" i="5"/>
  <c r="Y433" i="5"/>
  <c r="X372" i="5"/>
  <c r="Y293" i="5"/>
  <c r="X505" i="5"/>
  <c r="X542" i="5"/>
  <c r="AB335" i="5"/>
  <c r="AA364" i="5"/>
  <c r="AA473" i="5"/>
  <c r="AB473" i="5"/>
  <c r="AA489" i="5"/>
  <c r="AB516" i="5"/>
  <c r="AA516" i="5"/>
  <c r="AA542" i="5"/>
  <c r="AB542" i="5"/>
  <c r="AA71" i="5"/>
  <c r="AB71" i="5"/>
  <c r="AA266" i="5"/>
  <c r="AA405" i="5"/>
  <c r="AA557" i="5"/>
  <c r="AB557" i="5"/>
  <c r="X257" i="5"/>
  <c r="Y257" i="5"/>
  <c r="X80" i="5"/>
  <c r="Y80" i="5"/>
  <c r="Y322" i="5"/>
  <c r="X322" i="5"/>
  <c r="Y57" i="5"/>
  <c r="X57" i="5"/>
  <c r="AA470" i="5"/>
  <c r="AA249" i="5"/>
  <c r="AB232" i="5"/>
  <c r="AB554" i="5"/>
  <c r="Y230" i="5"/>
  <c r="X311" i="5"/>
  <c r="AA482" i="5"/>
  <c r="AB555" i="5"/>
  <c r="Y98" i="5"/>
  <c r="AB334" i="5"/>
  <c r="AA374" i="5"/>
  <c r="Y233" i="5"/>
  <c r="Y175" i="5"/>
  <c r="X263" i="5"/>
  <c r="X271" i="5"/>
  <c r="AA58" i="5"/>
  <c r="X210" i="5"/>
  <c r="AA491" i="5"/>
  <c r="X8" i="5"/>
  <c r="Y8" i="5"/>
  <c r="AB442" i="5"/>
  <c r="X306" i="5"/>
  <c r="Y347" i="5"/>
  <c r="AA42" i="5"/>
  <c r="AB160" i="5"/>
  <c r="AB378" i="5"/>
  <c r="X21" i="5"/>
  <c r="X256" i="5"/>
  <c r="X445" i="5"/>
  <c r="X363" i="5"/>
  <c r="Y383" i="5"/>
  <c r="X550" i="5"/>
  <c r="Y477" i="5"/>
  <c r="AB13" i="5"/>
  <c r="AA13" i="5"/>
  <c r="W9" i="5"/>
  <c r="AG9" i="5"/>
  <c r="T9" i="5"/>
  <c r="Z9" i="5"/>
  <c r="AM9" i="5"/>
  <c r="AJ9" i="5"/>
  <c r="X74" i="5"/>
  <c r="Y116" i="5"/>
  <c r="Y172" i="5"/>
  <c r="X225" i="5"/>
  <c r="X260" i="5"/>
  <c r="X302" i="5"/>
  <c r="X377" i="5"/>
  <c r="AB108" i="5"/>
  <c r="AA94" i="5"/>
  <c r="AA206" i="5"/>
  <c r="AB349" i="5"/>
  <c r="Y51" i="5"/>
  <c r="AB97" i="5"/>
  <c r="AA224" i="5"/>
  <c r="Y65" i="5"/>
  <c r="Y171" i="5"/>
  <c r="X367" i="5"/>
  <c r="X393" i="5"/>
  <c r="X497" i="5"/>
  <c r="X478" i="5"/>
  <c r="X483" i="5"/>
  <c r="Y424" i="5"/>
  <c r="X295" i="5"/>
  <c r="AB12" i="5"/>
  <c r="AA12" i="5"/>
  <c r="Y13" i="5"/>
  <c r="X13" i="5"/>
  <c r="AA161" i="5"/>
  <c r="AB279" i="5"/>
  <c r="AA472" i="5"/>
  <c r="AA69" i="5"/>
  <c r="AB105" i="5"/>
  <c r="AA169" i="5"/>
  <c r="AA406" i="5"/>
  <c r="AB258" i="5"/>
  <c r="AA521" i="5"/>
  <c r="Y384" i="5"/>
  <c r="AB308" i="5"/>
  <c r="AA8" i="5"/>
  <c r="AB8" i="5"/>
  <c r="Y12" i="5"/>
  <c r="X12" i="5"/>
  <c r="AR10" i="5"/>
  <c r="AQ10" i="5"/>
  <c r="AA259" i="5"/>
  <c r="AB69" i="5"/>
  <c r="AB110" i="5"/>
  <c r="AB384" i="5"/>
  <c r="AB521" i="5"/>
  <c r="AB560" i="5"/>
  <c r="AA308" i="5"/>
  <c r="AA554" i="5"/>
  <c r="X104" i="5"/>
  <c r="AB22" i="5"/>
  <c r="AA178" i="5"/>
  <c r="Y26" i="5"/>
  <c r="Y142" i="5"/>
  <c r="Y314" i="5"/>
  <c r="AB146" i="5"/>
  <c r="AB106" i="5"/>
  <c r="AA347" i="5"/>
  <c r="X122" i="5"/>
  <c r="X166" i="5"/>
  <c r="AB509" i="5"/>
  <c r="AB488" i="5"/>
  <c r="X108" i="5"/>
  <c r="Y28" i="5"/>
  <c r="X133" i="5"/>
  <c r="X312" i="5"/>
  <c r="Y299" i="5"/>
  <c r="AA550" i="5"/>
  <c r="AB251" i="5"/>
  <c r="X135" i="5"/>
  <c r="X151" i="5"/>
  <c r="Y245" i="5"/>
  <c r="Y264" i="5"/>
  <c r="AB58" i="5"/>
  <c r="AA397" i="5"/>
  <c r="AB470" i="5"/>
  <c r="AA488" i="5"/>
  <c r="X161" i="5"/>
  <c r="Y374" i="5"/>
  <c r="AB322" i="5"/>
  <c r="AA436" i="5"/>
  <c r="AA207" i="5"/>
  <c r="AA536" i="5"/>
  <c r="AA497" i="5"/>
  <c r="AA411" i="5"/>
  <c r="AA189" i="5"/>
  <c r="AB305" i="5"/>
  <c r="AA36" i="5"/>
  <c r="AB486" i="5"/>
  <c r="X222" i="5"/>
  <c r="X348" i="5"/>
  <c r="AB367" i="5"/>
  <c r="AA83" i="5"/>
  <c r="AB148" i="5"/>
  <c r="AA203" i="5"/>
  <c r="AB320" i="5"/>
  <c r="AB455" i="5"/>
  <c r="AA200" i="5"/>
  <c r="AB20" i="5"/>
  <c r="AB291" i="5"/>
  <c r="AA212" i="5"/>
  <c r="AA373" i="5"/>
  <c r="AA442" i="5"/>
  <c r="AB421" i="5"/>
  <c r="AA355" i="5"/>
  <c r="AA487" i="5"/>
  <c r="AA501" i="5"/>
  <c r="AA111" i="5"/>
  <c r="AA248" i="5"/>
  <c r="AB551" i="5"/>
  <c r="AA159" i="5"/>
  <c r="AA412" i="5"/>
  <c r="X304" i="5"/>
  <c r="AA30" i="5"/>
  <c r="AB100" i="5"/>
  <c r="AB250" i="5"/>
  <c r="AB375" i="5"/>
  <c r="AB61" i="5"/>
  <c r="AB94" i="5"/>
  <c r="AB478" i="5"/>
  <c r="AA541" i="5"/>
  <c r="Y37" i="5"/>
  <c r="Y68" i="5"/>
  <c r="Y82" i="5"/>
  <c r="Y205" i="5"/>
  <c r="X368" i="5"/>
  <c r="AA46" i="5"/>
  <c r="AA145" i="5"/>
  <c r="AA370" i="5"/>
  <c r="AA484" i="5"/>
  <c r="AB512" i="5"/>
  <c r="Y197" i="5"/>
  <c r="AB351" i="5"/>
  <c r="AA358" i="5"/>
  <c r="AA478" i="5"/>
  <c r="AB467" i="5"/>
  <c r="AA215" i="5"/>
  <c r="AA279" i="5"/>
  <c r="AA546" i="5"/>
  <c r="X25" i="5"/>
  <c r="Y55" i="5"/>
  <c r="AB206" i="5"/>
  <c r="AA351" i="5"/>
  <c r="AA421" i="5"/>
  <c r="AB355" i="5"/>
  <c r="AA467" i="5"/>
  <c r="AB487" i="5"/>
  <c r="AB472" i="5"/>
  <c r="X124" i="5"/>
  <c r="AA76" i="5"/>
  <c r="AA273" i="5"/>
  <c r="AA375" i="5"/>
  <c r="AB500" i="5"/>
  <c r="AA443" i="5"/>
  <c r="AA512" i="5"/>
  <c r="AB426" i="5"/>
  <c r="AA545" i="5"/>
  <c r="AA349" i="5"/>
  <c r="AB541" i="5"/>
  <c r="AB39" i="5"/>
  <c r="AB395" i="5"/>
  <c r="AB345" i="5"/>
  <c r="AB394" i="5"/>
  <c r="AB462" i="5"/>
  <c r="AB451" i="5"/>
  <c r="X156" i="5"/>
  <c r="X254" i="5"/>
  <c r="X291" i="5"/>
  <c r="AA152" i="5"/>
  <c r="AB207" i="5"/>
  <c r="AB235" i="5"/>
  <c r="AB323" i="5"/>
  <c r="AB363" i="5"/>
  <c r="AB390" i="5"/>
  <c r="AB406" i="5"/>
  <c r="AA391" i="5"/>
  <c r="AB405" i="5"/>
  <c r="AB427" i="5"/>
  <c r="AA560" i="5"/>
  <c r="Y131" i="5"/>
  <c r="AA476" i="5"/>
  <c r="AB497" i="5"/>
  <c r="AB530" i="5"/>
  <c r="AB31" i="5"/>
  <c r="AA140" i="5"/>
  <c r="AA167" i="5"/>
  <c r="AB403" i="5"/>
  <c r="AB520" i="5"/>
  <c r="AB447" i="5"/>
  <c r="AB260" i="5"/>
  <c r="AA493" i="5"/>
  <c r="AA324" i="5"/>
  <c r="AB175" i="5"/>
  <c r="AA175" i="5"/>
  <c r="AB107" i="5"/>
  <c r="AA107" i="5"/>
  <c r="AA72" i="5"/>
  <c r="AB72" i="5"/>
  <c r="AB33" i="5"/>
  <c r="AA33" i="5"/>
  <c r="AA85" i="5"/>
  <c r="AA457" i="5"/>
  <c r="AB457" i="5"/>
  <c r="AA410" i="5"/>
  <c r="AA209" i="5"/>
  <c r="AA65" i="5"/>
  <c r="AB454" i="5"/>
  <c r="AA131" i="5"/>
  <c r="AB298" i="5"/>
  <c r="AB466" i="5"/>
  <c r="AA466" i="5"/>
  <c r="AA342" i="5"/>
  <c r="AB342" i="5"/>
  <c r="AA350" i="5"/>
  <c r="AB350" i="5"/>
  <c r="AA448" i="5"/>
  <c r="AB448" i="5"/>
  <c r="X145" i="5"/>
  <c r="Y145" i="5"/>
  <c r="Y109" i="5"/>
  <c r="X109" i="5"/>
  <c r="X334" i="5"/>
  <c r="Y334" i="5"/>
  <c r="Y219" i="5"/>
  <c r="X219" i="5"/>
  <c r="X163" i="5"/>
  <c r="Y163" i="5"/>
  <c r="AB353" i="5"/>
  <c r="AA428" i="5"/>
  <c r="AA276" i="5"/>
  <c r="AB276" i="5"/>
  <c r="AA559" i="5"/>
  <c r="AB79" i="5"/>
  <c r="AB209" i="5"/>
  <c r="AB270" i="5"/>
  <c r="AB376" i="5"/>
  <c r="AB514" i="5"/>
  <c r="X146" i="5"/>
  <c r="X101" i="5"/>
  <c r="Y274" i="5"/>
  <c r="Y185" i="5"/>
  <c r="Y399" i="5"/>
  <c r="AA151" i="5"/>
  <c r="AA515" i="5"/>
  <c r="X60" i="5"/>
  <c r="X140" i="5"/>
  <c r="AB559" i="5"/>
  <c r="Y61" i="5"/>
  <c r="X316" i="5"/>
  <c r="AB365" i="5"/>
  <c r="AA121" i="5"/>
  <c r="AB121" i="5"/>
  <c r="AB218" i="5"/>
  <c r="AB45" i="5"/>
  <c r="AA283" i="5"/>
  <c r="AA336" i="5"/>
  <c r="AB336" i="5"/>
  <c r="AA449" i="5"/>
  <c r="AB449" i="5"/>
  <c r="AA354" i="5"/>
  <c r="AA524" i="5"/>
  <c r="AB524" i="5"/>
  <c r="AA533" i="5"/>
  <c r="AB494" i="5"/>
  <c r="AB103" i="5"/>
  <c r="AA29" i="5"/>
  <c r="AB247" i="5"/>
  <c r="AA247" i="5"/>
  <c r="AB205" i="5"/>
  <c r="AA205" i="5"/>
  <c r="AB461" i="5"/>
  <c r="AB433" i="5"/>
  <c r="AA433" i="5"/>
  <c r="AA523" i="5"/>
  <c r="AB523" i="5"/>
  <c r="AB328" i="5"/>
  <c r="Y392" i="5"/>
  <c r="X392" i="5"/>
  <c r="Y270" i="5"/>
  <c r="X270" i="5"/>
  <c r="Y262" i="5"/>
  <c r="X262" i="5"/>
  <c r="Y204" i="5"/>
  <c r="X204" i="5"/>
  <c r="Y174" i="5"/>
  <c r="X174" i="5"/>
  <c r="X144" i="5"/>
  <c r="Y144" i="5"/>
  <c r="X138" i="5"/>
  <c r="Y138" i="5"/>
  <c r="X56" i="5"/>
  <c r="Y56" i="5"/>
  <c r="Y338" i="5"/>
  <c r="X338" i="5"/>
  <c r="Y62" i="5"/>
  <c r="X62" i="5"/>
  <c r="X71" i="5"/>
  <c r="AA434" i="5"/>
  <c r="X130" i="5"/>
  <c r="Y130" i="5"/>
  <c r="AB64" i="5"/>
  <c r="AA64" i="5"/>
  <c r="AB372" i="5"/>
  <c r="AA372" i="5"/>
  <c r="AB85" i="5"/>
  <c r="AB186" i="5"/>
  <c r="AB233" i="5"/>
  <c r="AA188" i="5"/>
  <c r="AA223" i="5"/>
  <c r="AB283" i="5"/>
  <c r="AA360" i="5"/>
  <c r="AA376" i="5"/>
  <c r="AB498" i="5"/>
  <c r="Y71" i="5"/>
  <c r="Y84" i="5"/>
  <c r="X272" i="5"/>
  <c r="Y330" i="5"/>
  <c r="AB131" i="5"/>
  <c r="AB193" i="5"/>
  <c r="AA414" i="5"/>
  <c r="AB468" i="5"/>
  <c r="AA90" i="5"/>
  <c r="AB428" i="5"/>
  <c r="AB43" i="5"/>
  <c r="AA148" i="5"/>
  <c r="AB223" i="5"/>
  <c r="AB321" i="5"/>
  <c r="AB411" i="5"/>
  <c r="AB360" i="5"/>
  <c r="AA251" i="5"/>
  <c r="AA498" i="5"/>
  <c r="AA396" i="5"/>
  <c r="AB479" i="5"/>
  <c r="AB410" i="5"/>
  <c r="AA494" i="5"/>
  <c r="AA553" i="5"/>
  <c r="AB533" i="5"/>
  <c r="X46" i="5"/>
  <c r="Y90" i="5"/>
  <c r="X170" i="5"/>
  <c r="X212" i="5"/>
  <c r="AB312" i="5"/>
  <c r="AA423" i="5"/>
  <c r="AA461" i="5"/>
  <c r="X165" i="5"/>
  <c r="AB430" i="5"/>
  <c r="AA430" i="5"/>
  <c r="AA332" i="5"/>
  <c r="AB332" i="5"/>
  <c r="AB315" i="5"/>
  <c r="AB269" i="5"/>
  <c r="AA219" i="5"/>
  <c r="AA127" i="5"/>
  <c r="AB127" i="5"/>
  <c r="AA75" i="5"/>
  <c r="AB75" i="5"/>
  <c r="AA339" i="5"/>
  <c r="AA329" i="5"/>
  <c r="AB329" i="5"/>
  <c r="AA285" i="5"/>
  <c r="AB285" i="5"/>
  <c r="AA231" i="5"/>
  <c r="AB231" i="5"/>
  <c r="AA191" i="5"/>
  <c r="AB191" i="5"/>
  <c r="AB115" i="5"/>
  <c r="AA115" i="5"/>
  <c r="AB154" i="5"/>
  <c r="AA154" i="5"/>
  <c r="AA89" i="5"/>
  <c r="AB89" i="5"/>
  <c r="AA54" i="5"/>
  <c r="AB54" i="5"/>
  <c r="AB48" i="5"/>
  <c r="AA48" i="5"/>
  <c r="AB483" i="5"/>
  <c r="AA558" i="5"/>
  <c r="AB510" i="5"/>
  <c r="AA506" i="5"/>
  <c r="AB506" i="5"/>
  <c r="AA507" i="5"/>
  <c r="AB507" i="5"/>
  <c r="AB452" i="5"/>
  <c r="AA385" i="5"/>
  <c r="AA268" i="5"/>
  <c r="AB268" i="5"/>
  <c r="AB132" i="5"/>
  <c r="AB129" i="5"/>
  <c r="AA129" i="5"/>
  <c r="AA458" i="5"/>
  <c r="AB458" i="5"/>
  <c r="AA465" i="5"/>
  <c r="AB465" i="5"/>
  <c r="AB477" i="5"/>
  <c r="AA477" i="5"/>
  <c r="AA356" i="5"/>
  <c r="AB435" i="5"/>
  <c r="AA435" i="5"/>
  <c r="AA326" i="5"/>
  <c r="AB326" i="5"/>
  <c r="AA228" i="5"/>
  <c r="AB228" i="5"/>
  <c r="AA99" i="5"/>
  <c r="AB99" i="5"/>
  <c r="AB88" i="5"/>
  <c r="AA88" i="5"/>
  <c r="AA47" i="5"/>
  <c r="AB47" i="5"/>
  <c r="AB313" i="5"/>
  <c r="AA313" i="5"/>
  <c r="AA538" i="5"/>
  <c r="AB538" i="5"/>
  <c r="X342" i="5"/>
  <c r="Y342" i="5"/>
  <c r="X250" i="5"/>
  <c r="Y250" i="5"/>
  <c r="Y192" i="5"/>
  <c r="X192" i="5"/>
  <c r="Y228" i="5"/>
  <c r="X228" i="5"/>
  <c r="X173" i="5"/>
  <c r="Y173" i="5"/>
  <c r="Y153" i="5"/>
  <c r="X153" i="5"/>
  <c r="Y78" i="5"/>
  <c r="X78" i="5"/>
  <c r="Y413" i="5"/>
  <c r="X413" i="5"/>
  <c r="X336" i="5"/>
  <c r="Y336" i="5"/>
  <c r="X232" i="5"/>
  <c r="Y215" i="5"/>
  <c r="X215" i="5"/>
  <c r="X188" i="5"/>
  <c r="Y188" i="5"/>
  <c r="X155" i="5"/>
  <c r="Y155" i="5"/>
  <c r="X159" i="5"/>
  <c r="Y159" i="5"/>
  <c r="Y88" i="5"/>
  <c r="X88" i="5"/>
  <c r="Y52" i="5"/>
  <c r="X52" i="5"/>
  <c r="X20" i="5"/>
  <c r="Y20" i="5"/>
  <c r="AA382" i="5"/>
  <c r="AB382" i="5"/>
  <c r="Y39" i="5"/>
  <c r="Y95" i="5"/>
  <c r="X95" i="5"/>
  <c r="X179" i="5"/>
  <c r="Y179" i="5"/>
  <c r="AB296" i="5"/>
  <c r="AA480" i="5"/>
  <c r="AB480" i="5"/>
  <c r="AA534" i="5"/>
  <c r="AB534" i="5"/>
  <c r="AA132" i="5"/>
  <c r="AB289" i="5"/>
  <c r="AA510" i="5"/>
  <c r="X32" i="5"/>
  <c r="X117" i="5"/>
  <c r="Y237" i="5"/>
  <c r="Y232" i="5"/>
  <c r="Y221" i="5"/>
  <c r="Y258" i="5"/>
  <c r="X350" i="5"/>
  <c r="AB339" i="5"/>
  <c r="AB219" i="5"/>
  <c r="AB70" i="5"/>
  <c r="AA118" i="5"/>
  <c r="AB271" i="5"/>
  <c r="AA289" i="5"/>
  <c r="AB325" i="5"/>
  <c r="AB558" i="5"/>
  <c r="AA296" i="5"/>
  <c r="X36" i="5"/>
  <c r="Y157" i="5"/>
  <c r="AB379" i="5"/>
  <c r="AB282" i="5"/>
  <c r="AA282" i="5"/>
  <c r="AA262" i="5"/>
  <c r="AB227" i="5"/>
  <c r="AA112" i="5"/>
  <c r="AB112" i="5"/>
  <c r="AA116" i="5"/>
  <c r="AA50" i="5"/>
  <c r="AB50" i="5"/>
  <c r="AB21" i="5"/>
  <c r="AA21" i="5"/>
  <c r="AA471" i="5"/>
  <c r="AA517" i="5"/>
  <c r="AB517" i="5"/>
  <c r="AB340" i="5"/>
  <c r="AA340" i="5"/>
  <c r="AA441" i="5"/>
  <c r="AB444" i="5"/>
  <c r="AA380" i="5"/>
  <c r="AB380" i="5"/>
  <c r="AA239" i="5"/>
  <c r="AB239" i="5"/>
  <c r="AB177" i="5"/>
  <c r="AB539" i="5"/>
  <c r="AA539" i="5"/>
  <c r="AA327" i="5"/>
  <c r="AB327" i="5"/>
  <c r="AA341" i="5"/>
  <c r="AB420" i="5"/>
  <c r="AA420" i="5"/>
  <c r="AA408" i="5"/>
  <c r="AB408" i="5"/>
  <c r="AB337" i="5"/>
  <c r="AA281" i="5"/>
  <c r="AB281" i="5"/>
  <c r="AA190" i="5"/>
  <c r="AA53" i="5"/>
  <c r="AB53" i="5"/>
  <c r="AB150" i="5"/>
  <c r="AA401" i="5"/>
  <c r="AA464" i="5"/>
  <c r="AB464" i="5"/>
  <c r="X408" i="5"/>
  <c r="Y331" i="5"/>
  <c r="X331" i="5"/>
  <c r="Y278" i="5"/>
  <c r="X278" i="5"/>
  <c r="Y208" i="5"/>
  <c r="X208" i="5"/>
  <c r="X182" i="5"/>
  <c r="Y182" i="5"/>
  <c r="Y111" i="5"/>
  <c r="X111" i="5"/>
  <c r="Y89" i="5"/>
  <c r="X89" i="5"/>
  <c r="X67" i="5"/>
  <c r="Y67" i="5"/>
  <c r="Y282" i="5"/>
  <c r="X282" i="5"/>
  <c r="X286" i="5"/>
  <c r="Y286" i="5"/>
  <c r="X178" i="5"/>
  <c r="AA136" i="5"/>
  <c r="AA549" i="5"/>
  <c r="Y79" i="5"/>
  <c r="X79" i="5"/>
  <c r="X118" i="5"/>
  <c r="X241" i="5"/>
  <c r="Y241" i="5"/>
  <c r="AA381" i="5"/>
  <c r="AB381" i="5"/>
  <c r="AB229" i="5"/>
  <c r="AA424" i="5"/>
  <c r="AB424" i="5"/>
  <c r="AA70" i="5"/>
  <c r="AA303" i="5"/>
  <c r="AA394" i="5"/>
  <c r="Y75" i="5"/>
  <c r="Y93" i="5"/>
  <c r="Y352" i="5"/>
  <c r="AA177" i="5"/>
  <c r="AB385" i="5"/>
  <c r="AA452" i="5"/>
  <c r="AB441" i="5"/>
  <c r="AA153" i="5"/>
  <c r="AB190" i="5"/>
  <c r="AA229" i="5"/>
  <c r="X39" i="5"/>
  <c r="AB116" i="5"/>
  <c r="AA227" i="5"/>
  <c r="AB401" i="5"/>
  <c r="X24" i="5"/>
  <c r="X280" i="5"/>
  <c r="AA38" i="5"/>
  <c r="AB356" i="5"/>
  <c r="AA481" i="5"/>
  <c r="AA463" i="5"/>
  <c r="AB463" i="5"/>
  <c r="AA532" i="5"/>
  <c r="AB532" i="5"/>
  <c r="Y321" i="5"/>
  <c r="X327" i="5"/>
  <c r="Y193" i="5"/>
  <c r="X193" i="5"/>
  <c r="Y198" i="5"/>
  <c r="X198" i="5"/>
  <c r="X83" i="5"/>
  <c r="Y83" i="5"/>
  <c r="Y38" i="5"/>
  <c r="X38" i="5"/>
  <c r="AB128" i="5"/>
  <c r="AA186" i="5"/>
  <c r="AB187" i="5"/>
  <c r="AA496" i="5"/>
  <c r="Y46" i="5"/>
  <c r="AA272" i="5"/>
  <c r="AA353" i="5"/>
  <c r="Y81" i="5"/>
  <c r="AA504" i="5"/>
  <c r="Y326" i="5"/>
  <c r="X303" i="5"/>
  <c r="AB434" i="5"/>
  <c r="AA499" i="5"/>
  <c r="AA526" i="5"/>
  <c r="AA422" i="5"/>
  <c r="AA366" i="5"/>
  <c r="AA460" i="5"/>
  <c r="AB460" i="5"/>
  <c r="AB456" i="5"/>
  <c r="AA456" i="5"/>
  <c r="AB208" i="5"/>
  <c r="AB202" i="5"/>
  <c r="AB27" i="5"/>
  <c r="AA27" i="5"/>
  <c r="AB425" i="5"/>
  <c r="AA425" i="5"/>
  <c r="AB309" i="5"/>
  <c r="AB453" i="5"/>
  <c r="AA246" i="5"/>
  <c r="AA535" i="5"/>
  <c r="AA485" i="5"/>
  <c r="Y162" i="5"/>
  <c r="Y47" i="5"/>
  <c r="X317" i="5"/>
  <c r="Y48" i="5"/>
  <c r="Y112" i="5"/>
  <c r="AA543" i="5"/>
  <c r="AA44" i="5"/>
  <c r="AB182" i="5"/>
  <c r="AB501" i="5"/>
  <c r="AB76" i="5"/>
  <c r="AA162" i="5"/>
  <c r="AA413" i="5"/>
  <c r="AB543" i="5"/>
  <c r="Y53" i="5"/>
  <c r="X191" i="5"/>
  <c r="AA275" i="5"/>
  <c r="AB535" i="5"/>
  <c r="Y127" i="5"/>
  <c r="Y359" i="5"/>
  <c r="AA208" i="5"/>
  <c r="AB550" i="5"/>
  <c r="AA84" i="5"/>
  <c r="AA172" i="5"/>
  <c r="AB348" i="5"/>
  <c r="AB527" i="5"/>
  <c r="AA23" i="5"/>
  <c r="AB548" i="5"/>
  <c r="AB393" i="5"/>
  <c r="AA393" i="5"/>
  <c r="AA318" i="5"/>
  <c r="AB318" i="5"/>
  <c r="AB174" i="5"/>
  <c r="AA77" i="5"/>
  <c r="AB77" i="5"/>
  <c r="AB138" i="5"/>
  <c r="AA438" i="5"/>
  <c r="AB52" i="5"/>
  <c r="AB278" i="5"/>
  <c r="Y30" i="5"/>
  <c r="Y77" i="5"/>
  <c r="X382" i="5"/>
  <c r="AB169" i="5"/>
  <c r="X91" i="5"/>
  <c r="X112" i="5"/>
  <c r="AB324" i="5"/>
  <c r="AA365" i="5"/>
  <c r="AB415" i="5"/>
  <c r="X114" i="5"/>
  <c r="Y187" i="5"/>
  <c r="Y234" i="5"/>
  <c r="AA202" i="5"/>
  <c r="AA310" i="5"/>
  <c r="AA492" i="5"/>
  <c r="AA407" i="5"/>
  <c r="AB485" i="5"/>
  <c r="AA331" i="5"/>
  <c r="AA216" i="5"/>
  <c r="AA525" i="5"/>
  <c r="X362" i="5"/>
  <c r="Y362" i="5"/>
  <c r="Y358" i="5"/>
  <c r="X276" i="5"/>
  <c r="Y276" i="5"/>
  <c r="X242" i="5"/>
  <c r="Y242" i="5"/>
  <c r="Y244" i="5"/>
  <c r="Y183" i="5"/>
  <c r="X183" i="5"/>
  <c r="X100" i="5"/>
  <c r="Y100" i="5"/>
  <c r="X42" i="5"/>
  <c r="Y42" i="5"/>
  <c r="AA502" i="5"/>
  <c r="X50" i="5"/>
  <c r="Y168" i="5"/>
  <c r="AA120" i="5"/>
  <c r="AB216" i="5"/>
  <c r="Y33" i="5"/>
  <c r="AB502" i="5"/>
  <c r="Y249" i="5"/>
  <c r="AA357" i="5"/>
  <c r="AB343" i="5"/>
  <c r="AA265" i="5"/>
  <c r="AB293" i="5"/>
  <c r="AA293" i="5"/>
  <c r="AB256" i="5"/>
  <c r="AA256" i="5"/>
  <c r="AB196" i="5"/>
  <c r="AB141" i="5"/>
  <c r="AA135" i="5"/>
  <c r="AB135" i="5"/>
  <c r="AA93" i="5"/>
  <c r="AA55" i="5"/>
  <c r="AB214" i="5"/>
  <c r="AA113" i="5"/>
  <c r="AB147" i="5"/>
  <c r="AB362" i="5"/>
  <c r="AA362" i="5"/>
  <c r="AA519" i="5"/>
  <c r="AB537" i="5"/>
  <c r="AA537" i="5"/>
  <c r="AA400" i="5"/>
  <c r="AB400" i="5"/>
  <c r="AB344" i="5"/>
  <c r="AA344" i="5"/>
  <c r="AB392" i="5"/>
  <c r="AA392" i="5"/>
  <c r="AA284" i="5"/>
  <c r="AA194" i="5"/>
  <c r="AA87" i="5"/>
  <c r="AB73" i="5"/>
  <c r="AB144" i="5"/>
  <c r="AA261" i="5"/>
  <c r="AB399" i="5"/>
  <c r="AA513" i="5"/>
  <c r="Y344" i="5"/>
  <c r="X344" i="5"/>
  <c r="X294" i="5"/>
  <c r="Y294" i="5"/>
  <c r="X199" i="5"/>
  <c r="Y199" i="5"/>
  <c r="Y113" i="5"/>
  <c r="X113" i="5"/>
  <c r="X54" i="5"/>
  <c r="Y54" i="5"/>
  <c r="AA371" i="5"/>
  <c r="Y106" i="5"/>
  <c r="AA552" i="5"/>
  <c r="AB552" i="5"/>
  <c r="AB210" i="5"/>
  <c r="AB513" i="5"/>
  <c r="X168" i="5"/>
  <c r="AB371" i="5"/>
  <c r="X120" i="5"/>
  <c r="AA418" i="5"/>
  <c r="AB418" i="5"/>
  <c r="AB319" i="5"/>
  <c r="AA319" i="5"/>
  <c r="AA230" i="5"/>
  <c r="AB230" i="5"/>
  <c r="AA180" i="5"/>
  <c r="AB180" i="5"/>
  <c r="AB102" i="5"/>
  <c r="AB62" i="5"/>
  <c r="AA62" i="5"/>
  <c r="AB41" i="5"/>
  <c r="AA41" i="5"/>
  <c r="AB236" i="5"/>
  <c r="AB157" i="5"/>
  <c r="AA445" i="5"/>
  <c r="AA104" i="5"/>
  <c r="AA431" i="5"/>
  <c r="AB396" i="5"/>
  <c r="AA479" i="5"/>
  <c r="AB553" i="5"/>
  <c r="Y105" i="5"/>
  <c r="Y121" i="5"/>
  <c r="X247" i="5"/>
  <c r="X224" i="5"/>
  <c r="X129" i="5"/>
  <c r="X432" i="5"/>
  <c r="AA210" i="5"/>
  <c r="AB525" i="5"/>
  <c r="AB515" i="5"/>
  <c r="Y141" i="5"/>
  <c r="AB113" i="5"/>
  <c r="AA218" i="5"/>
  <c r="AA264" i="5"/>
  <c r="AA309" i="5"/>
  <c r="AA274" i="5"/>
  <c r="AB445" i="5"/>
  <c r="AB354" i="5"/>
  <c r="Y63" i="5"/>
  <c r="Y220" i="5"/>
  <c r="Y419" i="5"/>
  <c r="AA196" i="5"/>
  <c r="AB310" i="5"/>
  <c r="AB357" i="5"/>
  <c r="AA454" i="5"/>
  <c r="AB519" i="5"/>
  <c r="AB490" i="5"/>
  <c r="AA490" i="5"/>
  <c r="AB528" i="5"/>
  <c r="AA234" i="5"/>
  <c r="AB173" i="5"/>
  <c r="AB117" i="5"/>
  <c r="AA254" i="5"/>
  <c r="AA238" i="5"/>
  <c r="AB238" i="5"/>
  <c r="AA164" i="5"/>
  <c r="AB226" i="5"/>
  <c r="AA514" i="5"/>
  <c r="AB137" i="5"/>
  <c r="AA328" i="5"/>
  <c r="AB23" i="5"/>
  <c r="AA114" i="5"/>
  <c r="AB213" i="5"/>
  <c r="AA163" i="5"/>
  <c r="AB254" i="5"/>
  <c r="AB297" i="5"/>
  <c r="AB474" i="5"/>
  <c r="AA383" i="5"/>
  <c r="AA369" i="5"/>
  <c r="AA277" i="5"/>
  <c r="AB165" i="5"/>
  <c r="AA240" i="5"/>
  <c r="AB170" i="5"/>
  <c r="AB158" i="5"/>
  <c r="AB92" i="5"/>
  <c r="AA51" i="5"/>
  <c r="AA439" i="5"/>
  <c r="AA252" i="5"/>
  <c r="AA171" i="5"/>
  <c r="AA287" i="5"/>
  <c r="AA267" i="5"/>
  <c r="AA126" i="5"/>
  <c r="AA67" i="5"/>
  <c r="AB179" i="5"/>
  <c r="AA531" i="5"/>
  <c r="AA529" i="5"/>
  <c r="AA245" i="5"/>
  <c r="AA66" i="5"/>
  <c r="AA226" i="5"/>
  <c r="AB245" i="5"/>
  <c r="AB306" i="5"/>
  <c r="AA137" i="5"/>
  <c r="AB446" i="5"/>
  <c r="AA409" i="5"/>
  <c r="AB74" i="5"/>
  <c r="AB163" i="5"/>
  <c r="AB300" i="5"/>
  <c r="AA379" i="5"/>
  <c r="AA286" i="5"/>
  <c r="AA398" i="5"/>
  <c r="AB531" i="5"/>
  <c r="AA469" i="5"/>
  <c r="AB40" i="5"/>
  <c r="AA158" i="5"/>
  <c r="AB185" i="5"/>
  <c r="AA173" i="5"/>
  <c r="AA165" i="5"/>
  <c r="AA315" i="5"/>
  <c r="AB287" i="5"/>
  <c r="AB522" i="5"/>
  <c r="AA450" i="5"/>
  <c r="AB450" i="5"/>
  <c r="AA459" i="5"/>
  <c r="AB459" i="5"/>
  <c r="AA28" i="5"/>
  <c r="AA402" i="5"/>
  <c r="AB402" i="5"/>
  <c r="AB59" i="5"/>
  <c r="AB66" i="5"/>
  <c r="AB95" i="5"/>
  <c r="AA128" i="5"/>
  <c r="AA306" i="5"/>
  <c r="AB272" i="5"/>
  <c r="AA446" i="5"/>
  <c r="AB438" i="5"/>
  <c r="AB409" i="5"/>
  <c r="AB68" i="5"/>
  <c r="AB139" i="5"/>
  <c r="AA300" i="5"/>
  <c r="AA511" i="5"/>
  <c r="AA518" i="5"/>
  <c r="AA81" i="5"/>
  <c r="AA149" i="5"/>
  <c r="AB124" i="5"/>
  <c r="AA220" i="5"/>
  <c r="AA269" i="5"/>
  <c r="AB267" i="5"/>
  <c r="AA56" i="5"/>
  <c r="AB122" i="5"/>
  <c r="AB221" i="5"/>
  <c r="AA304" i="5"/>
  <c r="AB416" i="5"/>
  <c r="AB299" i="5"/>
  <c r="AA299" i="5"/>
  <c r="AB387" i="5"/>
  <c r="AB386" i="5"/>
  <c r="AA386" i="5"/>
  <c r="AA544" i="5"/>
  <c r="AA301" i="5"/>
  <c r="AB217" i="5"/>
  <c r="AA142" i="5"/>
  <c r="AB119" i="5"/>
  <c r="AB86" i="5"/>
  <c r="AB352" i="5"/>
  <c r="AA333" i="5"/>
  <c r="AB263" i="5"/>
  <c r="AB201" i="5"/>
  <c r="AB225" i="5"/>
  <c r="AB78" i="5"/>
  <c r="AB24" i="5"/>
  <c r="AB109" i="5"/>
  <c r="AB370" i="5"/>
  <c r="AA378" i="5"/>
  <c r="AA500" i="5"/>
  <c r="AB484" i="5"/>
  <c r="AB471" i="5"/>
  <c r="AA483" i="5"/>
  <c r="AB366" i="5"/>
  <c r="AB492" i="5"/>
  <c r="AB493" i="5"/>
  <c r="AB526" i="5"/>
  <c r="AB389" i="5"/>
  <c r="AB556" i="5"/>
  <c r="AA556" i="5"/>
  <c r="AA316" i="5"/>
  <c r="AB316" i="5"/>
  <c r="AA508" i="5"/>
  <c r="AB508" i="5"/>
  <c r="AA429" i="5"/>
  <c r="AB429" i="5"/>
  <c r="AB503" i="5"/>
  <c r="AA503" i="5"/>
  <c r="AA432" i="5"/>
  <c r="AB432" i="5"/>
  <c r="AB505" i="5"/>
  <c r="AA505" i="5"/>
  <c r="AA437" i="5"/>
  <c r="AB437" i="5"/>
  <c r="AA388" i="5"/>
  <c r="AB388" i="5"/>
  <c r="AA311" i="5"/>
  <c r="AB311" i="5"/>
  <c r="AA377" i="5"/>
  <c r="AB377" i="5"/>
  <c r="AA60" i="5"/>
  <c r="AA204" i="5"/>
  <c r="AB259" i="5"/>
  <c r="AA294" i="5"/>
  <c r="AA320" i="5"/>
  <c r="AA395" i="5"/>
  <c r="AA345" i="5"/>
  <c r="AA462" i="5"/>
  <c r="AB189" i="5"/>
  <c r="AA455" i="5"/>
  <c r="AA520" i="5"/>
  <c r="AA530" i="5"/>
  <c r="AB368" i="5"/>
  <c r="AA447" i="5"/>
  <c r="AA35" i="5"/>
  <c r="AA97" i="5"/>
  <c r="AB130" i="5"/>
  <c r="AA222" i="5"/>
  <c r="AA338" i="5"/>
  <c r="AB419" i="5"/>
  <c r="AA367" i="5"/>
  <c r="AA548" i="5"/>
  <c r="AA440" i="5"/>
  <c r="AB440" i="5"/>
  <c r="AB346" i="5"/>
  <c r="AA346" i="5"/>
  <c r="AA330" i="5"/>
  <c r="AB330" i="5"/>
  <c r="AA288" i="5"/>
  <c r="AB288" i="5"/>
  <c r="AB237" i="5"/>
  <c r="AA237" i="5"/>
  <c r="AA192" i="5"/>
  <c r="AB192" i="5"/>
  <c r="AB143" i="5"/>
  <c r="AA143" i="5"/>
  <c r="AB155" i="5"/>
  <c r="AA155" i="5"/>
  <c r="AB101" i="5"/>
  <c r="AA101" i="5"/>
  <c r="AB57" i="5"/>
  <c r="AA57" i="5"/>
  <c r="AA49" i="5"/>
  <c r="AB49" i="5"/>
  <c r="AB361" i="5"/>
  <c r="AB181" i="5"/>
  <c r="AB123" i="5"/>
  <c r="AA80" i="5"/>
  <c r="AA37" i="5"/>
  <c r="AA24" i="5"/>
  <c r="AA78" i="5"/>
  <c r="AB91" i="5"/>
  <c r="AB98" i="5"/>
  <c r="AB133" i="5"/>
  <c r="AA134" i="5"/>
  <c r="AA156" i="5"/>
  <c r="AA176" i="5"/>
  <c r="AA195" i="5"/>
  <c r="AA225" i="5"/>
  <c r="AA197" i="5"/>
  <c r="AA201" i="5"/>
  <c r="AB253" i="5"/>
  <c r="AB307" i="5"/>
  <c r="AB290" i="5"/>
  <c r="AA263" i="5"/>
  <c r="AB314" i="5"/>
  <c r="AB333" i="5"/>
  <c r="AA417" i="5"/>
  <c r="AA352" i="5"/>
  <c r="AA25" i="5"/>
  <c r="AA63" i="5"/>
  <c r="AB32" i="5"/>
  <c r="AA82" i="5"/>
  <c r="AA86" i="5"/>
  <c r="AA125" i="5"/>
  <c r="AA119" i="5"/>
  <c r="AB142" i="5"/>
  <c r="AA166" i="5"/>
  <c r="AA183" i="5"/>
  <c r="AA217" i="5"/>
  <c r="AA184" i="5"/>
  <c r="AB198" i="5"/>
  <c r="AB242" i="5"/>
  <c r="AB302" i="5"/>
  <c r="AB280" i="5"/>
  <c r="AA255" i="5"/>
  <c r="AB301" i="5"/>
  <c r="AA243" i="5"/>
  <c r="AB404" i="5"/>
  <c r="AB292" i="5"/>
  <c r="AB37" i="5"/>
  <c r="AB134" i="5"/>
  <c r="AB156" i="5"/>
  <c r="AB195" i="5"/>
  <c r="AA253" i="5"/>
  <c r="AA290" i="5"/>
  <c r="AB417" i="5"/>
  <c r="AB183" i="5"/>
  <c r="AA198" i="5"/>
  <c r="AC541" i="10" l="1"/>
  <c r="AC257" i="10"/>
  <c r="AC178" i="5"/>
  <c r="AS178" i="5" s="1"/>
  <c r="AU178" i="5" s="1"/>
  <c r="AC84" i="5"/>
  <c r="AC454" i="5"/>
  <c r="AS454" i="5" s="1"/>
  <c r="AU454" i="5" s="1"/>
  <c r="AC148" i="5"/>
  <c r="AE148" i="5" s="1"/>
  <c r="AC471" i="5"/>
  <c r="AS471" i="5" s="1"/>
  <c r="AT471" i="5" s="1"/>
  <c r="AC316" i="5"/>
  <c r="AD316" i="5" s="1"/>
  <c r="AC326" i="10"/>
  <c r="AV326" i="10" s="1"/>
  <c r="AW326" i="10" s="1"/>
  <c r="AC509" i="5"/>
  <c r="AD509" i="5" s="1"/>
  <c r="AC476" i="5"/>
  <c r="AD476" i="5" s="1"/>
  <c r="AC112" i="5"/>
  <c r="AE112" i="5" s="1"/>
  <c r="AC44" i="5"/>
  <c r="AE44" i="5" s="1"/>
  <c r="AC80" i="5"/>
  <c r="AE80" i="5" s="1"/>
  <c r="W8" i="4"/>
  <c r="X8" i="4" s="1"/>
  <c r="AC185" i="10"/>
  <c r="AV185" i="10" s="1"/>
  <c r="AC440" i="10"/>
  <c r="AE440" i="10" s="1"/>
  <c r="AC54" i="10"/>
  <c r="AV54" i="10" s="1"/>
  <c r="AC372" i="5"/>
  <c r="AS372" i="5" s="1"/>
  <c r="AT372" i="5" s="1"/>
  <c r="AC77" i="5"/>
  <c r="AD77" i="5" s="1"/>
  <c r="AC125" i="5"/>
  <c r="AE125" i="5" s="1"/>
  <c r="AC8" i="5"/>
  <c r="AS8" i="5" s="1"/>
  <c r="AU8" i="5" s="1"/>
  <c r="AC151" i="5"/>
  <c r="AS151" i="5" s="1"/>
  <c r="AU151" i="5" s="1"/>
  <c r="AC69" i="10"/>
  <c r="AD69" i="10" s="1"/>
  <c r="AC211" i="10"/>
  <c r="AV211" i="10" s="1"/>
  <c r="AC399" i="5"/>
  <c r="AE399" i="5" s="1"/>
  <c r="AC466" i="5"/>
  <c r="AD466" i="5" s="1"/>
  <c r="AC58" i="5"/>
  <c r="AE58" i="5" s="1"/>
  <c r="AC289" i="5"/>
  <c r="AD289" i="5" s="1"/>
  <c r="AC144" i="5"/>
  <c r="AS144" i="5" s="1"/>
  <c r="AU144" i="5" s="1"/>
  <c r="AC258" i="5"/>
  <c r="AS258" i="5" s="1"/>
  <c r="AU258" i="5" s="1"/>
  <c r="AC556" i="5"/>
  <c r="AE556" i="5" s="1"/>
  <c r="AC45" i="5"/>
  <c r="AE45" i="5" s="1"/>
  <c r="AC526" i="5"/>
  <c r="AE526" i="5" s="1"/>
  <c r="AC150" i="5"/>
  <c r="AE150" i="5" s="1"/>
  <c r="AC375" i="5"/>
  <c r="AD375" i="5" s="1"/>
  <c r="AC451" i="5"/>
  <c r="AS451" i="5" s="1"/>
  <c r="AT451" i="5" s="1"/>
  <c r="AC395" i="10"/>
  <c r="AD395" i="10" s="1"/>
  <c r="AC250" i="10"/>
  <c r="AE250" i="10" s="1"/>
  <c r="AC498" i="10"/>
  <c r="AV498" i="10" s="1"/>
  <c r="AC200" i="10"/>
  <c r="AD200" i="10" s="1"/>
  <c r="AC108" i="5"/>
  <c r="AS108" i="5" s="1"/>
  <c r="AU108" i="5" s="1"/>
  <c r="AC129" i="10"/>
  <c r="X116" i="4"/>
  <c r="X154" i="4"/>
  <c r="X113" i="4"/>
  <c r="X130" i="4"/>
  <c r="X97" i="4"/>
  <c r="X102" i="4"/>
  <c r="X110" i="4"/>
  <c r="X54" i="4"/>
  <c r="AC279" i="10"/>
  <c r="AC224" i="10"/>
  <c r="AC274" i="10"/>
  <c r="AD274" i="10" s="1"/>
  <c r="AC53" i="10"/>
  <c r="AE53" i="10" s="1"/>
  <c r="AC160" i="10"/>
  <c r="AD160" i="10" s="1"/>
  <c r="AC242" i="10"/>
  <c r="AE242" i="10" s="1"/>
  <c r="AC28" i="10"/>
  <c r="AE28" i="10" s="1"/>
  <c r="AC55" i="10"/>
  <c r="AV55" i="10" s="1"/>
  <c r="AC278" i="10"/>
  <c r="AD278" i="10" s="1"/>
  <c r="AC516" i="10"/>
  <c r="X81" i="4"/>
  <c r="X69" i="4"/>
  <c r="X62" i="4"/>
  <c r="X52" i="4"/>
  <c r="X112" i="4"/>
  <c r="X152" i="4"/>
  <c r="X91" i="4"/>
  <c r="X126" i="4"/>
  <c r="X145" i="4"/>
  <c r="X150" i="4"/>
  <c r="X64" i="4"/>
  <c r="X146" i="4"/>
  <c r="X67" i="4"/>
  <c r="X142" i="4"/>
  <c r="X123" i="4"/>
  <c r="X111" i="4"/>
  <c r="X137" i="4"/>
  <c r="X106" i="4"/>
  <c r="X65" i="4"/>
  <c r="X90" i="4"/>
  <c r="X104" i="4"/>
  <c r="X79" i="4"/>
  <c r="AC548" i="10"/>
  <c r="AE548" i="10" s="1"/>
  <c r="AC164" i="10"/>
  <c r="AE164" i="10" s="1"/>
  <c r="AC534" i="10"/>
  <c r="AE534" i="10" s="1"/>
  <c r="BN20" i="4"/>
  <c r="AI20" i="4"/>
  <c r="AI134" i="4"/>
  <c r="AI96" i="4"/>
  <c r="BN72" i="4"/>
  <c r="AI72" i="4"/>
  <c r="BN29" i="4"/>
  <c r="AI29" i="4"/>
  <c r="AI135" i="4"/>
  <c r="BN43" i="4"/>
  <c r="AI43" i="4"/>
  <c r="BN33" i="4"/>
  <c r="AI33" i="4"/>
  <c r="BN38" i="4"/>
  <c r="AI38" i="4"/>
  <c r="AI153" i="4"/>
  <c r="BN45" i="4"/>
  <c r="AI45" i="4"/>
  <c r="AI119" i="4"/>
  <c r="BN70" i="4"/>
  <c r="AI70" i="4"/>
  <c r="AI144" i="4"/>
  <c r="AI87" i="4"/>
  <c r="AI83" i="4"/>
  <c r="BN22" i="4"/>
  <c r="AI22" i="4"/>
  <c r="AI101" i="4"/>
  <c r="BN28" i="4"/>
  <c r="AI28" i="4"/>
  <c r="BN60" i="4"/>
  <c r="AI60" i="4"/>
  <c r="AI114" i="4"/>
  <c r="BN50" i="4"/>
  <c r="AI50" i="4"/>
  <c r="AI147" i="4"/>
  <c r="BN12" i="4"/>
  <c r="AI12" i="4"/>
  <c r="BN9" i="4"/>
  <c r="AI9" i="4"/>
  <c r="AI151" i="4"/>
  <c r="AI98" i="4"/>
  <c r="BN14" i="4"/>
  <c r="AI14" i="4"/>
  <c r="AI139" i="4"/>
  <c r="AI85" i="4"/>
  <c r="AI128" i="4"/>
  <c r="BN23" i="4"/>
  <c r="AI23" i="4"/>
  <c r="AI109" i="4"/>
  <c r="BN17" i="4"/>
  <c r="AI17" i="4"/>
  <c r="AI127" i="4"/>
  <c r="BN44" i="4"/>
  <c r="AI44" i="4"/>
  <c r="BN18" i="4"/>
  <c r="AI18" i="4"/>
  <c r="BN25" i="4"/>
  <c r="AI25" i="4"/>
  <c r="BN58" i="4"/>
  <c r="AI58" i="4"/>
  <c r="AI103" i="4"/>
  <c r="AI138" i="4"/>
  <c r="BN11" i="4"/>
  <c r="AI11" i="4"/>
  <c r="AI132" i="4"/>
  <c r="AI131" i="4"/>
  <c r="BN40" i="4"/>
  <c r="AI40" i="4"/>
  <c r="AI89" i="4"/>
  <c r="BN57" i="4"/>
  <c r="AI57" i="4"/>
  <c r="AI100" i="4"/>
  <c r="BN13" i="4"/>
  <c r="AI13" i="4"/>
  <c r="AI86" i="4"/>
  <c r="BN55" i="4"/>
  <c r="AI55" i="4"/>
  <c r="BN27" i="4"/>
  <c r="AI27" i="4"/>
  <c r="AI92" i="4"/>
  <c r="BN74" i="4"/>
  <c r="AI74" i="4"/>
  <c r="AI84" i="4"/>
  <c r="AI105" i="4"/>
  <c r="BN15" i="4"/>
  <c r="AI15" i="4"/>
  <c r="BN53" i="4"/>
  <c r="AI53" i="4"/>
  <c r="BN77" i="4"/>
  <c r="AI77" i="4"/>
  <c r="BN73" i="4"/>
  <c r="AI73" i="4"/>
  <c r="BN16" i="4"/>
  <c r="AI16" i="4"/>
  <c r="AI99" i="4"/>
  <c r="AI93" i="4"/>
  <c r="BN68" i="4"/>
  <c r="AI68" i="4"/>
  <c r="AI129" i="4"/>
  <c r="BN42" i="4"/>
  <c r="AI42" i="4"/>
  <c r="BN10" i="4"/>
  <c r="AI10" i="4"/>
  <c r="BN66" i="4"/>
  <c r="AI66" i="4"/>
  <c r="BN30" i="4"/>
  <c r="AI30" i="4"/>
  <c r="BN31" i="4"/>
  <c r="AI31" i="4"/>
  <c r="BN34" i="4"/>
  <c r="AI34" i="4"/>
  <c r="BN36" i="4"/>
  <c r="AI36" i="4"/>
  <c r="BN78" i="4"/>
  <c r="AI78" i="4"/>
  <c r="AI141" i="4"/>
  <c r="AI80" i="4"/>
  <c r="BN51" i="4"/>
  <c r="AI51" i="4"/>
  <c r="AI115" i="4"/>
  <c r="AI125" i="4"/>
  <c r="BN71" i="4"/>
  <c r="AI71" i="4"/>
  <c r="AI95" i="4"/>
  <c r="BN63" i="4"/>
  <c r="AI63" i="4"/>
  <c r="AI121" i="4"/>
  <c r="BN35" i="4"/>
  <c r="AI35" i="4"/>
  <c r="BN61" i="4"/>
  <c r="AI61" i="4"/>
  <c r="AI155" i="4"/>
  <c r="BN76" i="4"/>
  <c r="AI76" i="4"/>
  <c r="AI88" i="4"/>
  <c r="AI120" i="4"/>
  <c r="X47" i="4"/>
  <c r="Y62" i="4"/>
  <c r="X46" i="4"/>
  <c r="X37" i="4"/>
  <c r="Z102" i="4"/>
  <c r="Y112" i="4"/>
  <c r="Z112" i="4"/>
  <c r="AD7" i="4"/>
  <c r="AH7" i="4"/>
  <c r="W156" i="4"/>
  <c r="X156" i="4" s="1"/>
  <c r="AP107" i="4"/>
  <c r="AO107" i="4" s="1"/>
  <c r="AN107" i="4" s="1"/>
  <c r="W92" i="4"/>
  <c r="X92" i="4" s="1"/>
  <c r="BN8" i="4"/>
  <c r="W107" i="4"/>
  <c r="X107" i="4" s="1"/>
  <c r="Y67" i="4"/>
  <c r="W40" i="4"/>
  <c r="X40" i="4" s="1"/>
  <c r="Z153" i="4"/>
  <c r="AA153" i="4" s="1"/>
  <c r="Y37" i="4"/>
  <c r="AI37" i="4" s="1"/>
  <c r="Y133" i="4"/>
  <c r="W108" i="4"/>
  <c r="X108" i="4" s="1"/>
  <c r="Z92" i="4"/>
  <c r="AA92" i="4" s="1"/>
  <c r="Y59" i="4"/>
  <c r="AI59" i="4" s="1"/>
  <c r="W59" i="4"/>
  <c r="X59" i="4" s="1"/>
  <c r="Z111" i="4"/>
  <c r="Y152" i="4"/>
  <c r="AI152" i="4" s="1"/>
  <c r="W122" i="4"/>
  <c r="X122" i="4" s="1"/>
  <c r="Y111" i="4"/>
  <c r="BI51" i="4"/>
  <c r="BI50" i="4"/>
  <c r="BI12" i="4"/>
  <c r="BI9" i="4"/>
  <c r="BI55" i="4"/>
  <c r="BI96" i="4"/>
  <c r="BI72" i="4"/>
  <c r="BI23" i="4"/>
  <c r="BI127" i="4"/>
  <c r="BI71" i="4"/>
  <c r="W74" i="4"/>
  <c r="X74" i="4" s="1"/>
  <c r="BI35" i="4"/>
  <c r="BI68" i="4"/>
  <c r="BI147" i="4"/>
  <c r="BI151" i="4"/>
  <c r="BI115" i="4"/>
  <c r="BI63" i="4"/>
  <c r="BI61" i="4"/>
  <c r="BI86" i="4"/>
  <c r="BI98" i="4"/>
  <c r="BI139" i="4"/>
  <c r="BI85" i="4"/>
  <c r="BI135" i="4"/>
  <c r="BI101" i="4"/>
  <c r="BI58" i="4"/>
  <c r="BI28" i="4"/>
  <c r="BI45" i="4"/>
  <c r="BI92" i="4"/>
  <c r="BI10" i="4"/>
  <c r="BI77" i="4"/>
  <c r="BI95" i="4"/>
  <c r="BI74" i="4"/>
  <c r="Z74" i="4"/>
  <c r="AA74" i="4" s="1"/>
  <c r="BI31" i="4"/>
  <c r="BI34" i="4"/>
  <c r="BI78" i="4"/>
  <c r="BI128" i="4"/>
  <c r="BI16" i="4"/>
  <c r="BI18" i="4"/>
  <c r="BI25" i="4"/>
  <c r="BI11" i="4"/>
  <c r="BI60" i="4"/>
  <c r="BI114" i="4"/>
  <c r="BI57" i="4"/>
  <c r="BI100" i="4"/>
  <c r="BI129" i="4"/>
  <c r="BI84" i="4"/>
  <c r="Y91" i="4"/>
  <c r="Y122" i="4"/>
  <c r="AI122" i="4" s="1"/>
  <c r="Y140" i="4"/>
  <c r="Y150" i="4"/>
  <c r="Y126" i="4"/>
  <c r="W57" i="4"/>
  <c r="X57" i="4" s="1"/>
  <c r="W100" i="4"/>
  <c r="X100" i="4" s="1"/>
  <c r="W56" i="4"/>
  <c r="X56" i="4" s="1"/>
  <c r="W114" i="4"/>
  <c r="X114" i="4" s="1"/>
  <c r="Z100" i="4"/>
  <c r="AA100" i="4" s="1"/>
  <c r="Y97" i="4"/>
  <c r="Y142" i="4"/>
  <c r="W84" i="4"/>
  <c r="X84" i="4" s="1"/>
  <c r="W157" i="4"/>
  <c r="X157" i="4" s="1"/>
  <c r="W68" i="4"/>
  <c r="X68" i="4" s="1"/>
  <c r="Y41" i="4"/>
  <c r="Y102" i="4"/>
  <c r="AI102" i="4" s="1"/>
  <c r="Y56" i="4"/>
  <c r="W143" i="4"/>
  <c r="X143" i="4" s="1"/>
  <c r="W94" i="4"/>
  <c r="X94" i="4" s="1"/>
  <c r="W41" i="4"/>
  <c r="X41" i="4" s="1"/>
  <c r="Y94" i="4"/>
  <c r="W124" i="4"/>
  <c r="X124" i="4" s="1"/>
  <c r="W129" i="4"/>
  <c r="X129" i="4" s="1"/>
  <c r="W82" i="4"/>
  <c r="X82" i="4" s="1"/>
  <c r="W75" i="4"/>
  <c r="X75" i="4" s="1"/>
  <c r="Z129" i="4"/>
  <c r="AA129" i="4" s="1"/>
  <c r="Z126" i="4"/>
  <c r="Y154" i="4"/>
  <c r="Y75" i="4"/>
  <c r="W60" i="4"/>
  <c r="X60" i="4" s="1"/>
  <c r="W140" i="4"/>
  <c r="X140" i="4" s="1"/>
  <c r="W147" i="4"/>
  <c r="X147" i="4" s="1"/>
  <c r="Z147" i="4"/>
  <c r="AA147" i="4" s="1"/>
  <c r="Z60" i="4"/>
  <c r="AA60" i="4" s="1"/>
  <c r="Y69" i="4"/>
  <c r="Z88" i="4"/>
  <c r="AA88" i="4" s="1"/>
  <c r="Y108" i="4"/>
  <c r="Y39" i="4"/>
  <c r="W88" i="4"/>
  <c r="X88" i="4" s="1"/>
  <c r="W76" i="4"/>
  <c r="X76" i="4" s="1"/>
  <c r="W39" i="4"/>
  <c r="X39" i="4" s="1"/>
  <c r="AP120" i="4"/>
  <c r="AO120" i="4" s="1"/>
  <c r="Y123" i="4"/>
  <c r="W120" i="4"/>
  <c r="X120" i="4" s="1"/>
  <c r="W45" i="4"/>
  <c r="X45" i="4" s="1"/>
  <c r="W153" i="4"/>
  <c r="X153" i="4" s="1"/>
  <c r="W89" i="4"/>
  <c r="X89" i="4" s="1"/>
  <c r="W133" i="4"/>
  <c r="X133" i="4" s="1"/>
  <c r="Z132" i="4"/>
  <c r="AA132" i="4" s="1"/>
  <c r="Z50" i="4"/>
  <c r="AA50" i="4" s="1"/>
  <c r="Z61" i="4"/>
  <c r="AA61" i="4" s="1"/>
  <c r="Y52" i="4"/>
  <c r="W132" i="4"/>
  <c r="X132" i="4" s="1"/>
  <c r="W131" i="4"/>
  <c r="X131" i="4" s="1"/>
  <c r="W50" i="4"/>
  <c r="X50" i="4" s="1"/>
  <c r="Z52" i="4"/>
  <c r="Z131" i="4"/>
  <c r="AA131" i="4" s="1"/>
  <c r="Z145" i="4"/>
  <c r="Y116" i="4"/>
  <c r="Y145" i="4"/>
  <c r="W61" i="4"/>
  <c r="X61" i="4" s="1"/>
  <c r="Y130" i="4"/>
  <c r="W155" i="4"/>
  <c r="X155" i="4" s="1"/>
  <c r="Z90" i="4"/>
  <c r="Y90" i="4"/>
  <c r="AA11" i="4"/>
  <c r="AA38" i="4"/>
  <c r="AA35" i="4"/>
  <c r="X30" i="4"/>
  <c r="X20" i="4"/>
  <c r="X10" i="4"/>
  <c r="X15" i="4"/>
  <c r="X26" i="4"/>
  <c r="X18" i="4"/>
  <c r="X24" i="4"/>
  <c r="X22" i="4"/>
  <c r="AP70" i="4"/>
  <c r="AP151" i="4"/>
  <c r="AP98" i="4"/>
  <c r="AO98" i="4" s="1"/>
  <c r="AP77" i="4"/>
  <c r="AP60" i="4"/>
  <c r="AO60" i="4" s="1"/>
  <c r="AP45" i="4"/>
  <c r="AP109" i="4"/>
  <c r="AP115" i="4"/>
  <c r="AP71" i="4"/>
  <c r="AO71" i="4" s="1"/>
  <c r="AP103" i="4"/>
  <c r="AP28" i="4"/>
  <c r="AO28" i="4" s="1"/>
  <c r="AP12" i="4"/>
  <c r="AP86" i="4"/>
  <c r="AO86" i="4" s="1"/>
  <c r="AP134" i="4"/>
  <c r="AP34" i="4"/>
  <c r="AP131" i="4"/>
  <c r="AP141" i="4"/>
  <c r="AP88" i="4"/>
  <c r="AP68" i="4"/>
  <c r="AO68" i="4" s="1"/>
  <c r="AP125" i="4"/>
  <c r="AP63" i="4"/>
  <c r="AP119" i="4"/>
  <c r="AP13" i="4"/>
  <c r="AP10" i="4"/>
  <c r="AO10" i="4" s="1"/>
  <c r="AP15" i="4"/>
  <c r="AP74" i="4"/>
  <c r="AO74" i="4" s="1"/>
  <c r="AP57" i="4"/>
  <c r="AP55" i="4"/>
  <c r="AP96" i="4"/>
  <c r="AP114" i="4"/>
  <c r="AP155" i="4"/>
  <c r="AP85" i="4"/>
  <c r="AP72" i="4"/>
  <c r="AP83" i="4"/>
  <c r="AO83" i="4" s="1"/>
  <c r="AP135" i="4"/>
  <c r="AP132" i="4"/>
  <c r="AP17" i="4"/>
  <c r="AP93" i="4"/>
  <c r="AP33" i="4"/>
  <c r="AP25" i="4"/>
  <c r="AP38" i="4"/>
  <c r="AP11" i="4"/>
  <c r="AP105" i="4"/>
  <c r="AP66" i="4"/>
  <c r="AP84" i="4"/>
  <c r="AP14" i="4"/>
  <c r="AO14" i="4" s="1"/>
  <c r="AP36" i="4"/>
  <c r="AO36" i="4" s="1"/>
  <c r="AP89" i="4"/>
  <c r="AP127" i="4"/>
  <c r="AP44" i="4"/>
  <c r="AP76" i="4"/>
  <c r="AP42" i="4"/>
  <c r="AP50" i="4"/>
  <c r="AP30" i="4"/>
  <c r="AP31" i="4"/>
  <c r="AP153" i="4"/>
  <c r="AP87" i="4"/>
  <c r="AO87" i="4" s="1"/>
  <c r="AP73" i="4"/>
  <c r="AP92" i="4"/>
  <c r="AP80" i="4"/>
  <c r="AP22" i="4"/>
  <c r="AO22" i="4" s="1"/>
  <c r="AP100" i="4"/>
  <c r="AP95" i="4"/>
  <c r="AO95" i="4" s="1"/>
  <c r="AP138" i="4"/>
  <c r="AP40" i="4"/>
  <c r="AO40" i="4" s="1"/>
  <c r="AP20" i="4"/>
  <c r="AP9" i="4"/>
  <c r="AP144" i="4"/>
  <c r="AP53" i="4"/>
  <c r="AP139" i="4"/>
  <c r="AP27" i="4"/>
  <c r="AP78" i="4"/>
  <c r="AO78" i="4" s="1"/>
  <c r="AP128" i="4"/>
  <c r="AP29" i="4"/>
  <c r="AP23" i="4"/>
  <c r="AP16" i="4"/>
  <c r="AP51" i="4"/>
  <c r="AP129" i="4"/>
  <c r="AP99" i="4"/>
  <c r="AO99" i="4" s="1"/>
  <c r="AP43" i="4"/>
  <c r="AP61" i="4"/>
  <c r="AP147" i="4"/>
  <c r="AP18" i="4"/>
  <c r="AO18" i="4" s="1"/>
  <c r="AP101" i="4"/>
  <c r="AP58" i="4"/>
  <c r="AP35" i="4"/>
  <c r="X21" i="4"/>
  <c r="X12" i="4"/>
  <c r="X9" i="4"/>
  <c r="X33" i="4"/>
  <c r="AA28" i="4"/>
  <c r="X17" i="4"/>
  <c r="X19" i="4"/>
  <c r="X32" i="4"/>
  <c r="X31" i="4"/>
  <c r="X34" i="4"/>
  <c r="X27" i="4"/>
  <c r="AP8" i="4"/>
  <c r="AA103" i="4"/>
  <c r="AA138" i="4"/>
  <c r="X16" i="4"/>
  <c r="X35" i="4"/>
  <c r="X28" i="4"/>
  <c r="X11" i="4"/>
  <c r="AA121" i="4"/>
  <c r="AA63" i="4"/>
  <c r="AA23" i="4"/>
  <c r="AA93" i="4"/>
  <c r="AA115" i="4"/>
  <c r="AA18" i="4"/>
  <c r="AA101" i="4"/>
  <c r="AA125" i="4"/>
  <c r="AA22" i="4"/>
  <c r="AA71" i="4"/>
  <c r="AA44" i="4"/>
  <c r="AA127" i="4"/>
  <c r="AA80" i="4"/>
  <c r="AA43" i="4"/>
  <c r="AA51" i="4"/>
  <c r="Z114" i="4"/>
  <c r="AA114" i="4" s="1"/>
  <c r="Z15" i="4"/>
  <c r="AA15" i="4" s="1"/>
  <c r="Z96" i="4"/>
  <c r="AA96" i="4" s="1"/>
  <c r="Z20" i="4"/>
  <c r="AA20" i="4" s="1"/>
  <c r="Z40" i="4"/>
  <c r="AA40" i="4" s="1"/>
  <c r="Z128" i="4"/>
  <c r="AA128" i="4" s="1"/>
  <c r="Z84" i="4"/>
  <c r="AA84" i="4" s="1"/>
  <c r="Z98" i="4"/>
  <c r="AA98" i="4" s="1"/>
  <c r="Z13" i="4"/>
  <c r="AA13" i="4" s="1"/>
  <c r="Z85" i="4"/>
  <c r="AA85" i="4" s="1"/>
  <c r="Z30" i="4"/>
  <c r="AA30" i="4" s="1"/>
  <c r="Z67" i="4"/>
  <c r="Z66" i="4"/>
  <c r="AA66" i="4" s="1"/>
  <c r="Z97" i="4"/>
  <c r="Y146" i="4"/>
  <c r="Z146" i="4"/>
  <c r="AA12" i="4"/>
  <c r="Y149" i="4"/>
  <c r="Y143" i="4"/>
  <c r="Z9" i="4"/>
  <c r="AA9" i="4" s="1"/>
  <c r="Z149" i="4"/>
  <c r="Z19" i="4"/>
  <c r="Y19" i="4"/>
  <c r="Z65" i="4"/>
  <c r="Y65" i="4"/>
  <c r="Y124" i="4"/>
  <c r="Y156" i="4"/>
  <c r="Y148" i="4"/>
  <c r="Y104" i="4"/>
  <c r="Y157" i="4"/>
  <c r="Y54" i="4"/>
  <c r="Y82" i="4"/>
  <c r="Y117" i="4"/>
  <c r="AA134" i="4"/>
  <c r="Z137" i="4"/>
  <c r="Y137" i="4"/>
  <c r="Z118" i="4"/>
  <c r="Y118" i="4"/>
  <c r="Z113" i="4"/>
  <c r="Y113" i="4"/>
  <c r="Z26" i="4"/>
  <c r="Y26" i="4"/>
  <c r="Z24" i="4"/>
  <c r="Y24" i="4"/>
  <c r="Y48" i="4"/>
  <c r="Y110" i="4"/>
  <c r="Z110" i="4"/>
  <c r="Y49" i="4"/>
  <c r="Y79" i="4"/>
  <c r="Y81" i="4"/>
  <c r="Z81" i="4"/>
  <c r="Z123" i="4"/>
  <c r="AA8" i="4"/>
  <c r="AB8" i="4" s="1"/>
  <c r="AH8" i="4" s="1"/>
  <c r="AA119" i="4"/>
  <c r="AA42" i="4"/>
  <c r="AA70" i="4"/>
  <c r="AA86" i="4"/>
  <c r="AA151" i="4"/>
  <c r="AA144" i="4"/>
  <c r="AA14" i="4"/>
  <c r="AA36" i="4"/>
  <c r="Z136" i="4"/>
  <c r="Y136" i="4"/>
  <c r="Z21" i="4"/>
  <c r="Y21" i="4"/>
  <c r="Z64" i="4"/>
  <c r="Y64" i="4"/>
  <c r="Z106" i="4"/>
  <c r="Y106" i="4"/>
  <c r="Y46" i="4"/>
  <c r="Z32" i="4"/>
  <c r="Y32" i="4"/>
  <c r="Z47" i="4"/>
  <c r="Y47" i="4"/>
  <c r="AA53" i="4"/>
  <c r="AA77" i="4"/>
  <c r="AA27" i="4"/>
  <c r="AA78" i="4"/>
  <c r="AA73" i="4"/>
  <c r="AA141" i="4"/>
  <c r="R116" i="10"/>
  <c r="S403" i="10"/>
  <c r="S185" i="10"/>
  <c r="AC403" i="10"/>
  <c r="AD403" i="10" s="1"/>
  <c r="S300" i="10"/>
  <c r="AC300" i="10"/>
  <c r="AE300" i="10" s="1"/>
  <c r="S92" i="10"/>
  <c r="AC92" i="10"/>
  <c r="AV92" i="10" s="1"/>
  <c r="S486" i="10"/>
  <c r="S174" i="10"/>
  <c r="AC556" i="10"/>
  <c r="AE556" i="10" s="1"/>
  <c r="S365" i="10"/>
  <c r="AC365" i="10"/>
  <c r="AE365" i="10" s="1"/>
  <c r="AC353" i="10"/>
  <c r="AE353" i="10" s="1"/>
  <c r="R462" i="10"/>
  <c r="R353" i="10"/>
  <c r="S377" i="10"/>
  <c r="AC283" i="10"/>
  <c r="AV283" i="10" s="1"/>
  <c r="AW283" i="10" s="1"/>
  <c r="R82" i="10"/>
  <c r="AC141" i="10"/>
  <c r="AD141" i="10" s="1"/>
  <c r="R535" i="10"/>
  <c r="R490" i="10"/>
  <c r="AC288" i="10"/>
  <c r="AD288" i="10" s="1"/>
  <c r="AC165" i="10"/>
  <c r="AE165" i="10" s="1"/>
  <c r="R422" i="10"/>
  <c r="R164" i="10"/>
  <c r="AC557" i="10"/>
  <c r="AD557" i="10" s="1"/>
  <c r="AC520" i="10"/>
  <c r="AV520" i="10" s="1"/>
  <c r="AC51" i="10"/>
  <c r="AD51" i="10" s="1"/>
  <c r="S165" i="10"/>
  <c r="R251" i="10"/>
  <c r="R73" i="10"/>
  <c r="AC132" i="10"/>
  <c r="AE132" i="10" s="1"/>
  <c r="AC464" i="10"/>
  <c r="AE464" i="10" s="1"/>
  <c r="AC137" i="10"/>
  <c r="AV137" i="10" s="1"/>
  <c r="AW137" i="10" s="1"/>
  <c r="AC378" i="10"/>
  <c r="AE378" i="10" s="1"/>
  <c r="AC458" i="10"/>
  <c r="AD458" i="10" s="1"/>
  <c r="AC499" i="10"/>
  <c r="AD499" i="10" s="1"/>
  <c r="S113" i="10"/>
  <c r="S297" i="10"/>
  <c r="S222" i="10"/>
  <c r="AC315" i="10"/>
  <c r="AE315" i="10" s="1"/>
  <c r="AC118" i="10"/>
  <c r="AD118" i="10" s="1"/>
  <c r="AC251" i="10"/>
  <c r="AV251" i="10" s="1"/>
  <c r="AW251" i="10" s="1"/>
  <c r="S478" i="10"/>
  <c r="R548" i="10"/>
  <c r="R127" i="10"/>
  <c r="S180" i="10"/>
  <c r="R413" i="10"/>
  <c r="AC411" i="10"/>
  <c r="AE411" i="10" s="1"/>
  <c r="AC249" i="10"/>
  <c r="AV249" i="10" s="1"/>
  <c r="AC377" i="10"/>
  <c r="AE377" i="10" s="1"/>
  <c r="AC174" i="10"/>
  <c r="AV174" i="10" s="1"/>
  <c r="AW174" i="10" s="1"/>
  <c r="R20" i="10"/>
  <c r="AC558" i="10"/>
  <c r="AD558" i="10" s="1"/>
  <c r="AC48" i="10"/>
  <c r="AE48" i="10" s="1"/>
  <c r="W11" i="10"/>
  <c r="X11" i="10" s="1"/>
  <c r="AC530" i="10"/>
  <c r="AD530" i="10" s="1"/>
  <c r="AC317" i="10"/>
  <c r="AV317" i="10" s="1"/>
  <c r="AC116" i="10"/>
  <c r="AE116" i="10" s="1"/>
  <c r="AC72" i="10"/>
  <c r="AD72" i="10" s="1"/>
  <c r="S250" i="10"/>
  <c r="AC56" i="10"/>
  <c r="AV56" i="10" s="1"/>
  <c r="S77" i="10"/>
  <c r="AC197" i="10"/>
  <c r="AD197" i="10" s="1"/>
  <c r="AC33" i="10"/>
  <c r="AE33" i="10" s="1"/>
  <c r="R437" i="10"/>
  <c r="AC102" i="10"/>
  <c r="AE102" i="10" s="1"/>
  <c r="AC215" i="10"/>
  <c r="AE215" i="10" s="1"/>
  <c r="S556" i="10"/>
  <c r="S475" i="10"/>
  <c r="AC209" i="10"/>
  <c r="AE209" i="10" s="1"/>
  <c r="AC446" i="5"/>
  <c r="AS446" i="5" s="1"/>
  <c r="AU446" i="5" s="1"/>
  <c r="S215" i="10"/>
  <c r="R157" i="10"/>
  <c r="S471" i="10"/>
  <c r="AC348" i="10"/>
  <c r="AV348" i="10" s="1"/>
  <c r="AC34" i="10"/>
  <c r="AV34" i="10" s="1"/>
  <c r="AC127" i="10"/>
  <c r="AV127" i="10" s="1"/>
  <c r="AC544" i="10"/>
  <c r="AE544" i="10" s="1"/>
  <c r="AC100" i="10"/>
  <c r="AE100" i="10" s="1"/>
  <c r="S393" i="10"/>
  <c r="AC488" i="10"/>
  <c r="AV488" i="10" s="1"/>
  <c r="AC89" i="10"/>
  <c r="AD89" i="10" s="1"/>
  <c r="AC373" i="10"/>
  <c r="AD373" i="10" s="1"/>
  <c r="AC41" i="10"/>
  <c r="AV41" i="10" s="1"/>
  <c r="AC172" i="10"/>
  <c r="AV172" i="10" s="1"/>
  <c r="AC314" i="10"/>
  <c r="AE314" i="10" s="1"/>
  <c r="AC203" i="10"/>
  <c r="AD203" i="10" s="1"/>
  <c r="AC382" i="10"/>
  <c r="AD382" i="10" s="1"/>
  <c r="AC380" i="10"/>
  <c r="AV380" i="10" s="1"/>
  <c r="AC290" i="10"/>
  <c r="AD290" i="10" s="1"/>
  <c r="AC432" i="10"/>
  <c r="AE432" i="10" s="1"/>
  <c r="AC13" i="10"/>
  <c r="AV13" i="10" s="1"/>
  <c r="AW13" i="10" s="1"/>
  <c r="AC502" i="10"/>
  <c r="AE502" i="10" s="1"/>
  <c r="AC202" i="10"/>
  <c r="AD202" i="10" s="1"/>
  <c r="S259" i="10"/>
  <c r="R68" i="10"/>
  <c r="R197" i="10"/>
  <c r="AC170" i="10"/>
  <c r="AV170" i="10" s="1"/>
  <c r="AC444" i="10"/>
  <c r="AE444" i="10" s="1"/>
  <c r="AC514" i="10"/>
  <c r="AV514" i="10" s="1"/>
  <c r="R432" i="10"/>
  <c r="S382" i="10"/>
  <c r="R361" i="10"/>
  <c r="AC259" i="10"/>
  <c r="AV259" i="10" s="1"/>
  <c r="S56" i="10"/>
  <c r="R129" i="10"/>
  <c r="R543" i="10"/>
  <c r="S444" i="10"/>
  <c r="R54" i="10"/>
  <c r="S69" i="10"/>
  <c r="S93" i="10"/>
  <c r="AC456" i="10"/>
  <c r="AV456" i="10" s="1"/>
  <c r="S299" i="10"/>
  <c r="S244" i="10"/>
  <c r="R56" i="10"/>
  <c r="R202" i="10"/>
  <c r="AC468" i="10"/>
  <c r="AE468" i="10" s="1"/>
  <c r="AC121" i="10"/>
  <c r="AD121" i="10" s="1"/>
  <c r="AC428" i="10"/>
  <c r="AV428" i="10" s="1"/>
  <c r="AC473" i="10"/>
  <c r="AD473" i="10" s="1"/>
  <c r="AC320" i="10"/>
  <c r="AE320" i="10" s="1"/>
  <c r="S544" i="10"/>
  <c r="S326" i="10"/>
  <c r="S100" i="10"/>
  <c r="S440" i="10"/>
  <c r="AC272" i="10"/>
  <c r="AD272" i="10" s="1"/>
  <c r="AC157" i="10"/>
  <c r="AV157" i="10" s="1"/>
  <c r="S33" i="10"/>
  <c r="R301" i="10"/>
  <c r="S348" i="10"/>
  <c r="R122" i="10"/>
  <c r="R272" i="10"/>
  <c r="S465" i="10"/>
  <c r="R85" i="10"/>
  <c r="S522" i="10"/>
  <c r="R325" i="10"/>
  <c r="AC301" i="10"/>
  <c r="AD301" i="10" s="1"/>
  <c r="AC441" i="10"/>
  <c r="AD441" i="10" s="1"/>
  <c r="AC522" i="10"/>
  <c r="AE522" i="10" s="1"/>
  <c r="AC77" i="10"/>
  <c r="AV77" i="10" s="1"/>
  <c r="AC536" i="10"/>
  <c r="AD536" i="10" s="1"/>
  <c r="AC543" i="10"/>
  <c r="AV543" i="10" s="1"/>
  <c r="AC465" i="10"/>
  <c r="AE465" i="10" s="1"/>
  <c r="AC261" i="10"/>
  <c r="AE261" i="10" s="1"/>
  <c r="AC122" i="10"/>
  <c r="AV122" i="10" s="1"/>
  <c r="R556" i="10"/>
  <c r="AC471" i="10"/>
  <c r="AD471" i="10" s="1"/>
  <c r="AC437" i="10"/>
  <c r="AV437" i="10" s="1"/>
  <c r="AC85" i="10"/>
  <c r="AD85" i="10" s="1"/>
  <c r="AC393" i="10"/>
  <c r="AE393" i="10" s="1"/>
  <c r="AC475" i="10"/>
  <c r="AD475" i="10" s="1"/>
  <c r="AC325" i="10"/>
  <c r="AD325" i="10" s="1"/>
  <c r="R358" i="10"/>
  <c r="S358" i="10"/>
  <c r="R388" i="10"/>
  <c r="AC388" i="10"/>
  <c r="AE388" i="10" s="1"/>
  <c r="S206" i="10"/>
  <c r="R206" i="10"/>
  <c r="AC501" i="10"/>
  <c r="AE501" i="10" s="1"/>
  <c r="R501" i="10"/>
  <c r="S173" i="10"/>
  <c r="R173" i="10"/>
  <c r="AC38" i="10"/>
  <c r="AE38" i="10" s="1"/>
  <c r="S38" i="10"/>
  <c r="AC405" i="10"/>
  <c r="AE405" i="10" s="1"/>
  <c r="S405" i="10"/>
  <c r="AC90" i="10"/>
  <c r="AD90" i="10" s="1"/>
  <c r="R90" i="10"/>
  <c r="S416" i="10"/>
  <c r="R416" i="10"/>
  <c r="S337" i="10"/>
  <c r="R337" i="10"/>
  <c r="AC139" i="10"/>
  <c r="AD139" i="10" s="1"/>
  <c r="S139" i="10"/>
  <c r="R139" i="10"/>
  <c r="AC47" i="10"/>
  <c r="AD47" i="10" s="1"/>
  <c r="R47" i="10"/>
  <c r="R96" i="10"/>
  <c r="S96" i="10"/>
  <c r="AC295" i="10"/>
  <c r="AV295" i="10" s="1"/>
  <c r="R295" i="10"/>
  <c r="R463" i="10"/>
  <c r="S463" i="10"/>
  <c r="AC8" i="10"/>
  <c r="AE8" i="10" s="1"/>
  <c r="R8" i="10"/>
  <c r="AC43" i="10"/>
  <c r="AD43" i="10" s="1"/>
  <c r="R43" i="10"/>
  <c r="AC153" i="10"/>
  <c r="AV153" i="10" s="1"/>
  <c r="R153" i="10"/>
  <c r="R258" i="10"/>
  <c r="AC258" i="10"/>
  <c r="AE258" i="10" s="1"/>
  <c r="S290" i="10"/>
  <c r="R290" i="10"/>
  <c r="AC399" i="10"/>
  <c r="AV399" i="10" s="1"/>
  <c r="AX399" i="10" s="1"/>
  <c r="R399" i="10"/>
  <c r="S512" i="10"/>
  <c r="R512" i="10"/>
  <c r="S469" i="10"/>
  <c r="R469" i="10"/>
  <c r="S452" i="10"/>
  <c r="R452" i="10"/>
  <c r="AC452" i="10"/>
  <c r="AE452" i="10" s="1"/>
  <c r="R387" i="10"/>
  <c r="S387" i="10"/>
  <c r="S39" i="10"/>
  <c r="R39" i="10"/>
  <c r="AC168" i="10"/>
  <c r="AV168" i="10" s="1"/>
  <c r="S168" i="10"/>
  <c r="R72" i="10"/>
  <c r="S72" i="10"/>
  <c r="R115" i="10"/>
  <c r="AC115" i="10"/>
  <c r="AV115" i="10" s="1"/>
  <c r="R286" i="10"/>
  <c r="S286" i="10"/>
  <c r="AC330" i="10"/>
  <c r="AE330" i="10" s="1"/>
  <c r="R330" i="10"/>
  <c r="AC323" i="10"/>
  <c r="AE323" i="10" s="1"/>
  <c r="S323" i="10"/>
  <c r="R323" i="10"/>
  <c r="R391" i="10"/>
  <c r="S391" i="10"/>
  <c r="S436" i="10"/>
  <c r="AC436" i="10"/>
  <c r="AE436" i="10" s="1"/>
  <c r="S492" i="10"/>
  <c r="R492" i="10"/>
  <c r="R466" i="10"/>
  <c r="S466" i="10"/>
  <c r="S507" i="10"/>
  <c r="R507" i="10"/>
  <c r="S500" i="10"/>
  <c r="R500" i="10"/>
  <c r="AC225" i="10"/>
  <c r="AD225" i="10" s="1"/>
  <c r="S225" i="10"/>
  <c r="R225" i="10"/>
  <c r="S37" i="10"/>
  <c r="R37" i="10"/>
  <c r="R312" i="10"/>
  <c r="S312" i="10"/>
  <c r="S430" i="10"/>
  <c r="R430" i="10"/>
  <c r="AC492" i="10"/>
  <c r="AE492" i="10" s="1"/>
  <c r="S219" i="10"/>
  <c r="S47" i="10"/>
  <c r="S501" i="10"/>
  <c r="R425" i="10"/>
  <c r="S533" i="10"/>
  <c r="R167" i="10"/>
  <c r="S8" i="10"/>
  <c r="S115" i="10"/>
  <c r="AC551" i="10"/>
  <c r="AV551" i="10" s="1"/>
  <c r="AC219" i="10"/>
  <c r="AE219" i="10" s="1"/>
  <c r="S560" i="10"/>
  <c r="S90" i="10"/>
  <c r="AC387" i="10"/>
  <c r="AV387" i="10" s="1"/>
  <c r="AC125" i="10"/>
  <c r="AV125" i="10" s="1"/>
  <c r="S399" i="10"/>
  <c r="AC37" i="10"/>
  <c r="AV37" i="10" s="1"/>
  <c r="AX37" i="10" s="1"/>
  <c r="AC367" i="10"/>
  <c r="AV367" i="10" s="1"/>
  <c r="AW367" i="10" s="1"/>
  <c r="R356" i="10"/>
  <c r="R502" i="10"/>
  <c r="AC420" i="10"/>
  <c r="AV420" i="10" s="1"/>
  <c r="AC356" i="10"/>
  <c r="AD356" i="10" s="1"/>
  <c r="S455" i="10"/>
  <c r="R319" i="10"/>
  <c r="S291" i="10"/>
  <c r="S50" i="10"/>
  <c r="R366" i="10"/>
  <c r="S126" i="10"/>
  <c r="S380" i="10"/>
  <c r="AC478" i="10"/>
  <c r="AV478" i="10" s="1"/>
  <c r="S502" i="10"/>
  <c r="R509" i="10"/>
  <c r="S110" i="10"/>
  <c r="S513" i="10"/>
  <c r="S510" i="10"/>
  <c r="R182" i="10"/>
  <c r="R13" i="10"/>
  <c r="AC244" i="10"/>
  <c r="AD244" i="10" s="1"/>
  <c r="AC36" i="10"/>
  <c r="AD36" i="10" s="1"/>
  <c r="AC358" i="10"/>
  <c r="AV358" i="10" s="1"/>
  <c r="AX358" i="10" s="1"/>
  <c r="AC78" i="10"/>
  <c r="AV78" i="10" s="1"/>
  <c r="AC124" i="10"/>
  <c r="AV124" i="10" s="1"/>
  <c r="AC513" i="10"/>
  <c r="AD513" i="10" s="1"/>
  <c r="AC297" i="10"/>
  <c r="AV297" i="10" s="1"/>
  <c r="AC126" i="10"/>
  <c r="AD126" i="10" s="1"/>
  <c r="AC113" i="10"/>
  <c r="AV113" i="10" s="1"/>
  <c r="S372" i="10"/>
  <c r="AC182" i="10"/>
  <c r="AE182" i="10" s="1"/>
  <c r="AC434" i="10"/>
  <c r="AE434" i="10" s="1"/>
  <c r="AC361" i="10"/>
  <c r="AE361" i="10" s="1"/>
  <c r="AC425" i="10"/>
  <c r="AD425" i="10" s="1"/>
  <c r="AC507" i="10"/>
  <c r="AD507" i="10" s="1"/>
  <c r="AC205" i="10"/>
  <c r="AD205" i="10" s="1"/>
  <c r="AC222" i="10"/>
  <c r="AD222" i="10" s="1"/>
  <c r="AC285" i="10"/>
  <c r="AV285" i="10" s="1"/>
  <c r="AW285" i="10" s="1"/>
  <c r="AC342" i="10"/>
  <c r="AE342" i="10" s="1"/>
  <c r="AC443" i="10"/>
  <c r="AV443" i="10" s="1"/>
  <c r="AC455" i="10"/>
  <c r="AE455" i="10" s="1"/>
  <c r="AC552" i="10"/>
  <c r="AE552" i="10" s="1"/>
  <c r="AC218" i="10"/>
  <c r="AE218" i="10" s="1"/>
  <c r="AC275" i="10"/>
  <c r="AD275" i="10" s="1"/>
  <c r="AC93" i="10"/>
  <c r="AD93" i="10" s="1"/>
  <c r="AC490" i="10"/>
  <c r="AE490" i="10" s="1"/>
  <c r="AC291" i="10"/>
  <c r="AE291" i="10" s="1"/>
  <c r="AC104" i="10"/>
  <c r="AD104" i="10" s="1"/>
  <c r="AC188" i="10"/>
  <c r="AE188" i="10" s="1"/>
  <c r="AC248" i="10"/>
  <c r="AD248" i="10" s="1"/>
  <c r="AC413" i="10"/>
  <c r="AD413" i="10" s="1"/>
  <c r="AC512" i="10"/>
  <c r="AE512" i="10" s="1"/>
  <c r="AC110" i="10"/>
  <c r="AE110" i="10" s="1"/>
  <c r="AC500" i="10"/>
  <c r="AE500" i="10" s="1"/>
  <c r="S88" i="10"/>
  <c r="AC88" i="10"/>
  <c r="AD88" i="10" s="1"/>
  <c r="AC503" i="10"/>
  <c r="AV503" i="10" s="1"/>
  <c r="R503" i="10"/>
  <c r="S503" i="10"/>
  <c r="S364" i="10"/>
  <c r="AC364" i="10"/>
  <c r="AV364" i="10" s="1"/>
  <c r="S304" i="10"/>
  <c r="AC304" i="10"/>
  <c r="AD304" i="10" s="1"/>
  <c r="S335" i="10"/>
  <c r="R335" i="10"/>
  <c r="S426" i="10"/>
  <c r="R426" i="10"/>
  <c r="R278" i="10"/>
  <c r="R364" i="10"/>
  <c r="R497" i="10"/>
  <c r="S497" i="10"/>
  <c r="R487" i="10"/>
  <c r="S487" i="10"/>
  <c r="S124" i="10"/>
  <c r="R124" i="10"/>
  <c r="S26" i="10"/>
  <c r="AC26" i="10"/>
  <c r="AD26" i="10" s="1"/>
  <c r="R411" i="10"/>
  <c r="S411" i="10"/>
  <c r="R305" i="10"/>
  <c r="AC305" i="10"/>
  <c r="AV305" i="10" s="1"/>
  <c r="S305" i="10"/>
  <c r="AC176" i="10"/>
  <c r="AE176" i="10" s="1"/>
  <c r="R176" i="10"/>
  <c r="S338" i="10"/>
  <c r="R338" i="10"/>
  <c r="S331" i="10"/>
  <c r="R331" i="10"/>
  <c r="S433" i="10"/>
  <c r="R433" i="10"/>
  <c r="S474" i="10"/>
  <c r="R474" i="10"/>
  <c r="S549" i="10"/>
  <c r="R549" i="10"/>
  <c r="S494" i="10"/>
  <c r="R494" i="10"/>
  <c r="S170" i="10"/>
  <c r="R170" i="10"/>
  <c r="AC491" i="10"/>
  <c r="AE491" i="10" s="1"/>
  <c r="R491" i="10"/>
  <c r="S35" i="10"/>
  <c r="AC35" i="10"/>
  <c r="AV35" i="10" s="1"/>
  <c r="R35" i="10"/>
  <c r="S443" i="10"/>
  <c r="R443" i="10"/>
  <c r="AC254" i="10"/>
  <c r="AE254" i="10" s="1"/>
  <c r="AC462" i="10"/>
  <c r="AE462" i="10" s="1"/>
  <c r="S253" i="10"/>
  <c r="R253" i="10"/>
  <c r="S552" i="10"/>
  <c r="R552" i="10"/>
  <c r="S58" i="10"/>
  <c r="R58" i="10"/>
  <c r="AC252" i="5"/>
  <c r="AS252" i="5" s="1"/>
  <c r="AT252" i="5" s="1"/>
  <c r="AC466" i="10"/>
  <c r="AE466" i="10" s="1"/>
  <c r="AC338" i="10"/>
  <c r="AE338" i="10" s="1"/>
  <c r="AC331" i="10"/>
  <c r="AD331" i="10" s="1"/>
  <c r="S306" i="10"/>
  <c r="S330" i="10"/>
  <c r="R254" i="10"/>
  <c r="R145" i="10"/>
  <c r="R104" i="10"/>
  <c r="R41" i="10"/>
  <c r="R293" i="10"/>
  <c r="S316" i="10"/>
  <c r="R151" i="10"/>
  <c r="R405" i="10"/>
  <c r="R447" i="10"/>
  <c r="S162" i="10"/>
  <c r="S547" i="10"/>
  <c r="S367" i="10"/>
  <c r="R283" i="10"/>
  <c r="S111" i="10"/>
  <c r="R141" i="10"/>
  <c r="R36" i="10"/>
  <c r="R125" i="10"/>
  <c r="R385" i="10"/>
  <c r="S209" i="10"/>
  <c r="R551" i="10"/>
  <c r="R343" i="10"/>
  <c r="S295" i="10"/>
  <c r="S43" i="10"/>
  <c r="R420" i="10"/>
  <c r="AC442" i="10"/>
  <c r="AV442" i="10" s="1"/>
  <c r="AC316" i="10"/>
  <c r="AE316" i="10" s="1"/>
  <c r="S434" i="10"/>
  <c r="R227" i="10"/>
  <c r="S153" i="10"/>
  <c r="R304" i="10"/>
  <c r="S401" i="10"/>
  <c r="S317" i="10"/>
  <c r="R526" i="10"/>
  <c r="R521" i="10"/>
  <c r="R78" i="10"/>
  <c r="R558" i="10"/>
  <c r="R280" i="10"/>
  <c r="AC371" i="10"/>
  <c r="AV371" i="10" s="1"/>
  <c r="S371" i="10"/>
  <c r="R76" i="10"/>
  <c r="S76" i="10"/>
  <c r="S223" i="10"/>
  <c r="R223" i="10"/>
  <c r="S508" i="10"/>
  <c r="R508" i="10"/>
  <c r="R340" i="10"/>
  <c r="S340" i="10"/>
  <c r="AC340" i="10"/>
  <c r="AD340" i="10" s="1"/>
  <c r="AC280" i="10"/>
  <c r="AV280" i="10" s="1"/>
  <c r="AC526" i="10"/>
  <c r="AV526" i="10" s="1"/>
  <c r="S390" i="10"/>
  <c r="R390" i="10"/>
  <c r="AC79" i="10"/>
  <c r="AV79" i="10" s="1"/>
  <c r="S79" i="10"/>
  <c r="S186" i="10"/>
  <c r="R186" i="10"/>
  <c r="R208" i="10"/>
  <c r="AC208" i="10"/>
  <c r="AD208" i="10" s="1"/>
  <c r="S208" i="10"/>
  <c r="AC105" i="10"/>
  <c r="AE105" i="10" s="1"/>
  <c r="R188" i="10"/>
  <c r="S188" i="10"/>
  <c r="S263" i="10"/>
  <c r="R263" i="10"/>
  <c r="S485" i="10"/>
  <c r="R485" i="10"/>
  <c r="S181" i="10"/>
  <c r="R181" i="10"/>
  <c r="AC181" i="10"/>
  <c r="AE181" i="10" s="1"/>
  <c r="S117" i="10"/>
  <c r="R117" i="10"/>
  <c r="AC112" i="10"/>
  <c r="AD112" i="10" s="1"/>
  <c r="R112" i="10"/>
  <c r="R80" i="10"/>
  <c r="S80" i="10"/>
  <c r="AC123" i="10"/>
  <c r="AE123" i="10" s="1"/>
  <c r="S123" i="10"/>
  <c r="R123" i="10"/>
  <c r="AC229" i="10"/>
  <c r="AV229" i="10" s="1"/>
  <c r="R229" i="10"/>
  <c r="S249" i="10"/>
  <c r="R249" i="10"/>
  <c r="R102" i="10"/>
  <c r="S102" i="10"/>
  <c r="AC469" i="10"/>
  <c r="AV469" i="10" s="1"/>
  <c r="AW469" i="10" s="1"/>
  <c r="S342" i="10"/>
  <c r="R342" i="10"/>
  <c r="R534" i="10"/>
  <c r="S534" i="10"/>
  <c r="R412" i="10"/>
  <c r="AC412" i="10"/>
  <c r="AE412" i="10" s="1"/>
  <c r="AC227" i="10"/>
  <c r="AE227" i="10" s="1"/>
  <c r="AC111" i="10"/>
  <c r="AV111" i="10" s="1"/>
  <c r="AC433" i="10"/>
  <c r="AE433" i="10" s="1"/>
  <c r="S514" i="10"/>
  <c r="R514" i="10"/>
  <c r="AC497" i="10"/>
  <c r="AD497" i="10" s="1"/>
  <c r="AC486" i="10"/>
  <c r="AE486" i="10" s="1"/>
  <c r="AC381" i="10"/>
  <c r="AE381" i="10" s="1"/>
  <c r="AC410" i="10"/>
  <c r="AE410" i="10" s="1"/>
  <c r="AC322" i="10"/>
  <c r="AV322" i="10" s="1"/>
  <c r="AC309" i="10"/>
  <c r="AV309" i="10" s="1"/>
  <c r="AC186" i="10"/>
  <c r="AD186" i="10" s="1"/>
  <c r="AC117" i="10"/>
  <c r="AV117" i="10" s="1"/>
  <c r="R370" i="10"/>
  <c r="S232" i="10"/>
  <c r="S105" i="10"/>
  <c r="R435" i="10"/>
  <c r="R468" i="10"/>
  <c r="R38" i="10"/>
  <c r="S369" i="10"/>
  <c r="R190" i="10"/>
  <c r="AC138" i="10"/>
  <c r="AD138" i="10" s="1"/>
  <c r="S275" i="10"/>
  <c r="R79" i="10"/>
  <c r="R228" i="10"/>
  <c r="S491" i="10"/>
  <c r="R209" i="10"/>
  <c r="S218" i="10"/>
  <c r="R204" i="10"/>
  <c r="R545" i="10"/>
  <c r="R239" i="10"/>
  <c r="R67" i="10"/>
  <c r="R257" i="10"/>
  <c r="S248" i="10"/>
  <c r="AC73" i="10"/>
  <c r="AD73" i="10" s="1"/>
  <c r="S258" i="10"/>
  <c r="R240" i="10"/>
  <c r="S118" i="10"/>
  <c r="S285" i="10"/>
  <c r="R320" i="10"/>
  <c r="R210" i="10"/>
  <c r="S138" i="10"/>
  <c r="R516" i="10"/>
  <c r="AC233" i="10"/>
  <c r="AV233" i="10" s="1"/>
  <c r="AC228" i="10"/>
  <c r="AD228" i="10" s="1"/>
  <c r="AC422" i="10"/>
  <c r="AE422" i="10" s="1"/>
  <c r="AC510" i="10"/>
  <c r="AV510" i="10" s="1"/>
  <c r="AC253" i="10"/>
  <c r="AE253" i="10" s="1"/>
  <c r="AC319" i="10"/>
  <c r="AD319" i="10" s="1"/>
  <c r="AC509" i="10"/>
  <c r="AD509" i="10" s="1"/>
  <c r="AC351" i="10"/>
  <c r="AD351" i="10" s="1"/>
  <c r="AC241" i="10"/>
  <c r="AE241" i="10" s="1"/>
  <c r="AC194" i="10"/>
  <c r="AV194" i="10" s="1"/>
  <c r="AC221" i="10"/>
  <c r="AE221" i="10" s="1"/>
  <c r="AC59" i="10"/>
  <c r="AE59" i="10" s="1"/>
  <c r="AC236" i="10"/>
  <c r="AD236" i="10" s="1"/>
  <c r="AC318" i="10"/>
  <c r="AE318" i="10" s="1"/>
  <c r="AC363" i="10"/>
  <c r="AD363" i="10" s="1"/>
  <c r="AC540" i="10"/>
  <c r="AE540" i="10" s="1"/>
  <c r="AC143" i="10"/>
  <c r="AE143" i="10" s="1"/>
  <c r="AC296" i="10"/>
  <c r="AD296" i="10" s="1"/>
  <c r="AC538" i="10"/>
  <c r="AD538" i="10" s="1"/>
  <c r="AC276" i="10"/>
  <c r="AD276" i="10" s="1"/>
  <c r="AC136" i="10"/>
  <c r="AE136" i="10" s="1"/>
  <c r="AC63" i="10"/>
  <c r="AE63" i="10" s="1"/>
  <c r="AC302" i="10"/>
  <c r="AE302" i="10" s="1"/>
  <c r="AC362" i="10"/>
  <c r="AE362" i="10" s="1"/>
  <c r="AC423" i="10"/>
  <c r="AE423" i="10" s="1"/>
  <c r="AC406" i="10"/>
  <c r="AD406" i="10" s="1"/>
  <c r="AC383" i="10"/>
  <c r="AV383" i="10" s="1"/>
  <c r="AC293" i="10"/>
  <c r="AD293" i="10" s="1"/>
  <c r="AC337" i="10"/>
  <c r="AV337" i="10" s="1"/>
  <c r="AC286" i="10"/>
  <c r="AE286" i="10" s="1"/>
  <c r="AC350" i="10"/>
  <c r="AD350" i="10" s="1"/>
  <c r="AC416" i="10"/>
  <c r="AV416" i="10" s="1"/>
  <c r="AC391" i="10"/>
  <c r="AV391" i="10" s="1"/>
  <c r="AC463" i="10"/>
  <c r="AE463" i="10" s="1"/>
  <c r="AC547" i="10"/>
  <c r="AV547" i="10" s="1"/>
  <c r="AC263" i="10"/>
  <c r="AE263" i="10" s="1"/>
  <c r="AC45" i="10"/>
  <c r="AV45" i="10" s="1"/>
  <c r="AC145" i="10"/>
  <c r="AE145" i="10" s="1"/>
  <c r="AC61" i="10"/>
  <c r="AD61" i="10" s="1"/>
  <c r="AC58" i="10"/>
  <c r="AD58" i="10" s="1"/>
  <c r="AC82" i="10"/>
  <c r="AD82" i="10" s="1"/>
  <c r="AC167" i="10"/>
  <c r="AE167" i="10" s="1"/>
  <c r="AC80" i="10"/>
  <c r="AE80" i="10" s="1"/>
  <c r="AC284" i="10"/>
  <c r="AD284" i="10" s="1"/>
  <c r="AC206" i="10"/>
  <c r="AV206" i="10" s="1"/>
  <c r="AX206" i="10" s="1"/>
  <c r="AC335" i="10"/>
  <c r="AD335" i="10" s="1"/>
  <c r="AC385" i="10"/>
  <c r="AV385" i="10" s="1"/>
  <c r="AW385" i="10" s="1"/>
  <c r="AC487" i="10"/>
  <c r="AE487" i="10" s="1"/>
  <c r="AC533" i="10"/>
  <c r="AE533" i="10" s="1"/>
  <c r="AC195" i="10"/>
  <c r="AD195" i="10" s="1"/>
  <c r="R62" i="10"/>
  <c r="R524" i="10"/>
  <c r="R446" i="10"/>
  <c r="R314" i="10"/>
  <c r="R99" i="10"/>
  <c r="R55" i="10"/>
  <c r="R245" i="10"/>
  <c r="S213" i="10"/>
  <c r="AC152" i="10"/>
  <c r="AV152" i="10" s="1"/>
  <c r="R175" i="10"/>
  <c r="AC107" i="10"/>
  <c r="AV107" i="10" s="1"/>
  <c r="S541" i="10"/>
  <c r="S418" i="10"/>
  <c r="S322" i="10"/>
  <c r="R108" i="10"/>
  <c r="S439" i="10"/>
  <c r="R537" i="10"/>
  <c r="R410" i="10"/>
  <c r="R203" i="10"/>
  <c r="R152" i="10"/>
  <c r="R121" i="10"/>
  <c r="S154" i="10"/>
  <c r="R296" i="10"/>
  <c r="S318" i="10"/>
  <c r="AC389" i="10"/>
  <c r="AD389" i="10" s="1"/>
  <c r="S458" i="10"/>
  <c r="S378" i="10"/>
  <c r="S107" i="10"/>
  <c r="R408" i="10"/>
  <c r="S554" i="10"/>
  <c r="AC343" i="10"/>
  <c r="AV343" i="10" s="1"/>
  <c r="AC334" i="10"/>
  <c r="AE334" i="10" s="1"/>
  <c r="AC446" i="10"/>
  <c r="AE446" i="10" s="1"/>
  <c r="AC494" i="10"/>
  <c r="AD494" i="10" s="1"/>
  <c r="AC535" i="10"/>
  <c r="AV535" i="10" s="1"/>
  <c r="AC173" i="10"/>
  <c r="AV173" i="10" s="1"/>
  <c r="AC151" i="10"/>
  <c r="AE151" i="10" s="1"/>
  <c r="AC204" i="10"/>
  <c r="AV204" i="10" s="1"/>
  <c r="AC310" i="10"/>
  <c r="AV310" i="10" s="1"/>
  <c r="AX310" i="10" s="1"/>
  <c r="AC485" i="10"/>
  <c r="AE485" i="10" s="1"/>
  <c r="AC560" i="10"/>
  <c r="AD560" i="10" s="1"/>
  <c r="AS7" i="5"/>
  <c r="AU7" i="5" s="1"/>
  <c r="R419" i="10"/>
  <c r="AC419" i="10"/>
  <c r="AD419" i="10" s="1"/>
  <c r="S419" i="10"/>
  <c r="AC60" i="10"/>
  <c r="AD60" i="10" s="1"/>
  <c r="R60" i="10"/>
  <c r="S321" i="10"/>
  <c r="R321" i="10"/>
  <c r="AC135" i="10"/>
  <c r="AE135" i="10" s="1"/>
  <c r="R135" i="10"/>
  <c r="S135" i="10"/>
  <c r="R163" i="10"/>
  <c r="AC163" i="10"/>
  <c r="AE163" i="10" s="1"/>
  <c r="R193" i="10"/>
  <c r="S193" i="10"/>
  <c r="AC193" i="10"/>
  <c r="AD193" i="10" s="1"/>
  <c r="AC238" i="10"/>
  <c r="AE238" i="10" s="1"/>
  <c r="S238" i="10"/>
  <c r="R479" i="10"/>
  <c r="S479" i="10"/>
  <c r="AC479" i="10"/>
  <c r="AD479" i="10" s="1"/>
  <c r="S288" i="10"/>
  <c r="R288" i="10"/>
  <c r="AC515" i="10"/>
  <c r="AD515" i="10" s="1"/>
  <c r="R515" i="10"/>
  <c r="S515" i="10"/>
  <c r="S527" i="10"/>
  <c r="AC527" i="10"/>
  <c r="AV527" i="10" s="1"/>
  <c r="R352" i="10"/>
  <c r="AC352" i="10"/>
  <c r="AD352" i="10" s="1"/>
  <c r="S268" i="10"/>
  <c r="R268" i="10"/>
  <c r="R21" i="10"/>
  <c r="AC21" i="10"/>
  <c r="AD21" i="10" s="1"/>
  <c r="S140" i="10"/>
  <c r="R140" i="10"/>
  <c r="S65" i="10"/>
  <c r="R65" i="10"/>
  <c r="AC65" i="10"/>
  <c r="AV65" i="10" s="1"/>
  <c r="AC183" i="10"/>
  <c r="AE183" i="10" s="1"/>
  <c r="S183" i="10"/>
  <c r="R183" i="10"/>
  <c r="S303" i="10"/>
  <c r="R303" i="10"/>
  <c r="R379" i="10"/>
  <c r="S379" i="10"/>
  <c r="AC379" i="10"/>
  <c r="AD379" i="10" s="1"/>
  <c r="R427" i="10"/>
  <c r="S427" i="10"/>
  <c r="AC427" i="10"/>
  <c r="AV427" i="10" s="1"/>
  <c r="R441" i="10"/>
  <c r="S441" i="10"/>
  <c r="S289" i="10"/>
  <c r="AC289" i="10"/>
  <c r="AE289" i="10" s="1"/>
  <c r="R101" i="10"/>
  <c r="AC101" i="10"/>
  <c r="AE101" i="10" s="1"/>
  <c r="R29" i="10"/>
  <c r="AC29" i="10"/>
  <c r="AD29" i="10" s="1"/>
  <c r="S192" i="10"/>
  <c r="R192" i="10"/>
  <c r="S75" i="10"/>
  <c r="R75" i="10"/>
  <c r="AC75" i="10"/>
  <c r="AD75" i="10" s="1"/>
  <c r="AC266" i="10"/>
  <c r="AE266" i="10" s="1"/>
  <c r="S266" i="10"/>
  <c r="R354" i="10"/>
  <c r="AC354" i="10"/>
  <c r="AE354" i="10" s="1"/>
  <c r="R347" i="10"/>
  <c r="AC347" i="10"/>
  <c r="AD347" i="10" s="1"/>
  <c r="S347" i="10"/>
  <c r="S386" i="10"/>
  <c r="R386" i="10"/>
  <c r="AC386" i="10"/>
  <c r="AV386" i="10" s="1"/>
  <c r="AC489" i="10"/>
  <c r="AE489" i="10" s="1"/>
  <c r="R489" i="10"/>
  <c r="R12" i="10"/>
  <c r="S12" i="10"/>
  <c r="S166" i="10"/>
  <c r="R166" i="10"/>
  <c r="S189" i="10"/>
  <c r="AC189" i="10"/>
  <c r="AV189" i="10" s="1"/>
  <c r="AW189" i="10" s="1"/>
  <c r="R189" i="10"/>
  <c r="S198" i="10"/>
  <c r="AC198" i="10"/>
  <c r="AV198" i="10" s="1"/>
  <c r="AC169" i="10"/>
  <c r="AV169" i="10" s="1"/>
  <c r="S169" i="10"/>
  <c r="AC332" i="10"/>
  <c r="AD332" i="10" s="1"/>
  <c r="R332" i="10"/>
  <c r="AC109" i="10"/>
  <c r="AD109" i="10" s="1"/>
  <c r="R109" i="10"/>
  <c r="AC184" i="10"/>
  <c r="AE184" i="10" s="1"/>
  <c r="R184" i="10"/>
  <c r="AC161" i="10"/>
  <c r="AE161" i="10" s="1"/>
  <c r="R161" i="10"/>
  <c r="S161" i="10"/>
  <c r="AC346" i="10"/>
  <c r="AE346" i="10" s="1"/>
  <c r="S346" i="10"/>
  <c r="R346" i="10"/>
  <c r="AC339" i="10"/>
  <c r="AD339" i="10" s="1"/>
  <c r="S339" i="10"/>
  <c r="R339" i="10"/>
  <c r="S477" i="10"/>
  <c r="AC477" i="10"/>
  <c r="AE477" i="10" s="1"/>
  <c r="R482" i="10"/>
  <c r="S482" i="10"/>
  <c r="AC559" i="10"/>
  <c r="AE559" i="10" s="1"/>
  <c r="R559" i="10"/>
  <c r="S481" i="10"/>
  <c r="AC481" i="10"/>
  <c r="AD481" i="10" s="1"/>
  <c r="AC148" i="10"/>
  <c r="AD148" i="10" s="1"/>
  <c r="R148" i="10"/>
  <c r="S400" i="10"/>
  <c r="R400" i="10"/>
  <c r="R200" i="10"/>
  <c r="S200" i="10"/>
  <c r="R196" i="10"/>
  <c r="S196" i="10"/>
  <c r="R130" i="10"/>
  <c r="S130" i="10"/>
  <c r="R553" i="10"/>
  <c r="S553" i="10"/>
  <c r="AC553" i="10"/>
  <c r="AV553" i="10" s="1"/>
  <c r="AC292" i="10"/>
  <c r="AE292" i="10" s="1"/>
  <c r="AC277" i="10"/>
  <c r="AV277" i="10" s="1"/>
  <c r="AC546" i="10"/>
  <c r="AD546" i="10" s="1"/>
  <c r="AC12" i="10"/>
  <c r="AV12" i="10" s="1"/>
  <c r="AW12" i="10" s="1"/>
  <c r="AC128" i="10"/>
  <c r="AD128" i="10" s="1"/>
  <c r="AC192" i="10"/>
  <c r="AV192" i="10" s="1"/>
  <c r="AX192" i="10" s="1"/>
  <c r="AC376" i="10"/>
  <c r="AV376" i="10" s="1"/>
  <c r="AC415" i="10"/>
  <c r="AD415" i="10" s="1"/>
  <c r="AC133" i="10"/>
  <c r="AE133" i="10" s="1"/>
  <c r="S489" i="10"/>
  <c r="S354" i="10"/>
  <c r="S163" i="10"/>
  <c r="AC372" i="10"/>
  <c r="AD372" i="10" s="1"/>
  <c r="AC303" i="10"/>
  <c r="AV303" i="10" s="1"/>
  <c r="S184" i="10"/>
  <c r="R527" i="10"/>
  <c r="S60" i="10"/>
  <c r="S109" i="10"/>
  <c r="S376" i="10"/>
  <c r="S531" i="10"/>
  <c r="S529" i="10"/>
  <c r="R529" i="10"/>
  <c r="AC529" i="10"/>
  <c r="AV529" i="10" s="1"/>
  <c r="R34" i="10"/>
  <c r="S34" i="10"/>
  <c r="R233" i="10"/>
  <c r="S233" i="10"/>
  <c r="R546" i="10"/>
  <c r="S546" i="10"/>
  <c r="S498" i="10"/>
  <c r="R498" i="10"/>
  <c r="R550" i="10"/>
  <c r="S550" i="10"/>
  <c r="AC550" i="10"/>
  <c r="AV550" i="10" s="1"/>
  <c r="AC333" i="10"/>
  <c r="AV333" i="10" s="1"/>
  <c r="S333" i="10"/>
  <c r="R333" i="10"/>
  <c r="R142" i="10"/>
  <c r="AC142" i="10"/>
  <c r="AV142" i="10" s="1"/>
  <c r="S142" i="10"/>
  <c r="AC360" i="10"/>
  <c r="AD360" i="10" s="1"/>
  <c r="S360" i="10"/>
  <c r="AC32" i="10"/>
  <c r="AE32" i="10" s="1"/>
  <c r="S32" i="10"/>
  <c r="S384" i="10"/>
  <c r="AC384" i="10"/>
  <c r="AV384" i="10" s="1"/>
  <c r="R384" i="10"/>
  <c r="R57" i="10"/>
  <c r="S57" i="10"/>
  <c r="AC57" i="10"/>
  <c r="AD57" i="10" s="1"/>
  <c r="R46" i="10"/>
  <c r="AC46" i="10"/>
  <c r="AV46" i="10" s="1"/>
  <c r="R220" i="10"/>
  <c r="S220" i="10"/>
  <c r="S87" i="10"/>
  <c r="R87" i="10"/>
  <c r="R271" i="10"/>
  <c r="AC271" i="10"/>
  <c r="AD271" i="10" s="1"/>
  <c r="S398" i="10"/>
  <c r="R398" i="10"/>
  <c r="AC496" i="10"/>
  <c r="AE496" i="10" s="1"/>
  <c r="S496" i="10"/>
  <c r="R496" i="10"/>
  <c r="R329" i="10"/>
  <c r="S329" i="10"/>
  <c r="S292" i="10"/>
  <c r="R292" i="10"/>
  <c r="AC66" i="10"/>
  <c r="AV66" i="10" s="1"/>
  <c r="R66" i="10"/>
  <c r="S66" i="10"/>
  <c r="R128" i="10"/>
  <c r="S128" i="10"/>
  <c r="S48" i="10"/>
  <c r="R48" i="10"/>
  <c r="S171" i="10"/>
  <c r="R171" i="10"/>
  <c r="AC171" i="10"/>
  <c r="AE171" i="10" s="1"/>
  <c r="S298" i="10"/>
  <c r="AC298" i="10"/>
  <c r="AD298" i="10" s="1"/>
  <c r="R243" i="10"/>
  <c r="AC243" i="10"/>
  <c r="AE243" i="10" s="1"/>
  <c r="S243" i="10"/>
  <c r="R415" i="10"/>
  <c r="S415" i="10"/>
  <c r="R467" i="10"/>
  <c r="AC467" i="10"/>
  <c r="AE467" i="10" s="1"/>
  <c r="S467" i="10"/>
  <c r="AC525" i="10"/>
  <c r="AD525" i="10" s="1"/>
  <c r="S525" i="10"/>
  <c r="R217" i="10"/>
  <c r="AC217" i="10"/>
  <c r="AE217" i="10" s="1"/>
  <c r="S217" i="10"/>
  <c r="S506" i="10"/>
  <c r="R506" i="10"/>
  <c r="AC506" i="10"/>
  <c r="AV506" i="10" s="1"/>
  <c r="AC421" i="10"/>
  <c r="AV421" i="10" s="1"/>
  <c r="R421" i="10"/>
  <c r="AC106" i="10"/>
  <c r="AE106" i="10" s="1"/>
  <c r="R106" i="10"/>
  <c r="AC424" i="10"/>
  <c r="AE424" i="10" s="1"/>
  <c r="S424" i="10"/>
  <c r="AC345" i="10"/>
  <c r="AE345" i="10" s="1"/>
  <c r="S345" i="10"/>
  <c r="AC155" i="10"/>
  <c r="AE155" i="10" s="1"/>
  <c r="R155" i="10"/>
  <c r="S49" i="10"/>
  <c r="AC49" i="10"/>
  <c r="AE49" i="10" s="1"/>
  <c r="AC120" i="10"/>
  <c r="AE120" i="10" s="1"/>
  <c r="S120" i="10"/>
  <c r="R120" i="10"/>
  <c r="R24" i="10"/>
  <c r="AC24" i="10"/>
  <c r="AD24" i="10" s="1"/>
  <c r="S131" i="10"/>
  <c r="R131" i="10"/>
  <c r="AC131" i="10"/>
  <c r="AV131" i="10" s="1"/>
  <c r="AC294" i="10"/>
  <c r="AD294" i="10" s="1"/>
  <c r="R294" i="10"/>
  <c r="R235" i="10"/>
  <c r="S235" i="10"/>
  <c r="AC235" i="10"/>
  <c r="AD235" i="10" s="1"/>
  <c r="R407" i="10"/>
  <c r="S407" i="10"/>
  <c r="S459" i="10"/>
  <c r="AC459" i="10"/>
  <c r="AE459" i="10" s="1"/>
  <c r="S517" i="10"/>
  <c r="AC517" i="10"/>
  <c r="AV517" i="10" s="1"/>
  <c r="AX517" i="10" s="1"/>
  <c r="S449" i="10"/>
  <c r="AC449" i="10"/>
  <c r="AV449" i="10" s="1"/>
  <c r="R449" i="10"/>
  <c r="R191" i="10"/>
  <c r="AC191" i="10"/>
  <c r="AD191" i="10" s="1"/>
  <c r="S191" i="10"/>
  <c r="R252" i="10"/>
  <c r="AC252" i="10"/>
  <c r="AD252" i="10" s="1"/>
  <c r="AC349" i="10"/>
  <c r="AE349" i="10" s="1"/>
  <c r="S349" i="10"/>
  <c r="R349" i="10"/>
  <c r="AC321" i="10"/>
  <c r="AV321" i="10" s="1"/>
  <c r="AC400" i="10"/>
  <c r="AE400" i="10" s="1"/>
  <c r="AC299" i="10"/>
  <c r="AE299" i="10" s="1"/>
  <c r="AC130" i="10"/>
  <c r="AE130" i="10" s="1"/>
  <c r="AC68" i="10"/>
  <c r="AD68" i="10" s="1"/>
  <c r="AC268" i="10"/>
  <c r="AE268" i="10" s="1"/>
  <c r="AC398" i="10"/>
  <c r="AV398" i="10" s="1"/>
  <c r="R459" i="10"/>
  <c r="R477" i="10"/>
  <c r="S294" i="10"/>
  <c r="R262" i="10"/>
  <c r="S277" i="10"/>
  <c r="R32" i="10"/>
  <c r="R133" i="10"/>
  <c r="R98" i="10"/>
  <c r="R238" i="10"/>
  <c r="S148" i="10"/>
  <c r="S155" i="10"/>
  <c r="S332" i="10"/>
  <c r="R198" i="10"/>
  <c r="AC140" i="10"/>
  <c r="AD140" i="10" s="1"/>
  <c r="AC50" i="10"/>
  <c r="AD50" i="10" s="1"/>
  <c r="S559" i="10"/>
  <c r="R517" i="10"/>
  <c r="AC407" i="10"/>
  <c r="AD407" i="10" s="1"/>
  <c r="R49" i="10"/>
  <c r="R345" i="10"/>
  <c r="R169" i="10"/>
  <c r="S252" i="10"/>
  <c r="AC87" i="10"/>
  <c r="AV87" i="10" s="1"/>
  <c r="R359" i="10"/>
  <c r="S101" i="10"/>
  <c r="R114" i="10"/>
  <c r="AC114" i="10"/>
  <c r="AE114" i="10" s="1"/>
  <c r="S30" i="10"/>
  <c r="AC30" i="10"/>
  <c r="AV30" i="10" s="1"/>
  <c r="S7" i="10"/>
  <c r="AC7" i="10"/>
  <c r="AD7" i="10" s="1"/>
  <c r="S178" i="10"/>
  <c r="AC178" i="10"/>
  <c r="AD178" i="10" s="1"/>
  <c r="AC451" i="10"/>
  <c r="AE451" i="10" s="1"/>
  <c r="AC482" i="10"/>
  <c r="AV482" i="10" s="1"/>
  <c r="AC220" i="10"/>
  <c r="AD220" i="10" s="1"/>
  <c r="AC531" i="10"/>
  <c r="AV531" i="10" s="1"/>
  <c r="AC374" i="5"/>
  <c r="AE374" i="5" s="1"/>
  <c r="S557" i="10"/>
  <c r="AC396" i="10"/>
  <c r="AE396" i="10" s="1"/>
  <c r="AC52" i="10"/>
  <c r="AV52" i="10" s="1"/>
  <c r="R207" i="10"/>
  <c r="AC518" i="10"/>
  <c r="AD518" i="10" s="1"/>
  <c r="S256" i="10"/>
  <c r="AC256" i="10"/>
  <c r="AD256" i="10" s="1"/>
  <c r="AC214" i="10"/>
  <c r="AD214" i="10" s="1"/>
  <c r="R95" i="10"/>
  <c r="AC95" i="10"/>
  <c r="AV95" i="10" s="1"/>
  <c r="AC166" i="10"/>
  <c r="AD166" i="10" s="1"/>
  <c r="AC359" i="10"/>
  <c r="AE359" i="10" s="1"/>
  <c r="AC103" i="10"/>
  <c r="AE103" i="10" s="1"/>
  <c r="AC262" i="10"/>
  <c r="AV262" i="10" s="1"/>
  <c r="AX262" i="10" s="1"/>
  <c r="AC81" i="10"/>
  <c r="AE81" i="10" s="1"/>
  <c r="R221" i="10"/>
  <c r="R484" i="10"/>
  <c r="S313" i="10"/>
  <c r="AC196" i="10"/>
  <c r="AD196" i="10" s="1"/>
  <c r="AC366" i="10"/>
  <c r="AV366" i="10" s="1"/>
  <c r="AC390" i="10"/>
  <c r="AV390" i="10" s="1"/>
  <c r="AC67" i="10"/>
  <c r="AE67" i="10" s="1"/>
  <c r="AC98" i="10"/>
  <c r="AV98" i="10" s="1"/>
  <c r="AX98" i="10" s="1"/>
  <c r="AC239" i="10"/>
  <c r="AE239" i="10" s="1"/>
  <c r="AC329" i="10"/>
  <c r="AE329" i="10" s="1"/>
  <c r="AC25" i="10"/>
  <c r="AV25" i="10" s="1"/>
  <c r="AC369" i="10"/>
  <c r="AE369" i="10" s="1"/>
  <c r="AC549" i="10"/>
  <c r="AE549" i="10" s="1"/>
  <c r="AC39" i="10"/>
  <c r="AV39" i="10" s="1"/>
  <c r="AC312" i="10"/>
  <c r="AV312" i="10" s="1"/>
  <c r="AC44" i="10"/>
  <c r="AE44" i="10" s="1"/>
  <c r="AC414" i="10"/>
  <c r="AD414" i="10" s="1"/>
  <c r="AC555" i="10"/>
  <c r="AD555" i="10" s="1"/>
  <c r="S536" i="10"/>
  <c r="R394" i="10"/>
  <c r="R351" i="10"/>
  <c r="S456" i="10"/>
  <c r="R44" i="10"/>
  <c r="R241" i="10"/>
  <c r="AC445" i="10"/>
  <c r="AV445" i="10" s="1"/>
  <c r="AC476" i="10"/>
  <c r="AV476" i="10" s="1"/>
  <c r="AC324" i="10"/>
  <c r="AE324" i="10" s="1"/>
  <c r="AC265" i="10"/>
  <c r="AD265" i="10" s="1"/>
  <c r="R453" i="10"/>
  <c r="R423" i="10"/>
  <c r="R362" i="10"/>
  <c r="R246" i="10"/>
  <c r="S63" i="10"/>
  <c r="S94" i="10"/>
  <c r="R381" i="10"/>
  <c r="S397" i="10"/>
  <c r="R373" i="10"/>
  <c r="R89" i="10"/>
  <c r="R519" i="10"/>
  <c r="S429" i="10"/>
  <c r="AC175" i="10"/>
  <c r="AV175" i="10" s="1"/>
  <c r="AC154" i="10"/>
  <c r="AD154" i="10" s="1"/>
  <c r="R518" i="10"/>
  <c r="S53" i="10"/>
  <c r="R276" i="10"/>
  <c r="R538" i="10"/>
  <c r="S450" i="10"/>
  <c r="R334" i="10"/>
  <c r="S279" i="10"/>
  <c r="R236" i="10"/>
  <c r="AC210" i="10"/>
  <c r="AE210" i="10" s="1"/>
  <c r="S511" i="10"/>
  <c r="S431" i="10"/>
  <c r="S211" i="10"/>
  <c r="S274" i="10"/>
  <c r="S84" i="10"/>
  <c r="R61" i="10"/>
  <c r="R234" i="10"/>
  <c r="AC374" i="10"/>
  <c r="AV374" i="10" s="1"/>
  <c r="R555" i="10"/>
  <c r="AC435" i="10"/>
  <c r="AD435" i="10" s="1"/>
  <c r="T11" i="10"/>
  <c r="U11" i="10" s="1"/>
  <c r="AC461" i="10"/>
  <c r="AD461" i="10" s="1"/>
  <c r="AC328" i="10"/>
  <c r="AD328" i="10" s="1"/>
  <c r="AC480" i="10"/>
  <c r="AV480" i="10" s="1"/>
  <c r="AX480" i="10" s="1"/>
  <c r="AC22" i="10"/>
  <c r="AV22" i="10" s="1"/>
  <c r="S302" i="10"/>
  <c r="S177" i="10"/>
  <c r="AC70" i="10"/>
  <c r="AD70" i="10" s="1"/>
  <c r="AC23" i="10"/>
  <c r="AD23" i="10" s="1"/>
  <c r="R540" i="10"/>
  <c r="R363" i="10"/>
  <c r="R307" i="10"/>
  <c r="R224" i="10"/>
  <c r="AC483" i="10"/>
  <c r="AE483" i="10" s="1"/>
  <c r="S414" i="10"/>
  <c r="R311" i="10"/>
  <c r="AC344" i="10"/>
  <c r="AE344" i="10" s="1"/>
  <c r="AC144" i="10"/>
  <c r="AE144" i="10" s="1"/>
  <c r="AC269" i="10"/>
  <c r="AD269" i="10" s="1"/>
  <c r="AC313" i="10"/>
  <c r="AE313" i="10" s="1"/>
  <c r="AC392" i="10"/>
  <c r="AE392" i="10" s="1"/>
  <c r="AC431" i="10"/>
  <c r="AE431" i="10" s="1"/>
  <c r="AC539" i="10"/>
  <c r="AD539" i="10" s="1"/>
  <c r="R83" i="10"/>
  <c r="AC177" i="10"/>
  <c r="AV177" i="10" s="1"/>
  <c r="AC542" i="10"/>
  <c r="AV542" i="10" s="1"/>
  <c r="AC495" i="10"/>
  <c r="AD495" i="10" s="1"/>
  <c r="AC450" i="10"/>
  <c r="AE450" i="10" s="1"/>
  <c r="AC439" i="10"/>
  <c r="AE439" i="10" s="1"/>
  <c r="AC76" i="10"/>
  <c r="AV76" i="10" s="1"/>
  <c r="AC158" i="10"/>
  <c r="AD158" i="10" s="1"/>
  <c r="S23" i="10"/>
  <c r="R261" i="10"/>
  <c r="R464" i="10"/>
  <c r="S194" i="10"/>
  <c r="S70" i="10"/>
  <c r="S409" i="10"/>
  <c r="S22" i="10"/>
  <c r="R406" i="10"/>
  <c r="R132" i="10"/>
  <c r="R30" i="10"/>
  <c r="S214" i="10"/>
  <c r="S143" i="10"/>
  <c r="R327" i="10"/>
  <c r="AC418" i="10"/>
  <c r="AV418" i="10" s="1"/>
  <c r="AC273" i="10"/>
  <c r="AV273" i="10" s="1"/>
  <c r="AC86" i="10"/>
  <c r="AD86" i="10" s="1"/>
  <c r="AC247" i="10"/>
  <c r="AV247" i="10" s="1"/>
  <c r="R499" i="10"/>
  <c r="S473" i="10"/>
  <c r="S315" i="10"/>
  <c r="S282" i="10"/>
  <c r="S137" i="10"/>
  <c r="S160" i="10"/>
  <c r="R178" i="10"/>
  <c r="S395" i="10"/>
  <c r="AC162" i="10"/>
  <c r="AV162" i="10" s="1"/>
  <c r="AX162" i="10" s="1"/>
  <c r="AC96" i="10"/>
  <c r="AE96" i="10" s="1"/>
  <c r="AC474" i="10"/>
  <c r="AE474" i="10" s="1"/>
  <c r="AC401" i="10"/>
  <c r="AV401" i="10" s="1"/>
  <c r="AX401" i="10" s="1"/>
  <c r="AC430" i="10"/>
  <c r="AV430" i="10" s="1"/>
  <c r="AW430" i="10" s="1"/>
  <c r="AC511" i="10"/>
  <c r="AD511" i="10" s="1"/>
  <c r="AC341" i="10"/>
  <c r="AE341" i="10" s="1"/>
  <c r="AC97" i="10"/>
  <c r="AE97" i="10" s="1"/>
  <c r="S528" i="10"/>
  <c r="S423" i="10"/>
  <c r="S355" i="10"/>
  <c r="R302" i="10"/>
  <c r="S270" i="10"/>
  <c r="R63" i="10"/>
  <c r="R216" i="10"/>
  <c r="R150" i="10"/>
  <c r="S221" i="10"/>
  <c r="S461" i="10"/>
  <c r="R194" i="10"/>
  <c r="R308" i="10"/>
  <c r="R344" i="10"/>
  <c r="S451" i="10"/>
  <c r="AC493" i="10"/>
  <c r="AV493" i="10" s="1"/>
  <c r="AC368" i="10"/>
  <c r="AV368" i="10" s="1"/>
  <c r="AC260" i="10"/>
  <c r="AD260" i="10" s="1"/>
  <c r="AC207" i="10"/>
  <c r="AV207" i="10" s="1"/>
  <c r="AC62" i="10"/>
  <c r="AV62" i="10" s="1"/>
  <c r="S518" i="10"/>
  <c r="R488" i="10"/>
  <c r="S95" i="10"/>
  <c r="R212" i="10"/>
  <c r="R53" i="10"/>
  <c r="S276" i="10"/>
  <c r="R214" i="10"/>
  <c r="S538" i="10"/>
  <c r="S296" i="10"/>
  <c r="R456" i="10"/>
  <c r="R143" i="10"/>
  <c r="S374" i="10"/>
  <c r="R318" i="10"/>
  <c r="R279" i="10"/>
  <c r="S236" i="10"/>
  <c r="S156" i="10"/>
  <c r="R336" i="10"/>
  <c r="S74" i="10"/>
  <c r="S241" i="10"/>
  <c r="S64" i="10"/>
  <c r="R357" i="10"/>
  <c r="S539" i="10"/>
  <c r="AC484" i="10"/>
  <c r="AV484" i="10" s="1"/>
  <c r="AC355" i="10"/>
  <c r="AV355" i="10" s="1"/>
  <c r="AC84" i="10"/>
  <c r="AD84" i="10" s="1"/>
  <c r="AC40" i="10"/>
  <c r="AD40" i="10" s="1"/>
  <c r="S445" i="10"/>
  <c r="S363" i="10"/>
  <c r="R383" i="10"/>
  <c r="R274" i="10"/>
  <c r="S187" i="10"/>
  <c r="S224" i="10"/>
  <c r="S144" i="10"/>
  <c r="S480" i="10"/>
  <c r="R493" i="10"/>
  <c r="R448" i="10"/>
  <c r="AC504" i="10"/>
  <c r="AE504" i="10" s="1"/>
  <c r="AC454" i="10"/>
  <c r="AE454" i="10" s="1"/>
  <c r="AC408" i="10"/>
  <c r="AV408" i="10" s="1"/>
  <c r="AC119" i="10"/>
  <c r="AE119" i="10" s="1"/>
  <c r="S247" i="10"/>
  <c r="R149" i="10"/>
  <c r="S172" i="10"/>
  <c r="R40" i="10"/>
  <c r="S273" i="10"/>
  <c r="R417" i="10"/>
  <c r="AC199" i="10"/>
  <c r="AD199" i="10" s="1"/>
  <c r="AC528" i="10"/>
  <c r="AD528" i="10" s="1"/>
  <c r="AC394" i="10"/>
  <c r="AE394" i="10" s="1"/>
  <c r="AC308" i="10"/>
  <c r="AE308" i="10" s="1"/>
  <c r="AC234" i="10"/>
  <c r="AE234" i="10" s="1"/>
  <c r="AC216" i="10"/>
  <c r="AD216" i="10" s="1"/>
  <c r="AC179" i="10"/>
  <c r="AE179" i="10" s="1"/>
  <c r="AC375" i="10"/>
  <c r="AD375" i="10" s="1"/>
  <c r="AC83" i="10"/>
  <c r="AE83" i="10" s="1"/>
  <c r="AC64" i="10"/>
  <c r="AE64" i="10" s="1"/>
  <c r="R495" i="10"/>
  <c r="S375" i="10"/>
  <c r="S362" i="10"/>
  <c r="R179" i="10"/>
  <c r="R136" i="10"/>
  <c r="R226" i="10"/>
  <c r="R520" i="10"/>
  <c r="S505" i="10"/>
  <c r="R396" i="10"/>
  <c r="R557" i="10"/>
  <c r="AC270" i="10"/>
  <c r="AE270" i="10" s="1"/>
  <c r="AC336" i="10"/>
  <c r="AD336" i="10" s="1"/>
  <c r="AC311" i="10"/>
  <c r="AD311" i="10" s="1"/>
  <c r="AC307" i="10"/>
  <c r="AV307" i="10" s="1"/>
  <c r="AC42" i="10"/>
  <c r="AE42" i="10" s="1"/>
  <c r="S406" i="10"/>
  <c r="S351" i="10"/>
  <c r="R199" i="10"/>
  <c r="R267" i="10"/>
  <c r="R81" i="10"/>
  <c r="R281" i="10"/>
  <c r="R392" i="10"/>
  <c r="S42" i="10"/>
  <c r="R368" i="10"/>
  <c r="S158" i="10"/>
  <c r="R341" i="10"/>
  <c r="S114" i="10"/>
  <c r="S542" i="10"/>
  <c r="R504" i="10"/>
  <c r="R454" i="10"/>
  <c r="R103" i="10"/>
  <c r="R59" i="10"/>
  <c r="R52" i="10"/>
  <c r="S260" i="10"/>
  <c r="S483" i="10"/>
  <c r="S328" i="10"/>
  <c r="AC505" i="10"/>
  <c r="AE505" i="10" s="1"/>
  <c r="AC226" i="10"/>
  <c r="AD226" i="10" s="1"/>
  <c r="AC187" i="10"/>
  <c r="AE187" i="10" s="1"/>
  <c r="AC150" i="10"/>
  <c r="AE150" i="10" s="1"/>
  <c r="AC91" i="10"/>
  <c r="AE91" i="10" s="1"/>
  <c r="S540" i="10"/>
  <c r="R402" i="10"/>
  <c r="R195" i="10"/>
  <c r="R91" i="10"/>
  <c r="R51" i="10"/>
  <c r="R97" i="10"/>
  <c r="R269" i="10"/>
  <c r="R7" i="10"/>
  <c r="AC146" i="10"/>
  <c r="AD146" i="10" s="1"/>
  <c r="AC281" i="10"/>
  <c r="AD281" i="10" s="1"/>
  <c r="AC156" i="10"/>
  <c r="AE156" i="10" s="1"/>
  <c r="S136" i="10"/>
  <c r="S520" i="10"/>
  <c r="AC448" i="10"/>
  <c r="AV448" i="10" s="1"/>
  <c r="AC212" i="10"/>
  <c r="AD212" i="10" s="1"/>
  <c r="AC267" i="10"/>
  <c r="AE267" i="10" s="1"/>
  <c r="S59" i="10"/>
  <c r="AC402" i="10"/>
  <c r="AV402" i="10" s="1"/>
  <c r="S51" i="10"/>
  <c r="AC417" i="10"/>
  <c r="AV417" i="10" s="1"/>
  <c r="AE7" i="5"/>
  <c r="AC537" i="10"/>
  <c r="AV537" i="10" s="1"/>
  <c r="AC397" i="10"/>
  <c r="AE397" i="10" s="1"/>
  <c r="AC404" i="10"/>
  <c r="AD404" i="10" s="1"/>
  <c r="AC232" i="10"/>
  <c r="AD232" i="10" s="1"/>
  <c r="AC94" i="10"/>
  <c r="AV94" i="10" s="1"/>
  <c r="AC149" i="10"/>
  <c r="AD149" i="10" s="1"/>
  <c r="AC20" i="10"/>
  <c r="AV20" i="10" s="1"/>
  <c r="AC524" i="10"/>
  <c r="AD524" i="10" s="1"/>
  <c r="AC523" i="10"/>
  <c r="AE523" i="10" s="1"/>
  <c r="AC508" i="10"/>
  <c r="AD508" i="10" s="1"/>
  <c r="AC409" i="10"/>
  <c r="AE409" i="10" s="1"/>
  <c r="AC230" i="10"/>
  <c r="AV230" i="10" s="1"/>
  <c r="AC213" i="10"/>
  <c r="AD213" i="10" s="1"/>
  <c r="S442" i="10"/>
  <c r="S310" i="10"/>
  <c r="R88" i="10"/>
  <c r="S19" i="10"/>
  <c r="S28" i="10"/>
  <c r="S242" i="10"/>
  <c r="S265" i="10"/>
  <c r="R237" i="10"/>
  <c r="S457" i="10"/>
  <c r="R530" i="10"/>
  <c r="R532" i="10"/>
  <c r="R71" i="10"/>
  <c r="R324" i="10"/>
  <c r="S476" i="10"/>
  <c r="R86" i="10"/>
  <c r="R264" i="10"/>
  <c r="S309" i="10"/>
  <c r="S404" i="10"/>
  <c r="R27" i="10"/>
  <c r="S45" i="10"/>
  <c r="S460" i="10"/>
  <c r="S428" i="10"/>
  <c r="S438" i="10"/>
  <c r="S255" i="10"/>
  <c r="S119" i="10"/>
  <c r="S31" i="10"/>
  <c r="R134" i="10"/>
  <c r="R146" i="10"/>
  <c r="AC521" i="10"/>
  <c r="AD521" i="10" s="1"/>
  <c r="AC457" i="10"/>
  <c r="AD457" i="10" s="1"/>
  <c r="AC447" i="10"/>
  <c r="AE447" i="10" s="1"/>
  <c r="AC282" i="10"/>
  <c r="AV282" i="10" s="1"/>
  <c r="AC240" i="10"/>
  <c r="AD240" i="10" s="1"/>
  <c r="R541" i="10"/>
  <c r="S499" i="10"/>
  <c r="R458" i="10"/>
  <c r="R473" i="10"/>
  <c r="R378" i="10"/>
  <c r="R315" i="10"/>
  <c r="R211" i="10"/>
  <c r="R250" i="10"/>
  <c r="R137" i="10"/>
  <c r="R160" i="10"/>
  <c r="S320" i="10"/>
  <c r="AC470" i="10"/>
  <c r="AD470" i="10" s="1"/>
  <c r="AC190" i="10"/>
  <c r="AE190" i="10" s="1"/>
  <c r="AC223" i="10"/>
  <c r="AE223" i="10" s="1"/>
  <c r="S470" i="10"/>
  <c r="S350" i="10"/>
  <c r="S287" i="10"/>
  <c r="S205" i="10"/>
  <c r="R389" i="10"/>
  <c r="S25" i="10"/>
  <c r="S388" i="10"/>
  <c r="AC237" i="10"/>
  <c r="AD237" i="10" s="1"/>
  <c r="AC246" i="10"/>
  <c r="AE246" i="10" s="1"/>
  <c r="AG11" i="10"/>
  <c r="AH11" i="10" s="1"/>
  <c r="AM11" i="10"/>
  <c r="AN11" i="10" s="1"/>
  <c r="AC545" i="10"/>
  <c r="AE545" i="10" s="1"/>
  <c r="AC519" i="10"/>
  <c r="AD519" i="10" s="1"/>
  <c r="AC453" i="10"/>
  <c r="AD453" i="10" s="1"/>
  <c r="AC429" i="10"/>
  <c r="AD429" i="10" s="1"/>
  <c r="AC306" i="10"/>
  <c r="AV306" i="10" s="1"/>
  <c r="AC357" i="10"/>
  <c r="AD357" i="10" s="1"/>
  <c r="AC370" i="10"/>
  <c r="AV370" i="10" s="1"/>
  <c r="AC264" i="10"/>
  <c r="AE264" i="10" s="1"/>
  <c r="AC147" i="10"/>
  <c r="AE147" i="10" s="1"/>
  <c r="AC99" i="10"/>
  <c r="AV99" i="10" s="1"/>
  <c r="S203" i="10"/>
  <c r="S314" i="10"/>
  <c r="S278" i="10"/>
  <c r="S55" i="10"/>
  <c r="S41" i="10"/>
  <c r="S121" i="10"/>
  <c r="S245" i="10"/>
  <c r="S464" i="10"/>
  <c r="S373" i="10"/>
  <c r="S468" i="10"/>
  <c r="S89" i="10"/>
  <c r="AC532" i="10"/>
  <c r="AV532" i="10" s="1"/>
  <c r="AC472" i="10"/>
  <c r="AV472" i="10" s="1"/>
  <c r="AC327" i="10"/>
  <c r="AE327" i="10" s="1"/>
  <c r="AC159" i="10"/>
  <c r="AE159" i="10" s="1"/>
  <c r="AC74" i="10"/>
  <c r="AD74" i="10" s="1"/>
  <c r="AC255" i="10"/>
  <c r="AD255" i="10" s="1"/>
  <c r="S488" i="10"/>
  <c r="R371" i="10"/>
  <c r="S132" i="10"/>
  <c r="S257" i="10"/>
  <c r="AC554" i="10"/>
  <c r="AE554" i="10" s="1"/>
  <c r="AC438" i="10"/>
  <c r="AE438" i="10" s="1"/>
  <c r="AC134" i="10"/>
  <c r="AV134" i="10" s="1"/>
  <c r="AC71" i="10"/>
  <c r="AD71" i="10" s="1"/>
  <c r="S284" i="10"/>
  <c r="R201" i="10"/>
  <c r="R230" i="10"/>
  <c r="R523" i="10"/>
  <c r="R147" i="10"/>
  <c r="R472" i="10"/>
  <c r="R159" i="10"/>
  <c r="R395" i="10"/>
  <c r="R172" i="10"/>
  <c r="S108" i="10"/>
  <c r="AC19" i="10"/>
  <c r="AD19" i="10" s="1"/>
  <c r="AJ11" i="10"/>
  <c r="AK11" i="10" s="1"/>
  <c r="Z11" i="10"/>
  <c r="S10" i="10"/>
  <c r="AC460" i="10"/>
  <c r="AD460" i="10" s="1"/>
  <c r="AC27" i="10"/>
  <c r="AD27" i="10" s="1"/>
  <c r="AC201" i="10"/>
  <c r="AE201" i="10" s="1"/>
  <c r="AC287" i="10"/>
  <c r="AE287" i="10" s="1"/>
  <c r="AC31" i="10"/>
  <c r="AE31" i="10" s="1"/>
  <c r="R28" i="10"/>
  <c r="R242" i="10"/>
  <c r="R428" i="10"/>
  <c r="S146" i="10"/>
  <c r="AP11" i="10"/>
  <c r="AQ11" i="10" s="1"/>
  <c r="AC10" i="10"/>
  <c r="AV10" i="10" s="1"/>
  <c r="H82" i="1"/>
  <c r="S274" i="5"/>
  <c r="AC52" i="5"/>
  <c r="AE52" i="5" s="1"/>
  <c r="AC274" i="5"/>
  <c r="AD274" i="5" s="1"/>
  <c r="AC115" i="5"/>
  <c r="AE115" i="5" s="1"/>
  <c r="S205" i="5"/>
  <c r="AC288" i="5"/>
  <c r="AD288" i="5" s="1"/>
  <c r="R481" i="5"/>
  <c r="AC481" i="5"/>
  <c r="AE481" i="5" s="1"/>
  <c r="S422" i="5"/>
  <c r="AC205" i="5"/>
  <c r="AE205" i="5" s="1"/>
  <c r="S52" i="5"/>
  <c r="S287" i="5"/>
  <c r="R115" i="5"/>
  <c r="S288" i="5"/>
  <c r="R374" i="5"/>
  <c r="R33" i="5"/>
  <c r="R470" i="5"/>
  <c r="AC397" i="5"/>
  <c r="AD397" i="5" s="1"/>
  <c r="S397" i="5"/>
  <c r="S366" i="5"/>
  <c r="AC470" i="5"/>
  <c r="AD470" i="5" s="1"/>
  <c r="R306" i="5"/>
  <c r="S229" i="5"/>
  <c r="S479" i="5"/>
  <c r="S214" i="5"/>
  <c r="AC216" i="5"/>
  <c r="AS216" i="5" s="1"/>
  <c r="AT216" i="5" s="1"/>
  <c r="AE55" i="10"/>
  <c r="AC204" i="5"/>
  <c r="AE204" i="5" s="1"/>
  <c r="AC229" i="5"/>
  <c r="AD229" i="5" s="1"/>
  <c r="R509" i="5"/>
  <c r="AC422" i="5"/>
  <c r="AS422" i="5" s="1"/>
  <c r="AT422" i="5" s="1"/>
  <c r="S408" i="5"/>
  <c r="R434" i="5"/>
  <c r="S19" i="5"/>
  <c r="S216" i="5"/>
  <c r="AM11" i="5"/>
  <c r="AO11" i="5" s="1"/>
  <c r="S204" i="5"/>
  <c r="AC440" i="5"/>
  <c r="AD440" i="5" s="1"/>
  <c r="AC540" i="5"/>
  <c r="AE540" i="5" s="1"/>
  <c r="R347" i="5"/>
  <c r="AC306" i="5"/>
  <c r="AE306" i="5" s="1"/>
  <c r="AC160" i="5"/>
  <c r="AS160" i="5" s="1"/>
  <c r="AU160" i="5" s="1"/>
  <c r="AC363" i="5"/>
  <c r="AD363" i="5" s="1"/>
  <c r="S504" i="5"/>
  <c r="R416" i="5"/>
  <c r="R461" i="5"/>
  <c r="S515" i="5"/>
  <c r="R363" i="5"/>
  <c r="S160" i="5"/>
  <c r="AC366" i="5"/>
  <c r="AS366" i="5" s="1"/>
  <c r="AU366" i="5" s="1"/>
  <c r="S240" i="5"/>
  <c r="R117" i="5"/>
  <c r="S273" i="5"/>
  <c r="R305" i="5"/>
  <c r="R194" i="5"/>
  <c r="AC117" i="5"/>
  <c r="AS117" i="5" s="1"/>
  <c r="AU117" i="5" s="1"/>
  <c r="S437" i="5"/>
  <c r="R22" i="5"/>
  <c r="R189" i="5"/>
  <c r="AC19" i="5"/>
  <c r="AE19" i="5" s="1"/>
  <c r="AC347" i="5"/>
  <c r="AE347" i="5" s="1"/>
  <c r="AC287" i="5"/>
  <c r="AD287" i="5" s="1"/>
  <c r="AC189" i="5"/>
  <c r="AD189" i="5" s="1"/>
  <c r="AC240" i="5"/>
  <c r="AD240" i="5" s="1"/>
  <c r="AC515" i="5"/>
  <c r="AD515" i="5" s="1"/>
  <c r="AC434" i="5"/>
  <c r="AS434" i="5" s="1"/>
  <c r="AT434" i="5" s="1"/>
  <c r="AC9" i="10"/>
  <c r="AD9" i="10" s="1"/>
  <c r="R9" i="10"/>
  <c r="S9" i="10"/>
  <c r="AC492" i="5"/>
  <c r="AE492" i="5" s="1"/>
  <c r="AH9" i="10"/>
  <c r="AI9" i="10"/>
  <c r="AO9" i="10"/>
  <c r="AN9" i="10"/>
  <c r="AS9" i="10"/>
  <c r="R188" i="5"/>
  <c r="R446" i="5"/>
  <c r="R540" i="5"/>
  <c r="AC483" i="5"/>
  <c r="AE483" i="5" s="1"/>
  <c r="AQ9" i="10"/>
  <c r="AR9" i="10"/>
  <c r="AA9" i="10"/>
  <c r="AB9" i="10"/>
  <c r="U9" i="10"/>
  <c r="V9" i="10"/>
  <c r="AC33" i="5"/>
  <c r="AS33" i="5" s="1"/>
  <c r="AT33" i="5" s="1"/>
  <c r="S11" i="10"/>
  <c r="R11" i="10"/>
  <c r="S440" i="5"/>
  <c r="AC437" i="5"/>
  <c r="AD437" i="5" s="1"/>
  <c r="AC22" i="5"/>
  <c r="AE22" i="5" s="1"/>
  <c r="AC266" i="5"/>
  <c r="AE266" i="5" s="1"/>
  <c r="AC504" i="5"/>
  <c r="AS504" i="5" s="1"/>
  <c r="AT504" i="5" s="1"/>
  <c r="Y9" i="10"/>
  <c r="X9" i="10"/>
  <c r="AK9" i="10"/>
  <c r="AL9" i="10"/>
  <c r="AD55" i="10"/>
  <c r="AV278" i="10"/>
  <c r="AW278" i="10" s="1"/>
  <c r="S95" i="5"/>
  <c r="S30" i="5"/>
  <c r="S498" i="5"/>
  <c r="S203" i="5"/>
  <c r="R107" i="5"/>
  <c r="R89" i="5"/>
  <c r="R73" i="5"/>
  <c r="S147" i="5"/>
  <c r="R37" i="5"/>
  <c r="AC193" i="5"/>
  <c r="AE193" i="5" s="1"/>
  <c r="AC73" i="5"/>
  <c r="AE73" i="5" s="1"/>
  <c r="AC203" i="5"/>
  <c r="AD203" i="5" s="1"/>
  <c r="AC30" i="5"/>
  <c r="AD30" i="5" s="1"/>
  <c r="AC107" i="5"/>
  <c r="AE107" i="5" s="1"/>
  <c r="AC147" i="5"/>
  <c r="AS147" i="5" s="1"/>
  <c r="AU147" i="5" s="1"/>
  <c r="AE278" i="10"/>
  <c r="R281" i="5"/>
  <c r="R530" i="5"/>
  <c r="S492" i="5"/>
  <c r="R355" i="5"/>
  <c r="S266" i="5"/>
  <c r="S193" i="5"/>
  <c r="AC281" i="5"/>
  <c r="AS281" i="5" s="1"/>
  <c r="AU281" i="5" s="1"/>
  <c r="AC89" i="5"/>
  <c r="AD89" i="5" s="1"/>
  <c r="AC530" i="5"/>
  <c r="AD530" i="5" s="1"/>
  <c r="AC95" i="5"/>
  <c r="AE95" i="5" s="1"/>
  <c r="R65" i="5"/>
  <c r="R346" i="5"/>
  <c r="R483" i="5"/>
  <c r="R146" i="5"/>
  <c r="S519" i="5"/>
  <c r="S190" i="5"/>
  <c r="T11" i="5"/>
  <c r="U11" i="5" s="1"/>
  <c r="R175" i="5"/>
  <c r="S169" i="5"/>
  <c r="R252" i="5"/>
  <c r="AC188" i="5"/>
  <c r="AS188" i="5" s="1"/>
  <c r="AU188" i="5" s="1"/>
  <c r="AC138" i="5"/>
  <c r="AD138" i="5" s="1"/>
  <c r="R138" i="5"/>
  <c r="R432" i="5"/>
  <c r="S525" i="5"/>
  <c r="S329" i="5"/>
  <c r="R42" i="5"/>
  <c r="AC519" i="5"/>
  <c r="AD519" i="5" s="1"/>
  <c r="AC279" i="5"/>
  <c r="AS279" i="5" s="1"/>
  <c r="AU279" i="5" s="1"/>
  <c r="AC194" i="5"/>
  <c r="AE194" i="5" s="1"/>
  <c r="AC342" i="5"/>
  <c r="AD342" i="5" s="1"/>
  <c r="AC213" i="5"/>
  <c r="AS213" i="5" s="1"/>
  <c r="AU213" i="5" s="1"/>
  <c r="AC346" i="5"/>
  <c r="AE346" i="5" s="1"/>
  <c r="AC329" i="5"/>
  <c r="AE329" i="5" s="1"/>
  <c r="AC525" i="5"/>
  <c r="AE525" i="5" s="1"/>
  <c r="AC408" i="5"/>
  <c r="AS408" i="5" s="1"/>
  <c r="AU408" i="5" s="1"/>
  <c r="AC190" i="5"/>
  <c r="AD190" i="5" s="1"/>
  <c r="AE426" i="10"/>
  <c r="AV426" i="10"/>
  <c r="AD426" i="10"/>
  <c r="AV257" i="10"/>
  <c r="AD257" i="10"/>
  <c r="AE257" i="10"/>
  <c r="R403" i="5"/>
  <c r="R90" i="5"/>
  <c r="AC403" i="5"/>
  <c r="AD403" i="5" s="1"/>
  <c r="AC90" i="5"/>
  <c r="AE90" i="5" s="1"/>
  <c r="AE231" i="10"/>
  <c r="AD231" i="10"/>
  <c r="AV231" i="10"/>
  <c r="AE129" i="10"/>
  <c r="AD129" i="10"/>
  <c r="AV129" i="10"/>
  <c r="AD180" i="10"/>
  <c r="AE180" i="10"/>
  <c r="AV180" i="10"/>
  <c r="AD516" i="10"/>
  <c r="AV516" i="10"/>
  <c r="AE516" i="10"/>
  <c r="R388" i="5"/>
  <c r="S411" i="5"/>
  <c r="AD164" i="10"/>
  <c r="S162" i="5"/>
  <c r="S319" i="5"/>
  <c r="R157" i="5"/>
  <c r="S70" i="5"/>
  <c r="AC305" i="5"/>
  <c r="AS305" i="5" s="1"/>
  <c r="AU305" i="5" s="1"/>
  <c r="AC65" i="5"/>
  <c r="AD65" i="5" s="1"/>
  <c r="AC411" i="5"/>
  <c r="AE411" i="5" s="1"/>
  <c r="AE108" i="10"/>
  <c r="AD108" i="10"/>
  <c r="AV108" i="10"/>
  <c r="AE541" i="10"/>
  <c r="AV541" i="10"/>
  <c r="AD541" i="10"/>
  <c r="AV245" i="10"/>
  <c r="AD245" i="10"/>
  <c r="AE245" i="10"/>
  <c r="AD224" i="10"/>
  <c r="AV224" i="10"/>
  <c r="AE224" i="10"/>
  <c r="AE279" i="10"/>
  <c r="AV279" i="10"/>
  <c r="AD279" i="10"/>
  <c r="AX55" i="10"/>
  <c r="AW55" i="10"/>
  <c r="AC388" i="5"/>
  <c r="AD388" i="5" s="1"/>
  <c r="S394" i="5"/>
  <c r="S100" i="5"/>
  <c r="R399" i="5"/>
  <c r="AC400" i="5"/>
  <c r="AE400" i="5" s="1"/>
  <c r="S207" i="5"/>
  <c r="R400" i="5"/>
  <c r="AC100" i="5"/>
  <c r="AS100" i="5" s="1"/>
  <c r="AT100" i="5" s="1"/>
  <c r="AC207" i="5"/>
  <c r="AS207" i="5" s="1"/>
  <c r="AU207" i="5" s="1"/>
  <c r="AC355" i="5"/>
  <c r="AD355" i="5" s="1"/>
  <c r="S421" i="5"/>
  <c r="AC421" i="5"/>
  <c r="AE421" i="5" s="1"/>
  <c r="R541" i="5"/>
  <c r="R296" i="5"/>
  <c r="R477" i="5"/>
  <c r="S86" i="5"/>
  <c r="S61" i="5"/>
  <c r="S279" i="5"/>
  <c r="R445" i="5"/>
  <c r="R300" i="5"/>
  <c r="R369" i="5"/>
  <c r="S60" i="5"/>
  <c r="R213" i="5"/>
  <c r="R176" i="5"/>
  <c r="R113" i="5"/>
  <c r="S236" i="5"/>
  <c r="R342" i="5"/>
  <c r="AC176" i="5"/>
  <c r="AE176" i="5" s="1"/>
  <c r="AC70" i="5"/>
  <c r="AS70" i="5" s="1"/>
  <c r="AT70" i="5" s="1"/>
  <c r="AC94" i="5"/>
  <c r="AE94" i="5" s="1"/>
  <c r="AC42" i="5"/>
  <c r="AE42" i="5" s="1"/>
  <c r="AC60" i="5"/>
  <c r="AS60" i="5" s="1"/>
  <c r="S522" i="5"/>
  <c r="R126" i="5"/>
  <c r="AC522" i="5"/>
  <c r="AD522" i="5" s="1"/>
  <c r="S383" i="5"/>
  <c r="AC394" i="5"/>
  <c r="AD394" i="5" s="1"/>
  <c r="AC239" i="5"/>
  <c r="AE239" i="5" s="1"/>
  <c r="AC393" i="5"/>
  <c r="AS393" i="5" s="1"/>
  <c r="AU393" i="5" s="1"/>
  <c r="S148" i="5"/>
  <c r="R170" i="5"/>
  <c r="S83" i="5"/>
  <c r="R549" i="5"/>
  <c r="R239" i="5"/>
  <c r="AC383" i="5"/>
  <c r="AE383" i="5" s="1"/>
  <c r="AC410" i="5"/>
  <c r="AE410" i="5" s="1"/>
  <c r="AC83" i="5"/>
  <c r="AD83" i="5" s="1"/>
  <c r="AC170" i="5"/>
  <c r="AE170" i="5" s="1"/>
  <c r="R257" i="5"/>
  <c r="S447" i="5"/>
  <c r="R410" i="5"/>
  <c r="R393" i="5"/>
  <c r="R36" i="5"/>
  <c r="AC549" i="5"/>
  <c r="AE549" i="5" s="1"/>
  <c r="R337" i="5"/>
  <c r="R47" i="5"/>
  <c r="S520" i="5"/>
  <c r="S350" i="5"/>
  <c r="S496" i="5"/>
  <c r="S351" i="5"/>
  <c r="AC292" i="5"/>
  <c r="AD292" i="5" s="1"/>
  <c r="AC337" i="5"/>
  <c r="AS337" i="5" s="1"/>
  <c r="AT337" i="5" s="1"/>
  <c r="AC196" i="5"/>
  <c r="AE196" i="5" s="1"/>
  <c r="AC86" i="5"/>
  <c r="AD86" i="5" s="1"/>
  <c r="AC541" i="5"/>
  <c r="AS541" i="5" s="1"/>
  <c r="AT541" i="5" s="1"/>
  <c r="S292" i="5"/>
  <c r="R373" i="5"/>
  <c r="S94" i="5"/>
  <c r="AC296" i="5"/>
  <c r="AE296" i="5" s="1"/>
  <c r="AC47" i="5"/>
  <c r="AE47" i="5" s="1"/>
  <c r="AC351" i="5"/>
  <c r="AD351" i="5" s="1"/>
  <c r="AC257" i="5"/>
  <c r="AD257" i="5" s="1"/>
  <c r="AC520" i="5"/>
  <c r="AS520" i="5" s="1"/>
  <c r="AT520" i="5" s="1"/>
  <c r="S201" i="5"/>
  <c r="R536" i="5"/>
  <c r="AC496" i="5"/>
  <c r="AD496" i="5" s="1"/>
  <c r="AC536" i="5"/>
  <c r="AD536" i="5" s="1"/>
  <c r="AC201" i="5"/>
  <c r="AS201" i="5" s="1"/>
  <c r="AT201" i="5" s="1"/>
  <c r="S109" i="5"/>
  <c r="S227" i="5"/>
  <c r="S311" i="5"/>
  <c r="AC311" i="5"/>
  <c r="AS311" i="5" s="1"/>
  <c r="AU311" i="5" s="1"/>
  <c r="AC109" i="5"/>
  <c r="AS109" i="5" s="1"/>
  <c r="AU109" i="5" s="1"/>
  <c r="AC373" i="5"/>
  <c r="AS373" i="5" s="1"/>
  <c r="AU373" i="5" s="1"/>
  <c r="AC227" i="5"/>
  <c r="AS227" i="5" s="1"/>
  <c r="AU227" i="5" s="1"/>
  <c r="R246" i="5"/>
  <c r="AC246" i="5"/>
  <c r="AE246" i="5" s="1"/>
  <c r="AC482" i="5"/>
  <c r="AE482" i="5" s="1"/>
  <c r="S265" i="5"/>
  <c r="R512" i="5"/>
  <c r="AC66" i="5"/>
  <c r="AS66" i="5" s="1"/>
  <c r="AU66" i="5" s="1"/>
  <c r="R423" i="5"/>
  <c r="S66" i="5"/>
  <c r="R183" i="5"/>
  <c r="S277" i="5"/>
  <c r="AC423" i="5"/>
  <c r="AD423" i="5" s="1"/>
  <c r="AC183" i="5"/>
  <c r="AS183" i="5" s="1"/>
  <c r="AU183" i="5" s="1"/>
  <c r="AC335" i="5"/>
  <c r="AE335" i="5" s="1"/>
  <c r="S487" i="5"/>
  <c r="S245" i="5"/>
  <c r="S458" i="5"/>
  <c r="AC460" i="5"/>
  <c r="AD460" i="5" s="1"/>
  <c r="R500" i="5"/>
  <c r="Z11" i="5"/>
  <c r="AA11" i="5" s="1"/>
  <c r="S368" i="5"/>
  <c r="R560" i="5"/>
  <c r="R268" i="5"/>
  <c r="R154" i="5"/>
  <c r="R28" i="5"/>
  <c r="S152" i="5"/>
  <c r="S465" i="5"/>
  <c r="S452" i="5"/>
  <c r="R468" i="5"/>
  <c r="S102" i="5"/>
  <c r="S127" i="5"/>
  <c r="S166" i="5"/>
  <c r="S99" i="5"/>
  <c r="AC500" i="5"/>
  <c r="AE500" i="5" s="1"/>
  <c r="AC503" i="5"/>
  <c r="AE503" i="5" s="1"/>
  <c r="AC326" i="5"/>
  <c r="AE326" i="5" s="1"/>
  <c r="AC113" i="5"/>
  <c r="AS113" i="5" s="1"/>
  <c r="AT113" i="5" s="1"/>
  <c r="AC553" i="5"/>
  <c r="AS553" i="5" s="1"/>
  <c r="AT553" i="5" s="1"/>
  <c r="AC102" i="5"/>
  <c r="AD102" i="5" s="1"/>
  <c r="AC162" i="5"/>
  <c r="AS162" i="5" s="1"/>
  <c r="AT162" i="5" s="1"/>
  <c r="AC278" i="5"/>
  <c r="AE278" i="5" s="1"/>
  <c r="AC459" i="5"/>
  <c r="AD459" i="5" s="1"/>
  <c r="AC324" i="5"/>
  <c r="AE324" i="5" s="1"/>
  <c r="AC256" i="5"/>
  <c r="AS256" i="5" s="1"/>
  <c r="AU256" i="5" s="1"/>
  <c r="AC191" i="5"/>
  <c r="AE191" i="5" s="1"/>
  <c r="AC452" i="5"/>
  <c r="AD452" i="5" s="1"/>
  <c r="AC244" i="5"/>
  <c r="AE244" i="5" s="1"/>
  <c r="AI11" i="5"/>
  <c r="R156" i="5"/>
  <c r="S427" i="5"/>
  <c r="S405" i="5"/>
  <c r="R324" i="5"/>
  <c r="S545" i="5"/>
  <c r="R77" i="5"/>
  <c r="R241" i="5"/>
  <c r="S69" i="5"/>
  <c r="R414" i="5"/>
  <c r="S552" i="5"/>
  <c r="R330" i="5"/>
  <c r="S68" i="5"/>
  <c r="R225" i="5"/>
  <c r="AC143" i="5"/>
  <c r="AD143" i="5" s="1"/>
  <c r="AC35" i="5"/>
  <c r="AD35" i="5" s="1"/>
  <c r="AC61" i="5"/>
  <c r="AS61" i="5" s="1"/>
  <c r="AU61" i="5" s="1"/>
  <c r="AC368" i="5"/>
  <c r="AE368" i="5" s="1"/>
  <c r="AC54" i="5"/>
  <c r="AS54" i="5" s="1"/>
  <c r="AU54" i="5" s="1"/>
  <c r="AC136" i="5"/>
  <c r="AS136" i="5" s="1"/>
  <c r="AU136" i="5" s="1"/>
  <c r="AC360" i="5"/>
  <c r="AS360" i="5" s="1"/>
  <c r="AT360" i="5" s="1"/>
  <c r="AC268" i="5"/>
  <c r="AE268" i="5" s="1"/>
  <c r="AC461" i="5"/>
  <c r="AS461" i="5" s="1"/>
  <c r="AC417" i="5"/>
  <c r="AE417" i="5" s="1"/>
  <c r="AC529" i="5"/>
  <c r="AS529" i="5" s="1"/>
  <c r="AC545" i="5"/>
  <c r="AD545" i="5" s="1"/>
  <c r="AC416" i="5"/>
  <c r="AE416" i="5" s="1"/>
  <c r="AC154" i="5"/>
  <c r="AE154" i="5" s="1"/>
  <c r="AC127" i="5"/>
  <c r="AE127" i="5" s="1"/>
  <c r="R426" i="5"/>
  <c r="AJ11" i="5"/>
  <c r="S67" i="5"/>
  <c r="S453" i="5"/>
  <c r="R514" i="5"/>
  <c r="S417" i="5"/>
  <c r="R529" i="5"/>
  <c r="S35" i="5"/>
  <c r="R27" i="5"/>
  <c r="R235" i="5"/>
  <c r="R105" i="5"/>
  <c r="S360" i="5"/>
  <c r="R244" i="5"/>
  <c r="AC273" i="5"/>
  <c r="AE273" i="5" s="1"/>
  <c r="AC177" i="5"/>
  <c r="AS177" i="5" s="1"/>
  <c r="AC253" i="5"/>
  <c r="AS253" i="5" s="1"/>
  <c r="AT253" i="5" s="1"/>
  <c r="R395" i="5"/>
  <c r="AC330" i="5"/>
  <c r="AD330" i="5" s="1"/>
  <c r="AC426" i="5"/>
  <c r="AD426" i="5" s="1"/>
  <c r="AC215" i="5"/>
  <c r="AS215" i="5" s="1"/>
  <c r="AU215" i="5" s="1"/>
  <c r="AC395" i="5"/>
  <c r="AS395" i="5" s="1"/>
  <c r="AT395" i="5" s="1"/>
  <c r="AC169" i="5"/>
  <c r="AS169" i="5" s="1"/>
  <c r="AT169" i="5" s="1"/>
  <c r="S58" i="5"/>
  <c r="R97" i="5"/>
  <c r="S460" i="5"/>
  <c r="R144" i="5"/>
  <c r="S450" i="5"/>
  <c r="S466" i="5"/>
  <c r="R335" i="5"/>
  <c r="AC81" i="5"/>
  <c r="AS81" i="5" s="1"/>
  <c r="AT81" i="5" s="1"/>
  <c r="S362" i="5"/>
  <c r="S81" i="5"/>
  <c r="R196" i="5"/>
  <c r="AC450" i="5"/>
  <c r="AS450" i="5" s="1"/>
  <c r="AU450" i="5" s="1"/>
  <c r="AC97" i="5"/>
  <c r="AD97" i="5" s="1"/>
  <c r="S29" i="5"/>
  <c r="R180" i="5"/>
  <c r="S482" i="5"/>
  <c r="S354" i="5"/>
  <c r="R200" i="5"/>
  <c r="AC200" i="5"/>
  <c r="AS200" i="5" s="1"/>
  <c r="AU200" i="5" s="1"/>
  <c r="AC429" i="5"/>
  <c r="AD429" i="5" s="1"/>
  <c r="S341" i="5"/>
  <c r="S533" i="5"/>
  <c r="S528" i="5"/>
  <c r="S444" i="5"/>
  <c r="W11" i="5"/>
  <c r="X11" i="5" s="1"/>
  <c r="R322" i="5"/>
  <c r="S206" i="5"/>
  <c r="S256" i="5"/>
  <c r="S339" i="5"/>
  <c r="R459" i="5"/>
  <c r="S370" i="5"/>
  <c r="S179" i="5"/>
  <c r="S125" i="5"/>
  <c r="R289" i="5"/>
  <c r="S371" i="5"/>
  <c r="R497" i="5"/>
  <c r="R74" i="5"/>
  <c r="R297" i="5"/>
  <c r="R143" i="5"/>
  <c r="R263" i="5"/>
  <c r="R547" i="5"/>
  <c r="S293" i="5"/>
  <c r="R120" i="5"/>
  <c r="R462" i="5"/>
  <c r="AC300" i="5"/>
  <c r="AE300" i="5" s="1"/>
  <c r="AC472" i="5"/>
  <c r="AD472" i="5" s="1"/>
  <c r="AC235" i="5"/>
  <c r="AD235" i="5" s="1"/>
  <c r="AC552" i="5"/>
  <c r="AD552" i="5" s="1"/>
  <c r="AC341" i="5"/>
  <c r="AS341" i="5" s="1"/>
  <c r="AU341" i="5" s="1"/>
  <c r="AC99" i="5"/>
  <c r="AD99" i="5" s="1"/>
  <c r="AC544" i="5"/>
  <c r="AD544" i="5" s="1"/>
  <c r="AC560" i="5"/>
  <c r="AD560" i="5" s="1"/>
  <c r="AC69" i="5"/>
  <c r="AS69" i="5" s="1"/>
  <c r="AT69" i="5" s="1"/>
  <c r="AC370" i="5"/>
  <c r="AD370" i="5" s="1"/>
  <c r="AC75" i="5"/>
  <c r="AD75" i="5" s="1"/>
  <c r="AC68" i="5"/>
  <c r="AD68" i="5" s="1"/>
  <c r="AC371" i="5"/>
  <c r="AE371" i="5" s="1"/>
  <c r="AC221" i="5"/>
  <c r="AE221" i="5" s="1"/>
  <c r="AC547" i="5"/>
  <c r="AD547" i="5" s="1"/>
  <c r="AC263" i="5"/>
  <c r="AE263" i="5" s="1"/>
  <c r="AC206" i="5"/>
  <c r="AS206" i="5" s="1"/>
  <c r="AT206" i="5" s="1"/>
  <c r="AC387" i="5"/>
  <c r="AD387" i="5" s="1"/>
  <c r="S503" i="5"/>
  <c r="R378" i="5"/>
  <c r="S231" i="5"/>
  <c r="Q11" i="5"/>
  <c r="R11" i="5" s="1"/>
  <c r="R124" i="5"/>
  <c r="R82" i="5"/>
  <c r="R136" i="5"/>
  <c r="R54" i="5"/>
  <c r="S8" i="5"/>
  <c r="R221" i="5"/>
  <c r="R372" i="5"/>
  <c r="R544" i="5"/>
  <c r="R326" i="5"/>
  <c r="S59" i="5"/>
  <c r="S472" i="5"/>
  <c r="R387" i="5"/>
  <c r="S253" i="5"/>
  <c r="S75" i="5"/>
  <c r="R513" i="5"/>
  <c r="S177" i="5"/>
  <c r="R215" i="5"/>
  <c r="R391" i="5"/>
  <c r="S20" i="5"/>
  <c r="R553" i="5"/>
  <c r="R278" i="5"/>
  <c r="AC405" i="5"/>
  <c r="AE405" i="5" s="1"/>
  <c r="AC391" i="5"/>
  <c r="AD391" i="5" s="1"/>
  <c r="AC462" i="5"/>
  <c r="AS462" i="5" s="1"/>
  <c r="AT462" i="5" s="1"/>
  <c r="AC339" i="5"/>
  <c r="AS339" i="5" s="1"/>
  <c r="AU339" i="5" s="1"/>
  <c r="AC357" i="5"/>
  <c r="AS357" i="5" s="1"/>
  <c r="AU357" i="5" s="1"/>
  <c r="AC369" i="5"/>
  <c r="AE369" i="5" s="1"/>
  <c r="AC27" i="5"/>
  <c r="AS27" i="5" s="1"/>
  <c r="AT27" i="5" s="1"/>
  <c r="AC156" i="5"/>
  <c r="AE156" i="5" s="1"/>
  <c r="AC465" i="5"/>
  <c r="AS465" i="5" s="1"/>
  <c r="AC241" i="5"/>
  <c r="AS241" i="5" s="1"/>
  <c r="AU241" i="5" s="1"/>
  <c r="S357" i="5"/>
  <c r="AC444" i="5"/>
  <c r="AE444" i="5" s="1"/>
  <c r="AC175" i="5"/>
  <c r="AE175" i="5" s="1"/>
  <c r="AC293" i="5"/>
  <c r="AD293" i="5" s="1"/>
  <c r="AC432" i="5"/>
  <c r="AE432" i="5" s="1"/>
  <c r="AC480" i="5"/>
  <c r="AS480" i="5" s="1"/>
  <c r="AU480" i="5" s="1"/>
  <c r="AC199" i="5"/>
  <c r="AE199" i="5" s="1"/>
  <c r="AC533" i="5"/>
  <c r="AD533" i="5" s="1"/>
  <c r="AC157" i="5"/>
  <c r="AS157" i="5" s="1"/>
  <c r="AU157" i="5" s="1"/>
  <c r="AC319" i="5"/>
  <c r="AS319" i="5" s="1"/>
  <c r="AU319" i="5" s="1"/>
  <c r="AC166" i="5"/>
  <c r="AD166" i="5" s="1"/>
  <c r="AC378" i="5"/>
  <c r="AD378" i="5" s="1"/>
  <c r="AC67" i="5"/>
  <c r="AE67" i="5" s="1"/>
  <c r="AC514" i="5"/>
  <c r="AE514" i="5" s="1"/>
  <c r="AC105" i="5"/>
  <c r="AS105" i="5" s="1"/>
  <c r="AT105" i="5" s="1"/>
  <c r="AC477" i="5"/>
  <c r="AE477" i="5" s="1"/>
  <c r="R219" i="5"/>
  <c r="R381" i="5"/>
  <c r="S486" i="5"/>
  <c r="AC449" i="5"/>
  <c r="AE449" i="5" s="1"/>
  <c r="AC554" i="5"/>
  <c r="AE554" i="5" s="1"/>
  <c r="AC212" i="5"/>
  <c r="AD212" i="5" s="1"/>
  <c r="AC407" i="5"/>
  <c r="AE407" i="5" s="1"/>
  <c r="AC76" i="5"/>
  <c r="AD76" i="5" s="1"/>
  <c r="AC382" i="5"/>
  <c r="AE382" i="5" s="1"/>
  <c r="AC518" i="5"/>
  <c r="AE518" i="5" s="1"/>
  <c r="AC29" i="5"/>
  <c r="AD29" i="5" s="1"/>
  <c r="R260" i="5"/>
  <c r="R142" i="5"/>
  <c r="AC380" i="5"/>
  <c r="AE380" i="5" s="1"/>
  <c r="S230" i="5"/>
  <c r="AC230" i="5"/>
  <c r="AE230" i="5" s="1"/>
  <c r="AC334" i="5"/>
  <c r="AD334" i="5" s="1"/>
  <c r="R250" i="5"/>
  <c r="S336" i="5"/>
  <c r="S471" i="5"/>
  <c r="AC303" i="5"/>
  <c r="AE303" i="5" s="1"/>
  <c r="AC336" i="5"/>
  <c r="AD336" i="5" s="1"/>
  <c r="AC120" i="5"/>
  <c r="AD120" i="5" s="1"/>
  <c r="R133" i="5"/>
  <c r="R187" i="5"/>
  <c r="R26" i="5"/>
  <c r="S428" i="5"/>
  <c r="S456" i="5"/>
  <c r="R518" i="5"/>
  <c r="S72" i="5"/>
  <c r="S321" i="5"/>
  <c r="R314" i="5"/>
  <c r="S50" i="5"/>
  <c r="R57" i="5"/>
  <c r="R454" i="5"/>
  <c r="AC456" i="5"/>
  <c r="AD456" i="5" s="1"/>
  <c r="AC464" i="5"/>
  <c r="AD464" i="5" s="1"/>
  <c r="AC354" i="5"/>
  <c r="AD354" i="5" s="1"/>
  <c r="AC192" i="5"/>
  <c r="AS192" i="5" s="1"/>
  <c r="AU192" i="5" s="1"/>
  <c r="AC133" i="5"/>
  <c r="AD133" i="5" s="1"/>
  <c r="AC43" i="5"/>
  <c r="AS43" i="5" s="1"/>
  <c r="AT43" i="5" s="1"/>
  <c r="AC435" i="5"/>
  <c r="AD435" i="5" s="1"/>
  <c r="AC436" i="5"/>
  <c r="AD436" i="5" s="1"/>
  <c r="AC270" i="5"/>
  <c r="AD270" i="5" s="1"/>
  <c r="AC236" i="5"/>
  <c r="AE236" i="5" s="1"/>
  <c r="AC271" i="5"/>
  <c r="AE271" i="5" s="1"/>
  <c r="AC284" i="5"/>
  <c r="AD284" i="5" s="1"/>
  <c r="R349" i="5"/>
  <c r="S285" i="5"/>
  <c r="AC118" i="5"/>
  <c r="AS118" i="5" s="1"/>
  <c r="AT118" i="5" s="1"/>
  <c r="R495" i="5"/>
  <c r="S114" i="5"/>
  <c r="AC286" i="5"/>
  <c r="AS286" i="5" s="1"/>
  <c r="AU286" i="5" s="1"/>
  <c r="AC172" i="5"/>
  <c r="AE172" i="5" s="1"/>
  <c r="AC238" i="5"/>
  <c r="AS238" i="5" s="1"/>
  <c r="AT238" i="5" s="1"/>
  <c r="AC527" i="5"/>
  <c r="AS527" i="5" s="1"/>
  <c r="AC548" i="5"/>
  <c r="AS548" i="5" s="1"/>
  <c r="AT548" i="5" s="1"/>
  <c r="AC420" i="5"/>
  <c r="AD420" i="5" s="1"/>
  <c r="AC392" i="5"/>
  <c r="AS392" i="5" s="1"/>
  <c r="AT392" i="5" s="1"/>
  <c r="AC364" i="5"/>
  <c r="AS364" i="5" s="1"/>
  <c r="AU364" i="5" s="1"/>
  <c r="AC103" i="5"/>
  <c r="AD103" i="5" s="1"/>
  <c r="AC219" i="5"/>
  <c r="AE219" i="5" s="1"/>
  <c r="AC173" i="5"/>
  <c r="AS173" i="5" s="1"/>
  <c r="AU173" i="5" s="1"/>
  <c r="R286" i="5"/>
  <c r="R129" i="5"/>
  <c r="S192" i="5"/>
  <c r="R534" i="5"/>
  <c r="R264" i="5"/>
  <c r="AC255" i="5"/>
  <c r="AD255" i="5" s="1"/>
  <c r="AC250" i="5"/>
  <c r="AE250" i="5" s="1"/>
  <c r="R333" i="5"/>
  <c r="R433" i="5"/>
  <c r="R238" i="5"/>
  <c r="R172" i="5"/>
  <c r="S491" i="5"/>
  <c r="R532" i="5"/>
  <c r="R404" i="5"/>
  <c r="R262" i="5"/>
  <c r="S457" i="5"/>
  <c r="S429" i="5"/>
  <c r="R271" i="5"/>
  <c r="R116" i="5"/>
  <c r="R139" i="5"/>
  <c r="R554" i="5"/>
  <c r="AC262" i="5"/>
  <c r="AD262" i="5" s="1"/>
  <c r="R407" i="5"/>
  <c r="R270" i="5"/>
  <c r="S334" i="5"/>
  <c r="AC180" i="5"/>
  <c r="AD180" i="5" s="1"/>
  <c r="R64" i="5"/>
  <c r="AC486" i="5"/>
  <c r="AD486" i="5" s="1"/>
  <c r="AC116" i="5"/>
  <c r="AS116" i="5" s="1"/>
  <c r="AU116" i="5" s="1"/>
  <c r="R202" i="5"/>
  <c r="R272" i="5"/>
  <c r="AC202" i="5"/>
  <c r="AS202" i="5" s="1"/>
  <c r="AU202" i="5" s="1"/>
  <c r="AC272" i="5"/>
  <c r="AD272" i="5" s="1"/>
  <c r="AC331" i="5"/>
  <c r="AD331" i="5" s="1"/>
  <c r="S210" i="5"/>
  <c r="R198" i="5"/>
  <c r="R352" i="5"/>
  <c r="R316" i="5"/>
  <c r="S96" i="5"/>
  <c r="S110" i="5"/>
  <c r="R484" i="5"/>
  <c r="S255" i="5"/>
  <c r="S137" i="5"/>
  <c r="S386" i="5"/>
  <c r="R464" i="5"/>
  <c r="AC264" i="5"/>
  <c r="AD264" i="5" s="1"/>
  <c r="AC413" i="5"/>
  <c r="AS413" i="5" s="1"/>
  <c r="AU413" i="5" s="1"/>
  <c r="AC26" i="5"/>
  <c r="AE26" i="5" s="1"/>
  <c r="AC433" i="5"/>
  <c r="AS433" i="5" s="1"/>
  <c r="AU433" i="5" s="1"/>
  <c r="AC475" i="5"/>
  <c r="AS475" i="5" s="1"/>
  <c r="AT475" i="5" s="1"/>
  <c r="AC114" i="5"/>
  <c r="AD114" i="5" s="1"/>
  <c r="AC386" i="5"/>
  <c r="AS386" i="5" s="1"/>
  <c r="AC93" i="5"/>
  <c r="AE93" i="5" s="1"/>
  <c r="AC96" i="5"/>
  <c r="AS96" i="5" s="1"/>
  <c r="AU96" i="5" s="1"/>
  <c r="AC226" i="5"/>
  <c r="AD226" i="5" s="1"/>
  <c r="AC455" i="5"/>
  <c r="AD455" i="5" s="1"/>
  <c r="R261" i="5"/>
  <c r="S392" i="5"/>
  <c r="R380" i="5"/>
  <c r="S84" i="5"/>
  <c r="S93" i="5"/>
  <c r="S475" i="5"/>
  <c r="R181" i="5"/>
  <c r="AC285" i="5"/>
  <c r="AE285" i="5" s="1"/>
  <c r="AC314" i="5"/>
  <c r="AD314" i="5" s="1"/>
  <c r="AC439" i="5"/>
  <c r="AD439" i="5" s="1"/>
  <c r="AC51" i="5"/>
  <c r="AS51" i="5" s="1"/>
  <c r="AT51" i="5" s="1"/>
  <c r="AC333" i="5"/>
  <c r="AD333" i="5" s="1"/>
  <c r="S548" i="5"/>
  <c r="S51" i="5"/>
  <c r="R168" i="5"/>
  <c r="S418" i="5"/>
  <c r="S111" i="5"/>
  <c r="S516" i="5"/>
  <c r="S267" i="5"/>
  <c r="S226" i="5"/>
  <c r="S439" i="5"/>
  <c r="S248" i="5"/>
  <c r="R310" i="5"/>
  <c r="AC242" i="5"/>
  <c r="AD242" i="5" s="1"/>
  <c r="AC321" i="5"/>
  <c r="AD321" i="5" s="1"/>
  <c r="AC310" i="5"/>
  <c r="AD310" i="5" s="1"/>
  <c r="S485" i="5"/>
  <c r="R556" i="5"/>
  <c r="S223" i="5"/>
  <c r="AC489" i="5"/>
  <c r="AS489" i="5" s="1"/>
  <c r="AU489" i="5" s="1"/>
  <c r="AC149" i="5"/>
  <c r="AE149" i="5" s="1"/>
  <c r="AC62" i="5"/>
  <c r="AS62" i="5" s="1"/>
  <c r="AT62" i="5" s="1"/>
  <c r="AC232" i="5"/>
  <c r="AS232" i="5" s="1"/>
  <c r="AU232" i="5" s="1"/>
  <c r="AC328" i="5"/>
  <c r="AE328" i="5" s="1"/>
  <c r="AC502" i="5"/>
  <c r="AS502" i="5" s="1"/>
  <c r="AT502" i="5" s="1"/>
  <c r="AC38" i="5"/>
  <c r="AE38" i="5" s="1"/>
  <c r="AC123" i="5"/>
  <c r="AD123" i="5" s="1"/>
  <c r="AC424" i="5"/>
  <c r="AS424" i="5" s="1"/>
  <c r="AT424" i="5" s="1"/>
  <c r="AC259" i="5"/>
  <c r="AE259" i="5" s="1"/>
  <c r="S511" i="5"/>
  <c r="AC317" i="5"/>
  <c r="AS317" i="5" s="1"/>
  <c r="AT317" i="5" s="1"/>
  <c r="S208" i="5"/>
  <c r="S441" i="5"/>
  <c r="AC254" i="5"/>
  <c r="AD254" i="5" s="1"/>
  <c r="AC234" i="5"/>
  <c r="AS234" i="5" s="1"/>
  <c r="AU234" i="5" s="1"/>
  <c r="AC307" i="5"/>
  <c r="AE307" i="5" s="1"/>
  <c r="AC110" i="5"/>
  <c r="AS110" i="5" s="1"/>
  <c r="AU110" i="5" s="1"/>
  <c r="AC441" i="5"/>
  <c r="AE441" i="5" s="1"/>
  <c r="AC25" i="5"/>
  <c r="AD25" i="5" s="1"/>
  <c r="AC13" i="5"/>
  <c r="AS13" i="5" s="1"/>
  <c r="AU13" i="5" s="1"/>
  <c r="AC111" i="5"/>
  <c r="AD111" i="5" s="1"/>
  <c r="AC267" i="5"/>
  <c r="AS267" i="5" s="1"/>
  <c r="AU267" i="5" s="1"/>
  <c r="AC290" i="5"/>
  <c r="AS290" i="5" s="1"/>
  <c r="AU290" i="5" s="1"/>
  <c r="AC168" i="5"/>
  <c r="AD168" i="5" s="1"/>
  <c r="AC381" i="5"/>
  <c r="AD381" i="5" s="1"/>
  <c r="AC418" i="5"/>
  <c r="AS418" i="5" s="1"/>
  <c r="AT418" i="5" s="1"/>
  <c r="S494" i="5"/>
  <c r="R103" i="5"/>
  <c r="R254" i="5"/>
  <c r="S435" i="5"/>
  <c r="R211" i="5"/>
  <c r="R413" i="5"/>
  <c r="S108" i="5"/>
  <c r="S106" i="5"/>
  <c r="R455" i="5"/>
  <c r="R307" i="5"/>
  <c r="R290" i="5"/>
  <c r="R234" i="5"/>
  <c r="AC106" i="5"/>
  <c r="AD106" i="5" s="1"/>
  <c r="AC181" i="5"/>
  <c r="AS181" i="5" s="1"/>
  <c r="AC79" i="5"/>
  <c r="AD79" i="5" s="1"/>
  <c r="AC495" i="5"/>
  <c r="AS495" i="5" s="1"/>
  <c r="AU495" i="5" s="1"/>
  <c r="R25" i="5"/>
  <c r="R527" i="5"/>
  <c r="R13" i="5"/>
  <c r="R269" i="5"/>
  <c r="R309" i="5"/>
  <c r="R79" i="5"/>
  <c r="R490" i="5"/>
  <c r="S345" i="5"/>
  <c r="R282" i="5"/>
  <c r="R178" i="5"/>
  <c r="R161" i="5"/>
  <c r="R145" i="5"/>
  <c r="S323" i="5"/>
  <c r="S101" i="5"/>
  <c r="S420" i="5"/>
  <c r="R34" i="5"/>
  <c r="S436" i="5"/>
  <c r="AC490" i="5"/>
  <c r="AE490" i="5" s="1"/>
  <c r="AC532" i="5"/>
  <c r="AD532" i="5" s="1"/>
  <c r="AC352" i="5"/>
  <c r="AS352" i="5" s="1"/>
  <c r="AU352" i="5" s="1"/>
  <c r="AC491" i="5"/>
  <c r="AE491" i="5" s="1"/>
  <c r="AC145" i="5"/>
  <c r="AS145" i="5" s="1"/>
  <c r="AT145" i="5" s="1"/>
  <c r="AC137" i="5"/>
  <c r="AS137" i="5" s="1"/>
  <c r="AU137" i="5" s="1"/>
  <c r="AC428" i="5"/>
  <c r="AE428" i="5" s="1"/>
  <c r="AC248" i="5"/>
  <c r="AS248" i="5" s="1"/>
  <c r="AU248" i="5" s="1"/>
  <c r="AC349" i="5"/>
  <c r="AD349" i="5" s="1"/>
  <c r="S242" i="5"/>
  <c r="AC516" i="5"/>
  <c r="AE516" i="5" s="1"/>
  <c r="AC129" i="5"/>
  <c r="AE129" i="5" s="1"/>
  <c r="AC57" i="5"/>
  <c r="AS57" i="5" s="1"/>
  <c r="AU57" i="5" s="1"/>
  <c r="AC484" i="5"/>
  <c r="AS484" i="5" s="1"/>
  <c r="AT484" i="5" s="1"/>
  <c r="AC261" i="5"/>
  <c r="AE261" i="5" s="1"/>
  <c r="AC198" i="5"/>
  <c r="AE198" i="5" s="1"/>
  <c r="AC50" i="5"/>
  <c r="AE50" i="5" s="1"/>
  <c r="S104" i="5"/>
  <c r="S247" i="5"/>
  <c r="R41" i="5"/>
  <c r="R118" i="5"/>
  <c r="S149" i="5"/>
  <c r="R304" i="5"/>
  <c r="S353" i="5"/>
  <c r="R542" i="5"/>
  <c r="R343" i="5"/>
  <c r="R232" i="5"/>
  <c r="S98" i="5"/>
  <c r="R365" i="5"/>
  <c r="R546" i="5"/>
  <c r="AC494" i="5"/>
  <c r="AD494" i="5" s="1"/>
  <c r="AC10" i="5"/>
  <c r="AD10" i="5" s="1"/>
  <c r="AC478" i="5"/>
  <c r="AE478" i="5" s="1"/>
  <c r="AC367" i="5"/>
  <c r="AE367" i="5" s="1"/>
  <c r="AC283" i="5"/>
  <c r="AS283" i="5" s="1"/>
  <c r="AT283" i="5" s="1"/>
  <c r="AC165" i="5"/>
  <c r="AD165" i="5" s="1"/>
  <c r="AC208" i="5"/>
  <c r="AD208" i="5" s="1"/>
  <c r="AC217" i="5"/>
  <c r="AS217" i="5" s="1"/>
  <c r="AU217" i="5" s="1"/>
  <c r="AC32" i="5"/>
  <c r="AS32" i="5" s="1"/>
  <c r="AU32" i="5" s="1"/>
  <c r="S10" i="5"/>
  <c r="R499" i="5"/>
  <c r="AC463" i="5"/>
  <c r="AE463" i="5" s="1"/>
  <c r="R243" i="5"/>
  <c r="S165" i="5"/>
  <c r="S140" i="5"/>
  <c r="R39" i="5"/>
  <c r="R32" i="5"/>
  <c r="S62" i="5"/>
  <c r="AC141" i="5"/>
  <c r="AS141" i="5" s="1"/>
  <c r="AU141" i="5" s="1"/>
  <c r="R128" i="5"/>
  <c r="R298" i="5"/>
  <c r="S237" i="5"/>
  <c r="S535" i="5"/>
  <c r="R467" i="5"/>
  <c r="R63" i="5"/>
  <c r="R348" i="5"/>
  <c r="AC425" i="5"/>
  <c r="AE425" i="5" s="1"/>
  <c r="AC442" i="5"/>
  <c r="AS442" i="5" s="1"/>
  <c r="AU442" i="5" s="1"/>
  <c r="AC195" i="5"/>
  <c r="AE195" i="5" s="1"/>
  <c r="S431" i="5"/>
  <c r="S325" i="5"/>
  <c r="S489" i="5"/>
  <c r="S228" i="5"/>
  <c r="S195" i="5"/>
  <c r="R463" i="5"/>
  <c r="S71" i="5"/>
  <c r="R313" i="5"/>
  <c r="R402" i="5"/>
  <c r="S280" i="5"/>
  <c r="R478" i="5"/>
  <c r="R473" i="5"/>
  <c r="R259" i="5"/>
  <c r="S317" i="5"/>
  <c r="R121" i="5"/>
  <c r="R153" i="5"/>
  <c r="R502" i="5"/>
  <c r="R283" i="5"/>
  <c r="R151" i="5"/>
  <c r="AC153" i="5"/>
  <c r="AD153" i="5" s="1"/>
  <c r="AC228" i="5"/>
  <c r="AD228" i="5" s="1"/>
  <c r="AC467" i="5"/>
  <c r="AS467" i="5" s="1"/>
  <c r="AU467" i="5" s="1"/>
  <c r="AC53" i="5"/>
  <c r="AD53" i="5" s="1"/>
  <c r="AC48" i="5"/>
  <c r="AE48" i="5" s="1"/>
  <c r="AC98" i="5"/>
  <c r="AS98" i="5" s="1"/>
  <c r="AC474" i="5"/>
  <c r="AD474" i="5" s="1"/>
  <c r="AC280" i="5"/>
  <c r="AS280" i="5" s="1"/>
  <c r="AU280" i="5" s="1"/>
  <c r="AC485" i="5"/>
  <c r="AD485" i="5" s="1"/>
  <c r="AC531" i="5"/>
  <c r="AE531" i="5" s="1"/>
  <c r="AC473" i="5"/>
  <c r="AD473" i="5" s="1"/>
  <c r="AC210" i="5"/>
  <c r="AD210" i="5" s="1"/>
  <c r="AC365" i="5"/>
  <c r="AS365" i="5" s="1"/>
  <c r="AU365" i="5" s="1"/>
  <c r="AC104" i="5"/>
  <c r="AS104" i="5" s="1"/>
  <c r="AC23" i="5"/>
  <c r="AE23" i="5" s="1"/>
  <c r="AC546" i="5"/>
  <c r="AD546" i="5" s="1"/>
  <c r="AC243" i="5"/>
  <c r="AD243" i="5" s="1"/>
  <c r="AC282" i="5"/>
  <c r="AE282" i="5" s="1"/>
  <c r="AC325" i="5"/>
  <c r="AD325" i="5" s="1"/>
  <c r="AC313" i="5"/>
  <c r="AE313" i="5" s="1"/>
  <c r="R449" i="5"/>
  <c r="S135" i="5"/>
  <c r="R523" i="5"/>
  <c r="S23" i="5"/>
  <c r="R389" i="5"/>
  <c r="S184" i="5"/>
  <c r="S123" i="5"/>
  <c r="S40" i="5"/>
  <c r="S141" i="5"/>
  <c r="S358" i="5"/>
  <c r="S367" i="5"/>
  <c r="S182" i="5"/>
  <c r="R258" i="5"/>
  <c r="R474" i="5"/>
  <c r="S442" i="5"/>
  <c r="R45" i="5"/>
  <c r="S92" i="5"/>
  <c r="S443" i="5"/>
  <c r="AC358" i="5"/>
  <c r="AD358" i="5" s="1"/>
  <c r="AC39" i="5"/>
  <c r="AE39" i="5" s="1"/>
  <c r="AC269" i="5"/>
  <c r="AE269" i="5" s="1"/>
  <c r="AC431" i="5"/>
  <c r="AD431" i="5" s="1"/>
  <c r="AC499" i="5"/>
  <c r="AS499" i="5" s="1"/>
  <c r="AU499" i="5" s="1"/>
  <c r="AC128" i="5"/>
  <c r="AS128" i="5" s="1"/>
  <c r="AT128" i="5" s="1"/>
  <c r="AC443" i="5"/>
  <c r="AE443" i="5" s="1"/>
  <c r="AC220" i="5"/>
  <c r="AD220" i="5" s="1"/>
  <c r="AC340" i="5"/>
  <c r="AD340" i="5" s="1"/>
  <c r="AC179" i="5"/>
  <c r="AS179" i="5" s="1"/>
  <c r="AT179" i="5" s="1"/>
  <c r="S412" i="5"/>
  <c r="R390" i="5"/>
  <c r="S91" i="5"/>
  <c r="R382" i="5"/>
  <c r="R451" i="5"/>
  <c r="S303" i="5"/>
  <c r="R150" i="5"/>
  <c r="S469" i="5"/>
  <c r="AC469" i="5"/>
  <c r="AD469" i="5" s="1"/>
  <c r="AC28" i="5"/>
  <c r="AE28" i="5" s="1"/>
  <c r="AC139" i="5"/>
  <c r="AD139" i="5" s="1"/>
  <c r="R130" i="5"/>
  <c r="S174" i="5"/>
  <c r="R401" i="5"/>
  <c r="S76" i="5"/>
  <c r="AC448" i="5"/>
  <c r="AS448" i="5" s="1"/>
  <c r="AU448" i="5" s="1"/>
  <c r="AC209" i="5"/>
  <c r="AD209" i="5" s="1"/>
  <c r="AC88" i="5"/>
  <c r="AS88" i="5" s="1"/>
  <c r="AU88" i="5" s="1"/>
  <c r="AC174" i="5"/>
  <c r="AS174" i="5" s="1"/>
  <c r="AT174" i="5" s="1"/>
  <c r="AC318" i="5"/>
  <c r="AD318" i="5" s="1"/>
  <c r="AC119" i="5"/>
  <c r="AD119" i="5" s="1"/>
  <c r="AC332" i="5"/>
  <c r="AS332" i="5" s="1"/>
  <c r="AU332" i="5" s="1"/>
  <c r="AC251" i="5"/>
  <c r="AS251" i="5" s="1"/>
  <c r="AU251" i="5" s="1"/>
  <c r="R276" i="5"/>
  <c r="S276" i="5"/>
  <c r="R506" i="5"/>
  <c r="S506" i="5"/>
  <c r="R212" i="5"/>
  <c r="S212" i="5"/>
  <c r="S438" i="5"/>
  <c r="R438" i="5"/>
  <c r="AC294" i="5"/>
  <c r="AE294" i="5" s="1"/>
  <c r="AC543" i="5"/>
  <c r="AS543" i="5" s="1"/>
  <c r="AU543" i="5" s="1"/>
  <c r="R406" i="5"/>
  <c r="S112" i="5"/>
  <c r="S119" i="5"/>
  <c r="R295" i="5"/>
  <c r="S448" i="5"/>
  <c r="S155" i="5"/>
  <c r="S415" i="5"/>
  <c r="R338" i="5"/>
  <c r="S233" i="5"/>
  <c r="S78" i="5"/>
  <c r="R396" i="5"/>
  <c r="S379" i="5"/>
  <c r="R557" i="5"/>
  <c r="AC295" i="5"/>
  <c r="AD295" i="5" s="1"/>
  <c r="S377" i="5"/>
  <c r="R377" i="5"/>
  <c r="S385" i="5"/>
  <c r="R385" i="5"/>
  <c r="R122" i="5"/>
  <c r="S122" i="5"/>
  <c r="R510" i="5"/>
  <c r="S510" i="5"/>
  <c r="R80" i="5"/>
  <c r="S80" i="5"/>
  <c r="AC78" i="5"/>
  <c r="AS78" i="5" s="1"/>
  <c r="AT78" i="5" s="1"/>
  <c r="AC21" i="5"/>
  <c r="AS21" i="5" s="1"/>
  <c r="AU21" i="5" s="1"/>
  <c r="S543" i="5"/>
  <c r="R131" i="5"/>
  <c r="S275" i="5"/>
  <c r="R356" i="5"/>
  <c r="R308" i="5"/>
  <c r="R44" i="5"/>
  <c r="S550" i="5"/>
  <c r="AC130" i="5"/>
  <c r="AD130" i="5" s="1"/>
  <c r="AC356" i="5"/>
  <c r="AD356" i="5" s="1"/>
  <c r="AC359" i="5"/>
  <c r="AE359" i="5" s="1"/>
  <c r="AC558" i="5"/>
  <c r="AE558" i="5" s="1"/>
  <c r="S501" i="5"/>
  <c r="AC71" i="5"/>
  <c r="AS71" i="5" s="1"/>
  <c r="AU71" i="5" s="1"/>
  <c r="AC87" i="5"/>
  <c r="AE87" i="5" s="1"/>
  <c r="AC361" i="5"/>
  <c r="AE361" i="5" s="1"/>
  <c r="AC501" i="5"/>
  <c r="AS501" i="5" s="1"/>
  <c r="AU501" i="5" s="1"/>
  <c r="AC457" i="5"/>
  <c r="AD457" i="5" s="1"/>
  <c r="AC308" i="5"/>
  <c r="AS308" i="5" s="1"/>
  <c r="AT308" i="5" s="1"/>
  <c r="AC222" i="5"/>
  <c r="AE222" i="5" s="1"/>
  <c r="AC275" i="5"/>
  <c r="AS275" i="5" s="1"/>
  <c r="AT275" i="5" s="1"/>
  <c r="AC131" i="5"/>
  <c r="AE131" i="5" s="1"/>
  <c r="AC171" i="5"/>
  <c r="AS171" i="5" s="1"/>
  <c r="AU171" i="5" s="1"/>
  <c r="AC276" i="5"/>
  <c r="AE276" i="5" s="1"/>
  <c r="AC550" i="5"/>
  <c r="AS550" i="5" s="1"/>
  <c r="AU550" i="5" s="1"/>
  <c r="R299" i="5"/>
  <c r="S299" i="5"/>
  <c r="R53" i="5"/>
  <c r="S53" i="5"/>
  <c r="S521" i="5"/>
  <c r="R521" i="5"/>
  <c r="R173" i="5"/>
  <c r="S173" i="5"/>
  <c r="R186" i="5"/>
  <c r="S186" i="5"/>
  <c r="R284" i="5"/>
  <c r="S284" i="5"/>
  <c r="S48" i="5"/>
  <c r="R48" i="5"/>
  <c r="R531" i="5"/>
  <c r="S531" i="5"/>
  <c r="S217" i="5"/>
  <c r="R217" i="5"/>
  <c r="R331" i="5"/>
  <c r="S331" i="5"/>
  <c r="S24" i="5"/>
  <c r="R24" i="5"/>
  <c r="S38" i="5"/>
  <c r="R38" i="5"/>
  <c r="S526" i="5"/>
  <c r="R526" i="5"/>
  <c r="R328" i="5"/>
  <c r="S328" i="5"/>
  <c r="R361" i="5"/>
  <c r="S361" i="5"/>
  <c r="R384" i="5"/>
  <c r="S384" i="5"/>
  <c r="R167" i="5"/>
  <c r="S167" i="5"/>
  <c r="R220" i="5"/>
  <c r="S220" i="5"/>
  <c r="R49" i="5"/>
  <c r="S49" i="5"/>
  <c r="S340" i="5"/>
  <c r="R340" i="5"/>
  <c r="R185" i="5"/>
  <c r="S185" i="5"/>
  <c r="R430" i="5"/>
  <c r="S312" i="5"/>
  <c r="S398" i="5"/>
  <c r="R555" i="5"/>
  <c r="S302" i="5"/>
  <c r="S488" i="5"/>
  <c r="R209" i="5"/>
  <c r="R251" i="5"/>
  <c r="R320" i="5"/>
  <c r="R163" i="5"/>
  <c r="S558" i="5"/>
  <c r="R85" i="5"/>
  <c r="R493" i="5"/>
  <c r="R21" i="5"/>
  <c r="AC49" i="5"/>
  <c r="AS49" i="5" s="1"/>
  <c r="AT49" i="5" s="1"/>
  <c r="AC438" i="5"/>
  <c r="AD438" i="5" s="1"/>
  <c r="AC155" i="5"/>
  <c r="AD155" i="5" s="1"/>
  <c r="AC327" i="5"/>
  <c r="AD327" i="5" s="1"/>
  <c r="AC488" i="5"/>
  <c r="AE488" i="5" s="1"/>
  <c r="R476" i="5"/>
  <c r="R507" i="5"/>
  <c r="S327" i="5"/>
  <c r="R222" i="5"/>
  <c r="R318" i="5"/>
  <c r="S132" i="5"/>
  <c r="R87" i="5"/>
  <c r="R375" i="5"/>
  <c r="S315" i="5"/>
  <c r="S171" i="5"/>
  <c r="R12" i="5"/>
  <c r="S294" i="5"/>
  <c r="AC415" i="5"/>
  <c r="AE415" i="5" s="1"/>
  <c r="AC379" i="5"/>
  <c r="AE379" i="5" s="1"/>
  <c r="AC384" i="5"/>
  <c r="AS384" i="5" s="1"/>
  <c r="AT384" i="5" s="1"/>
  <c r="AC493" i="5"/>
  <c r="AS493" i="5" s="1"/>
  <c r="AT493" i="5" s="1"/>
  <c r="AC12" i="5"/>
  <c r="AD12" i="5" s="1"/>
  <c r="AC320" i="5"/>
  <c r="AE320" i="5" s="1"/>
  <c r="AC85" i="5"/>
  <c r="AE85" i="5" s="1"/>
  <c r="S31" i="5"/>
  <c r="AC398" i="5"/>
  <c r="AS398" i="5" s="1"/>
  <c r="AC555" i="5"/>
  <c r="AD555" i="5" s="1"/>
  <c r="AC167" i="5"/>
  <c r="AD167" i="5" s="1"/>
  <c r="AC223" i="5"/>
  <c r="AS223" i="5" s="1"/>
  <c r="AT223" i="5" s="1"/>
  <c r="AC237" i="5"/>
  <c r="AD237" i="5" s="1"/>
  <c r="AC163" i="5"/>
  <c r="AE163" i="5" s="1"/>
  <c r="AC406" i="5"/>
  <c r="AE406" i="5" s="1"/>
  <c r="AC557" i="5"/>
  <c r="AS557" i="5" s="1"/>
  <c r="AT557" i="5" s="1"/>
  <c r="AC298" i="5"/>
  <c r="AE298" i="5" s="1"/>
  <c r="AC511" i="5"/>
  <c r="AD511" i="5" s="1"/>
  <c r="AC135" i="5"/>
  <c r="AD135" i="5" s="1"/>
  <c r="AC385" i="5"/>
  <c r="AE385" i="5" s="1"/>
  <c r="AC122" i="5"/>
  <c r="AS122" i="5" s="1"/>
  <c r="AC184" i="5"/>
  <c r="AS184" i="5" s="1"/>
  <c r="AU184" i="5" s="1"/>
  <c r="AC41" i="5"/>
  <c r="AE41" i="5" s="1"/>
  <c r="AC312" i="5"/>
  <c r="AE312" i="5" s="1"/>
  <c r="AC377" i="5"/>
  <c r="AD377" i="5" s="1"/>
  <c r="AC510" i="5"/>
  <c r="AS510" i="5" s="1"/>
  <c r="AU510" i="5" s="1"/>
  <c r="AC353" i="5"/>
  <c r="AS353" i="5" s="1"/>
  <c r="AU353" i="5" s="1"/>
  <c r="AC348" i="5"/>
  <c r="AD348" i="5" s="1"/>
  <c r="AC231" i="5"/>
  <c r="AS231" i="5" s="1"/>
  <c r="AT231" i="5" s="1"/>
  <c r="AC535" i="5"/>
  <c r="AD535" i="5" s="1"/>
  <c r="AC182" i="5"/>
  <c r="AS182" i="5" s="1"/>
  <c r="AT182" i="5" s="1"/>
  <c r="AC542" i="5"/>
  <c r="AE542" i="5" s="1"/>
  <c r="AC338" i="5"/>
  <c r="AS338" i="5" s="1"/>
  <c r="AU338" i="5" s="1"/>
  <c r="AC31" i="5"/>
  <c r="AD31" i="5" s="1"/>
  <c r="AC390" i="5"/>
  <c r="AD390" i="5" s="1"/>
  <c r="AC401" i="5"/>
  <c r="AE401" i="5" s="1"/>
  <c r="AC82" i="5"/>
  <c r="AE82" i="5" s="1"/>
  <c r="AC63" i="5"/>
  <c r="AS63" i="5" s="1"/>
  <c r="AU63" i="5" s="1"/>
  <c r="AC161" i="5"/>
  <c r="AE161" i="5" s="1"/>
  <c r="AC507" i="5"/>
  <c r="AD507" i="5" s="1"/>
  <c r="AC91" i="5"/>
  <c r="AD91" i="5" s="1"/>
  <c r="AC402" i="5"/>
  <c r="AE402" i="5" s="1"/>
  <c r="AC479" i="5"/>
  <c r="AS479" i="5" s="1"/>
  <c r="AT479" i="5" s="1"/>
  <c r="AC304" i="5"/>
  <c r="AE304" i="5" s="1"/>
  <c r="AC225" i="5"/>
  <c r="AD225" i="5" s="1"/>
  <c r="AC40" i="5"/>
  <c r="AE40" i="5" s="1"/>
  <c r="AC185" i="5"/>
  <c r="AD185" i="5" s="1"/>
  <c r="AC24" i="5"/>
  <c r="AD24" i="5" s="1"/>
  <c r="AC140" i="5"/>
  <c r="AD140" i="5" s="1"/>
  <c r="AC396" i="5"/>
  <c r="AE396" i="5" s="1"/>
  <c r="AC132" i="5"/>
  <c r="AE132" i="5" s="1"/>
  <c r="AC521" i="5"/>
  <c r="AE521" i="5" s="1"/>
  <c r="AC299" i="5"/>
  <c r="AS299" i="5" s="1"/>
  <c r="AT299" i="5" s="1"/>
  <c r="AC414" i="5"/>
  <c r="AD414" i="5" s="1"/>
  <c r="AC427" i="5"/>
  <c r="AE427" i="5" s="1"/>
  <c r="AC345" i="5"/>
  <c r="AD345" i="5" s="1"/>
  <c r="AC506" i="5"/>
  <c r="AS506" i="5" s="1"/>
  <c r="AU506" i="5" s="1"/>
  <c r="AC92" i="5"/>
  <c r="AE92" i="5" s="1"/>
  <c r="AC302" i="5"/>
  <c r="AD302" i="5" s="1"/>
  <c r="AC343" i="5"/>
  <c r="AD343" i="5" s="1"/>
  <c r="AC211" i="5"/>
  <c r="AD211" i="5" s="1"/>
  <c r="AC233" i="5"/>
  <c r="AE233" i="5" s="1"/>
  <c r="AC430" i="5"/>
  <c r="AS430" i="5" s="1"/>
  <c r="AU430" i="5" s="1"/>
  <c r="S424" i="5"/>
  <c r="R424" i="5"/>
  <c r="R43" i="5"/>
  <c r="S43" i="5"/>
  <c r="AC101" i="5"/>
  <c r="AE101" i="5" s="1"/>
  <c r="AC517" i="5"/>
  <c r="AS517" i="5" s="1"/>
  <c r="AU517" i="5" s="1"/>
  <c r="R505" i="5"/>
  <c r="S517" i="5"/>
  <c r="AC551" i="5"/>
  <c r="AD551" i="5" s="1"/>
  <c r="AC20" i="5"/>
  <c r="AD20" i="5" s="1"/>
  <c r="AC159" i="5"/>
  <c r="AD159" i="5" s="1"/>
  <c r="S199" i="5"/>
  <c r="S537" i="5"/>
  <c r="R159" i="5"/>
  <c r="S559" i="5"/>
  <c r="AC559" i="5"/>
  <c r="AD559" i="5" s="1"/>
  <c r="R425" i="5"/>
  <c r="S524" i="5"/>
  <c r="AC524" i="5"/>
  <c r="AD524" i="5" s="1"/>
  <c r="AC505" i="5"/>
  <c r="AD505" i="5" s="1"/>
  <c r="AC55" i="5"/>
  <c r="AD55" i="5" s="1"/>
  <c r="S551" i="5"/>
  <c r="AC538" i="5"/>
  <c r="AS538" i="5" s="1"/>
  <c r="AU538" i="5" s="1"/>
  <c r="R46" i="5"/>
  <c r="S538" i="5"/>
  <c r="S55" i="5"/>
  <c r="S419" i="5"/>
  <c r="AC46" i="5"/>
  <c r="AS46" i="5" s="1"/>
  <c r="AT46" i="5" s="1"/>
  <c r="AC419" i="5"/>
  <c r="AD419" i="5" s="1"/>
  <c r="S332" i="5"/>
  <c r="R359" i="5"/>
  <c r="R291" i="5"/>
  <c r="R376" i="5"/>
  <c r="AC344" i="5"/>
  <c r="AS344" i="5" s="1"/>
  <c r="AU344" i="5" s="1"/>
  <c r="S344" i="5"/>
  <c r="R164" i="5"/>
  <c r="AC164" i="5"/>
  <c r="AD164" i="5" s="1"/>
  <c r="AC134" i="5"/>
  <c r="AS134" i="5" s="1"/>
  <c r="AU134" i="5" s="1"/>
  <c r="AC218" i="5"/>
  <c r="AS218" i="5" s="1"/>
  <c r="AT218" i="5" s="1"/>
  <c r="AC197" i="5"/>
  <c r="AD197" i="5" s="1"/>
  <c r="AC249" i="5"/>
  <c r="AS249" i="5" s="1"/>
  <c r="AT249" i="5" s="1"/>
  <c r="AC376" i="5"/>
  <c r="AD376" i="5" s="1"/>
  <c r="S249" i="5"/>
  <c r="R134" i="5"/>
  <c r="R56" i="5"/>
  <c r="S88" i="5"/>
  <c r="S218" i="5"/>
  <c r="S191" i="5"/>
  <c r="AC537" i="5"/>
  <c r="AD537" i="5" s="1"/>
  <c r="AC291" i="5"/>
  <c r="AE291" i="5" s="1"/>
  <c r="S539" i="5"/>
  <c r="S158" i="5"/>
  <c r="R480" i="5"/>
  <c r="AC301" i="5"/>
  <c r="AS301" i="5" s="1"/>
  <c r="AT301" i="5" s="1"/>
  <c r="AC158" i="5"/>
  <c r="AE158" i="5" s="1"/>
  <c r="AC468" i="5"/>
  <c r="AS468" i="5" s="1"/>
  <c r="AT468" i="5" s="1"/>
  <c r="AC56" i="5"/>
  <c r="AE56" i="5" s="1"/>
  <c r="R224" i="5"/>
  <c r="AC224" i="5"/>
  <c r="AD224" i="5" s="1"/>
  <c r="AC409" i="5"/>
  <c r="AE409" i="5" s="1"/>
  <c r="R409" i="5"/>
  <c r="K113" i="2"/>
  <c r="R197" i="5"/>
  <c r="R301" i="5"/>
  <c r="R364" i="5"/>
  <c r="B99" i="2"/>
  <c r="B105" i="2" s="1"/>
  <c r="B107" i="2" s="1"/>
  <c r="H33" i="1" s="1"/>
  <c r="H31" i="1"/>
  <c r="Z17" i="4"/>
  <c r="AA17" i="4" s="1"/>
  <c r="Z130" i="4"/>
  <c r="Z154" i="4"/>
  <c r="Z152" i="4"/>
  <c r="Z120" i="4"/>
  <c r="AA120" i="4" s="1"/>
  <c r="Z155" i="4"/>
  <c r="AA155" i="4" s="1"/>
  <c r="Z46" i="4"/>
  <c r="Z56" i="4"/>
  <c r="Z54" i="4"/>
  <c r="Z139" i="4"/>
  <c r="AA139" i="4" s="1"/>
  <c r="Z16" i="4"/>
  <c r="AA16" i="4" s="1"/>
  <c r="Z62" i="4"/>
  <c r="Z68" i="4"/>
  <c r="AA68" i="4" s="1"/>
  <c r="Z89" i="4"/>
  <c r="AA89" i="4" s="1"/>
  <c r="Z72" i="4"/>
  <c r="AA72" i="4" s="1"/>
  <c r="Z133" i="4"/>
  <c r="Z135" i="4"/>
  <c r="AA135" i="4" s="1"/>
  <c r="Z34" i="4"/>
  <c r="AA34" i="4" s="1"/>
  <c r="Z37" i="4"/>
  <c r="Z150" i="4"/>
  <c r="Z76" i="4"/>
  <c r="AA76" i="4" s="1"/>
  <c r="Z69" i="4"/>
  <c r="Z116" i="4"/>
  <c r="Z10" i="4"/>
  <c r="AA10" i="4" s="1"/>
  <c r="Z41" i="4"/>
  <c r="Z107" i="4"/>
  <c r="AA107" i="4" s="1"/>
  <c r="Z109" i="4"/>
  <c r="AA109" i="4" s="1"/>
  <c r="Z91" i="4"/>
  <c r="Z142" i="4"/>
  <c r="Z87" i="4"/>
  <c r="AA87" i="4" s="1"/>
  <c r="Z29" i="4"/>
  <c r="AA29" i="4" s="1"/>
  <c r="Z95" i="4"/>
  <c r="AA95" i="4" s="1"/>
  <c r="Z99" i="4"/>
  <c r="AA99" i="4" s="1"/>
  <c r="Z55" i="4"/>
  <c r="AA55" i="4" s="1"/>
  <c r="Z57" i="4"/>
  <c r="AA57" i="4" s="1"/>
  <c r="Z25" i="4"/>
  <c r="AA25" i="4" s="1"/>
  <c r="Z105" i="4"/>
  <c r="AA105" i="4" s="1"/>
  <c r="Z104" i="4"/>
  <c r="Z83" i="4"/>
  <c r="AA83" i="4" s="1"/>
  <c r="Z58" i="4"/>
  <c r="AA58" i="4" s="1"/>
  <c r="Z31" i="4"/>
  <c r="AA31" i="4" s="1"/>
  <c r="Z45" i="4"/>
  <c r="AA45" i="4" s="1"/>
  <c r="Z75" i="4"/>
  <c r="Z39" i="4"/>
  <c r="Z79" i="4"/>
  <c r="Z49" i="4"/>
  <c r="Z33" i="4"/>
  <c r="AA33" i="4" s="1"/>
  <c r="AU447" i="5"/>
  <c r="AD447" i="5"/>
  <c r="AE447" i="5"/>
  <c r="AE497" i="5"/>
  <c r="AD44" i="5"/>
  <c r="AS44" i="5"/>
  <c r="AT44" i="5" s="1"/>
  <c r="AE323" i="5"/>
  <c r="AD508" i="5"/>
  <c r="AS58" i="5"/>
  <c r="AT58" i="5" s="1"/>
  <c r="AE487" i="5"/>
  <c r="AS487" i="5"/>
  <c r="AT487" i="5" s="1"/>
  <c r="AD58" i="5"/>
  <c r="AE34" i="5"/>
  <c r="AE375" i="5"/>
  <c r="AE498" i="5"/>
  <c r="AS186" i="5"/>
  <c r="AT186" i="5" s="1"/>
  <c r="AT152" i="5"/>
  <c r="AT498" i="5"/>
  <c r="AD186" i="5"/>
  <c r="AS375" i="5"/>
  <c r="AU375" i="5" s="1"/>
  <c r="AE152" i="5"/>
  <c r="AE289" i="5"/>
  <c r="AD150" i="5"/>
  <c r="AD152" i="5"/>
  <c r="AD498" i="5"/>
  <c r="AU512" i="5"/>
  <c r="AD512" i="5"/>
  <c r="AS148" i="5"/>
  <c r="AT148" i="5" s="1"/>
  <c r="AS34" i="5"/>
  <c r="AT34" i="5" s="1"/>
  <c r="AU412" i="5"/>
  <c r="AC9" i="5"/>
  <c r="AD9" i="5" s="1"/>
  <c r="AU146" i="5"/>
  <c r="AS497" i="5"/>
  <c r="AU497" i="5" s="1"/>
  <c r="AE512" i="5"/>
  <c r="AE508" i="5"/>
  <c r="AE412" i="5"/>
  <c r="AD412" i="5"/>
  <c r="AS323" i="5"/>
  <c r="AU323" i="5" s="1"/>
  <c r="AN9" i="5"/>
  <c r="AO9" i="5"/>
  <c r="AS150" i="5"/>
  <c r="AU150" i="5" s="1"/>
  <c r="AS289" i="5"/>
  <c r="AU289" i="5" s="1"/>
  <c r="X9" i="5"/>
  <c r="Y9" i="5"/>
  <c r="AD471" i="5"/>
  <c r="AE471" i="5"/>
  <c r="R9" i="5"/>
  <c r="S9" i="5"/>
  <c r="AI9" i="5"/>
  <c r="AH9" i="5"/>
  <c r="AP9" i="5"/>
  <c r="AU471" i="5"/>
  <c r="AB9" i="5"/>
  <c r="AA9" i="5"/>
  <c r="AK9" i="5"/>
  <c r="AL9" i="5"/>
  <c r="U9" i="5"/>
  <c r="V9" i="5"/>
  <c r="AS64" i="5"/>
  <c r="AU64" i="5" s="1"/>
  <c r="AU372" i="5"/>
  <c r="AE142" i="5"/>
  <c r="AD146" i="5"/>
  <c r="AE146" i="5"/>
  <c r="AD178" i="5"/>
  <c r="AD64" i="5"/>
  <c r="AE247" i="5"/>
  <c r="AS534" i="5"/>
  <c r="AT534" i="5" s="1"/>
  <c r="AD142" i="5"/>
  <c r="AE372" i="5"/>
  <c r="AD247" i="5"/>
  <c r="AS523" i="5"/>
  <c r="AU523" i="5" s="1"/>
  <c r="AT178" i="5"/>
  <c r="AE36" i="5"/>
  <c r="AT260" i="5"/>
  <c r="AE178" i="5"/>
  <c r="AD350" i="5"/>
  <c r="AE72" i="5"/>
  <c r="AS350" i="5"/>
  <c r="AT350" i="5" s="1"/>
  <c r="AE534" i="5"/>
  <c r="AS125" i="5"/>
  <c r="AU125" i="5" s="1"/>
  <c r="AD372" i="5"/>
  <c r="AS72" i="5"/>
  <c r="AD389" i="5"/>
  <c r="AS265" i="5"/>
  <c r="AT265" i="5" s="1"/>
  <c r="AD126" i="5"/>
  <c r="AS445" i="5"/>
  <c r="AT445" i="5" s="1"/>
  <c r="AS466" i="5"/>
  <c r="AT466" i="5" s="1"/>
  <c r="AT454" i="5"/>
  <c r="AE389" i="5"/>
  <c r="AD297" i="5"/>
  <c r="AD454" i="5"/>
  <c r="AD445" i="5"/>
  <c r="AE454" i="5"/>
  <c r="AD523" i="5"/>
  <c r="AD59" i="5"/>
  <c r="AE466" i="5"/>
  <c r="AS37" i="5"/>
  <c r="AU37" i="5" s="1"/>
  <c r="AS77" i="5"/>
  <c r="AT77" i="5" s="1"/>
  <c r="AS315" i="5"/>
  <c r="AU315" i="5" s="1"/>
  <c r="AD315" i="5"/>
  <c r="AS362" i="5"/>
  <c r="AT362" i="5" s="1"/>
  <c r="AE362" i="5"/>
  <c r="AE84" i="5"/>
  <c r="AS84" i="5"/>
  <c r="AT84" i="5" s="1"/>
  <c r="AD84" i="5"/>
  <c r="AD309" i="5"/>
  <c r="AE309" i="5"/>
  <c r="AS309" i="5"/>
  <c r="AT309" i="5" s="1"/>
  <c r="AS458" i="5"/>
  <c r="AU458" i="5" s="1"/>
  <c r="AD458" i="5"/>
  <c r="AE77" i="5"/>
  <c r="AS59" i="5"/>
  <c r="AT59" i="5" s="1"/>
  <c r="AD539" i="5"/>
  <c r="AS539" i="5"/>
  <c r="AE539" i="5"/>
  <c r="AE214" i="5"/>
  <c r="AE121" i="5"/>
  <c r="AS74" i="5"/>
  <c r="AT74" i="5" s="1"/>
  <c r="AE260" i="5"/>
  <c r="AS513" i="5"/>
  <c r="AU513" i="5" s="1"/>
  <c r="AE265" i="5"/>
  <c r="AE187" i="5"/>
  <c r="AD277" i="5"/>
  <c r="AD260" i="5"/>
  <c r="AD112" i="5"/>
  <c r="AS453" i="5"/>
  <c r="AT453" i="5" s="1"/>
  <c r="AS121" i="5"/>
  <c r="AT121" i="5" s="1"/>
  <c r="AD453" i="5"/>
  <c r="AS277" i="5"/>
  <c r="AT277" i="5" s="1"/>
  <c r="AD37" i="5"/>
  <c r="AU528" i="5"/>
  <c r="AE322" i="5"/>
  <c r="AS322" i="5"/>
  <c r="AT322" i="5" s="1"/>
  <c r="AD528" i="5"/>
  <c r="AS112" i="5"/>
  <c r="AT112" i="5" s="1"/>
  <c r="AE528" i="5"/>
  <c r="AE245" i="5"/>
  <c r="AD245" i="5"/>
  <c r="AU451" i="5"/>
  <c r="AS297" i="5"/>
  <c r="AT297" i="5" s="1"/>
  <c r="AU214" i="5"/>
  <c r="AD513" i="5"/>
  <c r="AD362" i="5"/>
  <c r="AD214" i="5"/>
  <c r="AS245" i="5"/>
  <c r="AU245" i="5" s="1"/>
  <c r="AE126" i="5"/>
  <c r="AS36" i="5"/>
  <c r="AT36" i="5" s="1"/>
  <c r="AS187" i="5"/>
  <c r="AT187" i="5" s="1"/>
  <c r="AD125" i="5"/>
  <c r="AE74" i="5"/>
  <c r="AE124" i="5"/>
  <c r="AS124" i="5"/>
  <c r="AT124" i="5" s="1"/>
  <c r="AE451" i="5"/>
  <c r="AE404" i="5"/>
  <c r="AD451" i="5"/>
  <c r="AE476" i="5"/>
  <c r="AS476" i="5"/>
  <c r="AS404" i="5"/>
  <c r="AT404" i="5" s="1"/>
  <c r="AU389" i="5"/>
  <c r="AT389" i="5"/>
  <c r="AT126" i="5"/>
  <c r="AU126" i="5"/>
  <c r="AU142" i="5"/>
  <c r="AT142" i="5"/>
  <c r="AT247" i="5"/>
  <c r="AU247" i="5"/>
  <c r="AU508" i="5"/>
  <c r="AT508" i="5"/>
  <c r="AT144" i="5" l="1"/>
  <c r="AE144" i="5"/>
  <c r="AD144" i="5"/>
  <c r="AV395" i="10"/>
  <c r="AD80" i="5"/>
  <c r="AD148" i="5"/>
  <c r="AV274" i="10"/>
  <c r="AE274" i="10"/>
  <c r="AE395" i="10"/>
  <c r="AS80" i="5"/>
  <c r="AT8" i="5"/>
  <c r="AD8" i="5"/>
  <c r="B255" i="2" s="1"/>
  <c r="B256" i="2" s="1"/>
  <c r="B257" i="2" s="1"/>
  <c r="F86" i="1" s="1"/>
  <c r="AE8" i="5"/>
  <c r="AS316" i="5"/>
  <c r="AT316" i="5" s="1"/>
  <c r="AE316" i="5"/>
  <c r="AD185" i="10"/>
  <c r="AE185" i="10"/>
  <c r="AX326" i="10"/>
  <c r="AE326" i="10"/>
  <c r="AD326" i="10"/>
  <c r="AV440" i="10"/>
  <c r="AW440" i="10" s="1"/>
  <c r="AE108" i="5"/>
  <c r="AE54" i="10"/>
  <c r="AS509" i="5"/>
  <c r="AT509" i="5" s="1"/>
  <c r="AD108" i="5"/>
  <c r="AD54" i="10"/>
  <c r="AD526" i="5"/>
  <c r="AS399" i="5"/>
  <c r="AU399" i="5" s="1"/>
  <c r="AD399" i="5"/>
  <c r="AS526" i="5"/>
  <c r="AU526" i="5" s="1"/>
  <c r="AE509" i="5"/>
  <c r="AD28" i="10"/>
  <c r="AV28" i="10"/>
  <c r="AX28" i="10" s="1"/>
  <c r="AT108" i="5"/>
  <c r="AD440" i="10"/>
  <c r="AE200" i="10"/>
  <c r="AD211" i="10"/>
  <c r="AD242" i="10"/>
  <c r="AV53" i="10"/>
  <c r="AT258" i="5"/>
  <c r="AD53" i="10"/>
  <c r="AT151" i="5"/>
  <c r="AD258" i="5"/>
  <c r="AD250" i="10"/>
  <c r="AV250" i="10"/>
  <c r="AX250" i="10" s="1"/>
  <c r="AD151" i="5"/>
  <c r="AE151" i="5"/>
  <c r="AE258" i="5"/>
  <c r="AS556" i="5"/>
  <c r="AT556" i="5" s="1"/>
  <c r="AV160" i="10"/>
  <c r="AW160" i="10" s="1"/>
  <c r="AE498" i="10"/>
  <c r="AV200" i="10"/>
  <c r="AW200" i="10" s="1"/>
  <c r="AE211" i="10"/>
  <c r="AD45" i="5"/>
  <c r="AS45" i="5"/>
  <c r="AT45" i="5" s="1"/>
  <c r="AV242" i="10"/>
  <c r="AX242" i="10" s="1"/>
  <c r="AV69" i="10"/>
  <c r="AW69" i="10" s="1"/>
  <c r="AD498" i="10"/>
  <c r="AD556" i="5"/>
  <c r="AE69" i="10"/>
  <c r="AE160" i="10"/>
  <c r="AO153" i="4"/>
  <c r="AN153" i="4" s="1"/>
  <c r="AV164" i="10"/>
  <c r="AW164" i="10" s="1"/>
  <c r="AD548" i="10"/>
  <c r="AV548" i="10"/>
  <c r="AW548" i="10" s="1"/>
  <c r="AV534" i="10"/>
  <c r="AW534" i="10" s="1"/>
  <c r="AE248" i="10"/>
  <c r="AV465" i="10"/>
  <c r="AX465" i="10" s="1"/>
  <c r="AD534" i="10"/>
  <c r="BN64" i="4"/>
  <c r="AI64" i="4"/>
  <c r="AI156" i="4"/>
  <c r="AI143" i="4"/>
  <c r="AI145" i="4"/>
  <c r="BN52" i="4"/>
  <c r="AI52" i="4"/>
  <c r="AI126" i="4"/>
  <c r="AI91" i="4"/>
  <c r="BN46" i="4"/>
  <c r="AI46" i="4"/>
  <c r="AI81" i="4"/>
  <c r="BN26" i="4"/>
  <c r="AI26" i="4"/>
  <c r="AI124" i="4"/>
  <c r="AI149" i="4"/>
  <c r="AI116" i="4"/>
  <c r="AI123" i="4"/>
  <c r="BN69" i="4"/>
  <c r="AI69" i="4"/>
  <c r="BN41" i="4"/>
  <c r="AI41" i="4"/>
  <c r="AI142" i="4"/>
  <c r="AI150" i="4"/>
  <c r="AI106" i="4"/>
  <c r="BN21" i="4"/>
  <c r="AI21" i="4"/>
  <c r="BN79" i="4"/>
  <c r="AI79" i="4"/>
  <c r="BN48" i="4"/>
  <c r="AI48" i="4"/>
  <c r="AI117" i="4"/>
  <c r="AI104" i="4"/>
  <c r="BN65" i="4"/>
  <c r="AI65" i="4"/>
  <c r="AI130" i="4"/>
  <c r="BN39" i="4"/>
  <c r="AI39" i="4"/>
  <c r="AI97" i="4"/>
  <c r="AI140" i="4"/>
  <c r="AI136" i="4"/>
  <c r="BN54" i="4"/>
  <c r="AI54" i="4"/>
  <c r="BN19" i="4"/>
  <c r="AI19" i="4"/>
  <c r="AI146" i="4"/>
  <c r="AI154" i="4"/>
  <c r="BN47" i="4"/>
  <c r="AI47" i="4"/>
  <c r="AI110" i="4"/>
  <c r="AI118" i="4"/>
  <c r="AI157" i="4"/>
  <c r="BN32" i="4"/>
  <c r="AI32" i="4"/>
  <c r="BN49" i="4"/>
  <c r="AI49" i="4"/>
  <c r="BN24" i="4"/>
  <c r="AI24" i="4"/>
  <c r="AI113" i="4"/>
  <c r="AI137" i="4"/>
  <c r="AI82" i="4"/>
  <c r="AI148" i="4"/>
  <c r="AI90" i="4"/>
  <c r="AI108" i="4"/>
  <c r="BN75" i="4"/>
  <c r="AI75" i="4"/>
  <c r="AI94" i="4"/>
  <c r="BN56" i="4"/>
  <c r="AI56" i="4"/>
  <c r="AI111" i="4"/>
  <c r="BI133" i="4"/>
  <c r="AI133" i="4"/>
  <c r="BN67" i="4"/>
  <c r="AI67" i="4"/>
  <c r="AI112" i="4"/>
  <c r="BN62" i="4"/>
  <c r="AI62" i="4"/>
  <c r="AA62" i="4"/>
  <c r="AB62" i="4" s="1"/>
  <c r="BU62" i="4" s="1"/>
  <c r="AP62" i="4"/>
  <c r="AO62" i="4" s="1"/>
  <c r="AN62" i="4" s="1"/>
  <c r="BI62" i="4"/>
  <c r="AP112" i="4"/>
  <c r="AO112" i="4" s="1"/>
  <c r="AA112" i="4"/>
  <c r="AB112" i="4" s="1"/>
  <c r="BU112" i="4" s="1"/>
  <c r="AP67" i="4"/>
  <c r="AO67" i="4" s="1"/>
  <c r="BI8" i="4"/>
  <c r="BI132" i="4"/>
  <c r="BI120" i="4"/>
  <c r="BI30" i="4"/>
  <c r="AA133" i="4"/>
  <c r="AB133" i="4" s="1"/>
  <c r="BU133" i="4" s="1"/>
  <c r="BI119" i="4"/>
  <c r="BI80" i="4"/>
  <c r="AA67" i="4"/>
  <c r="AB67" i="4" s="1"/>
  <c r="BU67" i="4" s="1"/>
  <c r="BI42" i="4"/>
  <c r="BI33" i="4"/>
  <c r="BI38" i="4"/>
  <c r="BI107" i="4"/>
  <c r="AP102" i="4"/>
  <c r="AO102" i="4" s="1"/>
  <c r="AN102" i="4" s="1"/>
  <c r="AP133" i="4"/>
  <c r="AP122" i="4"/>
  <c r="AP59" i="4"/>
  <c r="AO59" i="4" s="1"/>
  <c r="AN59" i="4" s="1"/>
  <c r="BN59" i="4"/>
  <c r="AP37" i="4"/>
  <c r="AO37" i="4" s="1"/>
  <c r="AQ37" i="4" s="1"/>
  <c r="AR37" i="4" s="1"/>
  <c r="BN37" i="4"/>
  <c r="BI99" i="4"/>
  <c r="AA37" i="4"/>
  <c r="AB37" i="4" s="1"/>
  <c r="BI67" i="4"/>
  <c r="AA39" i="4"/>
  <c r="BI153" i="4"/>
  <c r="AA59" i="4"/>
  <c r="BI93" i="4"/>
  <c r="BI13" i="4"/>
  <c r="AA41" i="4"/>
  <c r="AB41" i="4" s="1"/>
  <c r="BI43" i="4"/>
  <c r="BI73" i="4"/>
  <c r="BI44" i="4"/>
  <c r="BI138" i="4"/>
  <c r="AA152" i="4"/>
  <c r="AB152" i="4" s="1"/>
  <c r="BU152" i="4" s="1"/>
  <c r="AP152" i="4"/>
  <c r="BI144" i="4"/>
  <c r="AQ107" i="4"/>
  <c r="AR107" i="4" s="1"/>
  <c r="AS107" i="4" s="1"/>
  <c r="AP56" i="4"/>
  <c r="AO56" i="4" s="1"/>
  <c r="AQ56" i="4" s="1"/>
  <c r="AR56" i="4" s="1"/>
  <c r="AP97" i="4"/>
  <c r="AO97" i="4" s="1"/>
  <c r="BI70" i="4"/>
  <c r="BI29" i="4"/>
  <c r="AA154" i="4"/>
  <c r="AB154" i="4" s="1"/>
  <c r="BU154" i="4" s="1"/>
  <c r="AP41" i="4"/>
  <c r="AO41" i="4" s="1"/>
  <c r="AP69" i="4"/>
  <c r="AO69" i="4" s="1"/>
  <c r="BI131" i="4"/>
  <c r="BI125" i="4"/>
  <c r="BI40" i="4"/>
  <c r="BI88" i="4"/>
  <c r="BI103" i="4"/>
  <c r="AP150" i="4"/>
  <c r="AP154" i="4"/>
  <c r="AP39" i="4"/>
  <c r="AO39" i="4" s="1"/>
  <c r="AP126" i="4"/>
  <c r="AP91" i="4"/>
  <c r="AO91" i="4" s="1"/>
  <c r="AN91" i="4" s="1"/>
  <c r="AA126" i="4"/>
  <c r="AA150" i="4"/>
  <c r="AB150" i="4" s="1"/>
  <c r="BU150" i="4" s="1"/>
  <c r="AA56" i="4"/>
  <c r="AB56" i="4" s="1"/>
  <c r="AA97" i="4"/>
  <c r="AB97" i="4" s="1"/>
  <c r="BU97" i="4" s="1"/>
  <c r="AA111" i="4"/>
  <c r="AP111" i="4"/>
  <c r="AO111" i="4" s="1"/>
  <c r="AQ111" i="4" s="1"/>
  <c r="AR111" i="4" s="1"/>
  <c r="BI14" i="4"/>
  <c r="BI66" i="4"/>
  <c r="BI89" i="4"/>
  <c r="BI76" i="4"/>
  <c r="BI121" i="4"/>
  <c r="BI83" i="4"/>
  <c r="BI22" i="4"/>
  <c r="BI134" i="4"/>
  <c r="BI17" i="4"/>
  <c r="BI155" i="4"/>
  <c r="BI87" i="4"/>
  <c r="BI20" i="4"/>
  <c r="AO61" i="4"/>
  <c r="AO23" i="4"/>
  <c r="AO42" i="4"/>
  <c r="AQ42" i="4" s="1"/>
  <c r="AR42" i="4" s="1"/>
  <c r="BI52" i="4"/>
  <c r="BI108" i="4"/>
  <c r="AA142" i="4"/>
  <c r="AB142" i="4" s="1"/>
  <c r="BU142" i="4" s="1"/>
  <c r="AA91" i="4"/>
  <c r="AB91" i="4" s="1"/>
  <c r="BI81" i="4"/>
  <c r="BI24" i="4"/>
  <c r="BI113" i="4"/>
  <c r="AO8" i="4"/>
  <c r="AO35" i="4"/>
  <c r="AQ35" i="4" s="1"/>
  <c r="AR35" i="4" s="1"/>
  <c r="AO139" i="4"/>
  <c r="AN139" i="4" s="1"/>
  <c r="AO73" i="4"/>
  <c r="AO30" i="4"/>
  <c r="AO66" i="4"/>
  <c r="AQ66" i="4" s="1"/>
  <c r="AR66" i="4" s="1"/>
  <c r="AO38" i="4"/>
  <c r="AO119" i="4"/>
  <c r="AO125" i="4"/>
  <c r="AQ125" i="4" s="1"/>
  <c r="AR125" i="4" s="1"/>
  <c r="AO131" i="4"/>
  <c r="AO12" i="4"/>
  <c r="AO103" i="4"/>
  <c r="AO115" i="4"/>
  <c r="AQ115" i="4" s="1"/>
  <c r="AR115" i="4" s="1"/>
  <c r="AO70" i="4"/>
  <c r="BI75" i="4"/>
  <c r="BI109" i="4"/>
  <c r="BI141" i="4"/>
  <c r="BI15" i="4"/>
  <c r="BI105" i="4"/>
  <c r="BI36" i="4"/>
  <c r="BI27" i="4"/>
  <c r="BI53" i="4"/>
  <c r="BI106" i="4"/>
  <c r="BI110" i="4"/>
  <c r="BI65" i="4"/>
  <c r="AO121" i="4"/>
  <c r="AO147" i="4"/>
  <c r="AQ147" i="4" s="1"/>
  <c r="AR147" i="4" s="1"/>
  <c r="AO16" i="4"/>
  <c r="AO9" i="4"/>
  <c r="AN9" i="4" s="1"/>
  <c r="AO138" i="4"/>
  <c r="AQ138" i="4" s="1"/>
  <c r="AR138" i="4" s="1"/>
  <c r="AO50" i="4"/>
  <c r="AO127" i="4"/>
  <c r="AO105" i="4"/>
  <c r="AQ105" i="4" s="1"/>
  <c r="AR105" i="4" s="1"/>
  <c r="AO25" i="4"/>
  <c r="AO135" i="4"/>
  <c r="AN135" i="4" s="1"/>
  <c r="AO72" i="4"/>
  <c r="AN72" i="4" s="1"/>
  <c r="AO15" i="4"/>
  <c r="AO34" i="4"/>
  <c r="AO109" i="4"/>
  <c r="AO77" i="4"/>
  <c r="AQ77" i="4" s="1"/>
  <c r="AR77" i="4" s="1"/>
  <c r="AP142" i="4"/>
  <c r="BI39" i="4"/>
  <c r="AO20" i="4"/>
  <c r="AQ20" i="4" s="1"/>
  <c r="AR20" i="4" s="1"/>
  <c r="AO33" i="4"/>
  <c r="AQ33" i="4" s="1"/>
  <c r="AR33" i="4" s="1"/>
  <c r="AO85" i="4"/>
  <c r="AQ85" i="4" s="1"/>
  <c r="AR85" i="4" s="1"/>
  <c r="AO88" i="4"/>
  <c r="BI94" i="4"/>
  <c r="BI102" i="4"/>
  <c r="BI47" i="4"/>
  <c r="BI46" i="4"/>
  <c r="BI146" i="4"/>
  <c r="AO101" i="4"/>
  <c r="AN101" i="4" s="1"/>
  <c r="AO43" i="4"/>
  <c r="AO51" i="4"/>
  <c r="AO29" i="4"/>
  <c r="AO27" i="4"/>
  <c r="AO144" i="4"/>
  <c r="AO31" i="4"/>
  <c r="AO76" i="4"/>
  <c r="AO89" i="4"/>
  <c r="AO84" i="4"/>
  <c r="AN84" i="4" s="1"/>
  <c r="AO11" i="4"/>
  <c r="AQ11" i="4" s="1"/>
  <c r="AR11" i="4" s="1"/>
  <c r="AO93" i="4"/>
  <c r="AO17" i="4"/>
  <c r="AO155" i="4"/>
  <c r="AN155" i="4" s="1"/>
  <c r="AO57" i="4"/>
  <c r="AO13" i="4"/>
  <c r="AQ13" i="4" s="1"/>
  <c r="AR13" i="4" s="1"/>
  <c r="AO141" i="4"/>
  <c r="AO45" i="4"/>
  <c r="AQ45" i="4" s="1"/>
  <c r="AR45" i="4" s="1"/>
  <c r="AO151" i="4"/>
  <c r="BI116" i="4"/>
  <c r="BI56" i="4"/>
  <c r="BI79" i="4"/>
  <c r="BI118" i="4"/>
  <c r="AO58" i="4"/>
  <c r="AO129" i="4"/>
  <c r="AQ129" i="4" s="1"/>
  <c r="AR129" i="4" s="1"/>
  <c r="AO53" i="4"/>
  <c r="AO80" i="4"/>
  <c r="AO55" i="4"/>
  <c r="AN55" i="4" s="1"/>
  <c r="AO63" i="4"/>
  <c r="AA69" i="4"/>
  <c r="AB69" i="4" s="1"/>
  <c r="BU69" i="4" s="1"/>
  <c r="AA140" i="4"/>
  <c r="AA94" i="4"/>
  <c r="AP140" i="4"/>
  <c r="AP94" i="4"/>
  <c r="AO94" i="4" s="1"/>
  <c r="AA122" i="4"/>
  <c r="AP90" i="4"/>
  <c r="AO90" i="4" s="1"/>
  <c r="AA102" i="4"/>
  <c r="AA130" i="4"/>
  <c r="AB130" i="4" s="1"/>
  <c r="AA108" i="4"/>
  <c r="AB108" i="4" s="1"/>
  <c r="BU108" i="4" s="1"/>
  <c r="AP75" i="4"/>
  <c r="AO75" i="4" s="1"/>
  <c r="AP130" i="4"/>
  <c r="AP108" i="4"/>
  <c r="AA75" i="4"/>
  <c r="AB75" i="4" s="1"/>
  <c r="BU75" i="4" s="1"/>
  <c r="AP52" i="4"/>
  <c r="AO52" i="4" s="1"/>
  <c r="AA116" i="4"/>
  <c r="AB116" i="4" s="1"/>
  <c r="AA90" i="4"/>
  <c r="AB90" i="4" s="1"/>
  <c r="BU90" i="4" s="1"/>
  <c r="AA123" i="4"/>
  <c r="AB123" i="4" s="1"/>
  <c r="BU123" i="4" s="1"/>
  <c r="AB38" i="4"/>
  <c r="BU38" i="4" s="1"/>
  <c r="AP123" i="4"/>
  <c r="AP145" i="4"/>
  <c r="AA145" i="4"/>
  <c r="AB145" i="4" s="1"/>
  <c r="BU145" i="4" s="1"/>
  <c r="AA52" i="4"/>
  <c r="AB52" i="4" s="1"/>
  <c r="BU52" i="4" s="1"/>
  <c r="AP116" i="4"/>
  <c r="AP124" i="4"/>
  <c r="AP148" i="4"/>
  <c r="AP82" i="4"/>
  <c r="AO82" i="4" s="1"/>
  <c r="AP48" i="4"/>
  <c r="AO48" i="4" s="1"/>
  <c r="AP117" i="4"/>
  <c r="AP156" i="4"/>
  <c r="AP143" i="4"/>
  <c r="AB11" i="4"/>
  <c r="BU11" i="4" s="1"/>
  <c r="AB35" i="4"/>
  <c r="BU35" i="4" s="1"/>
  <c r="AB125" i="4"/>
  <c r="BU125" i="4" s="1"/>
  <c r="AB115" i="4"/>
  <c r="BU115" i="4" s="1"/>
  <c r="AP32" i="4"/>
  <c r="AO32" i="4" s="1"/>
  <c r="AP157" i="4"/>
  <c r="AP19" i="4"/>
  <c r="AN40" i="4"/>
  <c r="AQ40" i="4"/>
  <c r="AR40" i="4" s="1"/>
  <c r="AO100" i="4"/>
  <c r="AO92" i="4"/>
  <c r="AN36" i="4"/>
  <c r="AQ36" i="4"/>
  <c r="AR36" i="4" s="1"/>
  <c r="AO114" i="4"/>
  <c r="AO134" i="4"/>
  <c r="AQ28" i="4"/>
  <c r="AR28" i="4" s="1"/>
  <c r="AN28" i="4"/>
  <c r="AP81" i="4"/>
  <c r="AP24" i="4"/>
  <c r="AP113" i="4"/>
  <c r="AP137" i="4"/>
  <c r="AP149" i="4"/>
  <c r="AP47" i="4"/>
  <c r="AP46" i="4"/>
  <c r="AP64" i="4"/>
  <c r="AO64" i="4" s="1"/>
  <c r="AP136" i="4"/>
  <c r="AP110" i="4"/>
  <c r="AP104" i="4"/>
  <c r="AP65" i="4"/>
  <c r="AB28" i="4"/>
  <c r="BU28" i="4" s="1"/>
  <c r="AN18" i="4"/>
  <c r="AQ18" i="4"/>
  <c r="AR18" i="4" s="1"/>
  <c r="AQ99" i="4"/>
  <c r="AR99" i="4" s="1"/>
  <c r="AN99" i="4"/>
  <c r="AO128" i="4"/>
  <c r="AN78" i="4"/>
  <c r="AQ78" i="4"/>
  <c r="AR78" i="4" s="1"/>
  <c r="AN95" i="4"/>
  <c r="AQ95" i="4"/>
  <c r="AR95" i="4" s="1"/>
  <c r="AN14" i="4"/>
  <c r="AQ14" i="4"/>
  <c r="AR14" i="4" s="1"/>
  <c r="AQ120" i="4"/>
  <c r="AR120" i="4" s="1"/>
  <c r="AN120" i="4"/>
  <c r="AO96" i="4"/>
  <c r="AQ10" i="4"/>
  <c r="AR10" i="4" s="1"/>
  <c r="AN10" i="4"/>
  <c r="AQ68" i="4"/>
  <c r="AR68" i="4" s="1"/>
  <c r="AN68" i="4"/>
  <c r="AQ86" i="4"/>
  <c r="AR86" i="4" s="1"/>
  <c r="AN86" i="4"/>
  <c r="AN71" i="4"/>
  <c r="AQ71" i="4"/>
  <c r="AR71" i="4" s="1"/>
  <c r="AQ60" i="4"/>
  <c r="AR60" i="4" s="1"/>
  <c r="AN60" i="4"/>
  <c r="AQ98" i="4"/>
  <c r="AR98" i="4" s="1"/>
  <c r="AN98" i="4"/>
  <c r="AP106" i="4"/>
  <c r="AO106" i="4" s="1"/>
  <c r="AP21" i="4"/>
  <c r="AP49" i="4"/>
  <c r="AP146" i="4"/>
  <c r="AN22" i="4"/>
  <c r="AQ22" i="4"/>
  <c r="AR22" i="4" s="1"/>
  <c r="AN87" i="4"/>
  <c r="AQ87" i="4"/>
  <c r="AR87" i="4" s="1"/>
  <c r="AO44" i="4"/>
  <c r="AO132" i="4"/>
  <c r="AQ83" i="4"/>
  <c r="AR83" i="4" s="1"/>
  <c r="AN83" i="4"/>
  <c r="AN74" i="4"/>
  <c r="AQ74" i="4"/>
  <c r="AR74" i="4" s="1"/>
  <c r="AP79" i="4"/>
  <c r="AO79" i="4" s="1"/>
  <c r="AP26" i="4"/>
  <c r="AO26" i="4" s="1"/>
  <c r="AP118" i="4"/>
  <c r="AP54" i="4"/>
  <c r="AB138" i="4"/>
  <c r="BU138" i="4" s="1"/>
  <c r="AB103" i="4"/>
  <c r="BU103" i="4" s="1"/>
  <c r="AB121" i="4"/>
  <c r="BU121" i="4" s="1"/>
  <c r="AA82" i="4"/>
  <c r="AA124" i="4"/>
  <c r="AA148" i="4"/>
  <c r="AA48" i="4"/>
  <c r="AA117" i="4"/>
  <c r="AA157" i="4"/>
  <c r="AA156" i="4"/>
  <c r="AA143" i="4"/>
  <c r="AE446" i="5"/>
  <c r="AB63" i="4"/>
  <c r="BU63" i="4" s="1"/>
  <c r="AB129" i="4"/>
  <c r="BU129" i="4" s="1"/>
  <c r="AB18" i="4"/>
  <c r="BU18" i="4" s="1"/>
  <c r="AB23" i="4"/>
  <c r="BU23" i="4" s="1"/>
  <c r="AB93" i="4"/>
  <c r="BU93" i="4" s="1"/>
  <c r="AB101" i="4"/>
  <c r="BU101" i="4" s="1"/>
  <c r="AE471" i="10"/>
  <c r="AE203" i="10"/>
  <c r="AV219" i="10"/>
  <c r="AW219" i="10" s="1"/>
  <c r="AE373" i="10"/>
  <c r="AB55" i="4"/>
  <c r="AB87" i="4"/>
  <c r="AB45" i="4"/>
  <c r="AB58" i="4"/>
  <c r="AB25" i="4"/>
  <c r="AB95" i="4"/>
  <c r="AB89" i="4"/>
  <c r="AB139" i="4"/>
  <c r="BU139" i="4" s="1"/>
  <c r="AB155" i="4"/>
  <c r="BU155" i="4" s="1"/>
  <c r="AB73" i="4"/>
  <c r="BU73" i="4" s="1"/>
  <c r="AB131" i="4"/>
  <c r="BU131" i="4" s="1"/>
  <c r="AB36" i="4"/>
  <c r="BU36" i="4" s="1"/>
  <c r="AB151" i="4"/>
  <c r="BU151" i="4" s="1"/>
  <c r="AB70" i="4"/>
  <c r="BU70" i="4" s="1"/>
  <c r="AB12" i="4"/>
  <c r="BU12" i="4" s="1"/>
  <c r="AB98" i="4"/>
  <c r="BU98" i="4" s="1"/>
  <c r="AB15" i="4"/>
  <c r="BU15" i="4" s="1"/>
  <c r="AB100" i="4"/>
  <c r="BU100" i="4" s="1"/>
  <c r="AB44" i="4"/>
  <c r="BU44" i="4" s="1"/>
  <c r="AB33" i="4"/>
  <c r="AB31" i="4"/>
  <c r="AB76" i="4"/>
  <c r="BU76" i="4" s="1"/>
  <c r="AB153" i="4"/>
  <c r="BU153" i="4" s="1"/>
  <c r="AB14" i="4"/>
  <c r="BU14" i="4" s="1"/>
  <c r="AB86" i="4"/>
  <c r="BU86" i="4" s="1"/>
  <c r="AB42" i="4"/>
  <c r="BU42" i="4" s="1"/>
  <c r="AB85" i="4"/>
  <c r="BU85" i="4" s="1"/>
  <c r="AB114" i="4"/>
  <c r="BU114" i="4" s="1"/>
  <c r="AB147" i="4"/>
  <c r="BU147" i="4" s="1"/>
  <c r="AB80" i="4"/>
  <c r="BU80" i="4" s="1"/>
  <c r="AB71" i="4"/>
  <c r="BU71" i="4" s="1"/>
  <c r="AB92" i="4"/>
  <c r="BU92" i="4" s="1"/>
  <c r="AB105" i="4"/>
  <c r="AB57" i="4"/>
  <c r="AB99" i="4"/>
  <c r="AB29" i="4"/>
  <c r="AB109" i="4"/>
  <c r="AB10" i="4"/>
  <c r="AB135" i="4"/>
  <c r="AB72" i="4"/>
  <c r="BU72" i="4" s="1"/>
  <c r="AB68" i="4"/>
  <c r="BU68" i="4" s="1"/>
  <c r="AB16" i="4"/>
  <c r="BU16" i="4" s="1"/>
  <c r="AB120" i="4"/>
  <c r="BU120" i="4" s="1"/>
  <c r="AB17" i="4"/>
  <c r="AB78" i="4"/>
  <c r="BU78" i="4" s="1"/>
  <c r="AB77" i="4"/>
  <c r="BU77" i="4" s="1"/>
  <c r="AB144" i="4"/>
  <c r="BU144" i="4" s="1"/>
  <c r="AB119" i="4"/>
  <c r="BU119" i="4" s="1"/>
  <c r="AB20" i="4"/>
  <c r="BU20" i="4" s="1"/>
  <c r="AB51" i="4"/>
  <c r="BU51" i="4" s="1"/>
  <c r="AB61" i="4"/>
  <c r="BU61" i="4" s="1"/>
  <c r="AB127" i="4"/>
  <c r="BU127" i="4" s="1"/>
  <c r="AB22" i="4"/>
  <c r="BU22" i="4" s="1"/>
  <c r="AB83" i="4"/>
  <c r="BU83" i="4" s="1"/>
  <c r="AB107" i="4"/>
  <c r="BU107" i="4" s="1"/>
  <c r="AB34" i="4"/>
  <c r="AB27" i="4"/>
  <c r="BU27" i="4" s="1"/>
  <c r="AB53" i="4"/>
  <c r="BU53" i="4" s="1"/>
  <c r="AB60" i="4"/>
  <c r="BU60" i="4" s="1"/>
  <c r="AB74" i="4"/>
  <c r="BU74" i="4" s="1"/>
  <c r="AB50" i="4"/>
  <c r="BU50" i="4" s="1"/>
  <c r="BU8" i="4"/>
  <c r="AB13" i="4"/>
  <c r="BU13" i="4" s="1"/>
  <c r="AB84" i="4"/>
  <c r="BU84" i="4" s="1"/>
  <c r="AB43" i="4"/>
  <c r="BU43" i="4" s="1"/>
  <c r="AB88" i="4"/>
  <c r="BU88" i="4" s="1"/>
  <c r="AB132" i="4"/>
  <c r="BU132" i="4" s="1"/>
  <c r="AB134" i="4"/>
  <c r="BU134" i="4" s="1"/>
  <c r="AB96" i="4"/>
  <c r="BU96" i="4" s="1"/>
  <c r="AB40" i="4"/>
  <c r="BU40" i="4" s="1"/>
  <c r="AB30" i="4"/>
  <c r="BU30" i="4" s="1"/>
  <c r="AB128" i="4"/>
  <c r="BU128" i="4" s="1"/>
  <c r="AB66" i="4"/>
  <c r="BU66" i="4" s="1"/>
  <c r="AA26" i="4"/>
  <c r="AB9" i="4"/>
  <c r="BU9" i="4" s="1"/>
  <c r="AA32" i="4"/>
  <c r="AA106" i="4"/>
  <c r="AA21" i="4"/>
  <c r="AB141" i="4"/>
  <c r="BU141" i="4" s="1"/>
  <c r="AA113" i="4"/>
  <c r="AA19" i="4"/>
  <c r="AA54" i="4"/>
  <c r="AA149" i="4"/>
  <c r="AA110" i="4"/>
  <c r="AA49" i="4"/>
  <c r="AA79" i="4"/>
  <c r="AA137" i="4"/>
  <c r="AA104" i="4"/>
  <c r="AA65" i="4"/>
  <c r="AA47" i="4"/>
  <c r="AA46" i="4"/>
  <c r="AA64" i="4"/>
  <c r="AA136" i="4"/>
  <c r="AA81" i="4"/>
  <c r="AA24" i="4"/>
  <c r="AA118" i="4"/>
  <c r="AA146" i="4"/>
  <c r="AD465" i="10"/>
  <c r="AV100" i="10"/>
  <c r="AX100" i="10" s="1"/>
  <c r="AT446" i="5"/>
  <c r="AV444" i="10"/>
  <c r="AW444" i="10" s="1"/>
  <c r="AX174" i="10"/>
  <c r="AE197" i="10"/>
  <c r="AV471" i="10"/>
  <c r="AW471" i="10" s="1"/>
  <c r="AV432" i="10"/>
  <c r="AW432" i="10" s="1"/>
  <c r="AV365" i="10"/>
  <c r="AW365" i="10" s="1"/>
  <c r="AT7" i="5"/>
  <c r="AV51" i="10"/>
  <c r="AW51" i="10" s="1"/>
  <c r="AD165" i="10"/>
  <c r="AE92" i="10"/>
  <c r="AV300" i="10"/>
  <c r="AX300" i="10" s="1"/>
  <c r="AV403" i="10"/>
  <c r="AW403" i="10" s="1"/>
  <c r="AE403" i="10"/>
  <c r="AD92" i="10"/>
  <c r="AD300" i="10"/>
  <c r="AE157" i="10"/>
  <c r="AD444" i="10"/>
  <c r="AE475" i="10"/>
  <c r="AV72" i="10"/>
  <c r="AW72" i="10" s="1"/>
  <c r="AE458" i="10"/>
  <c r="AD432" i="10"/>
  <c r="AV132" i="10"/>
  <c r="AX132" i="10" s="1"/>
  <c r="AV490" i="10"/>
  <c r="AX490" i="10" s="1"/>
  <c r="AD556" i="10"/>
  <c r="AV350" i="10"/>
  <c r="AX350" i="10" s="1"/>
  <c r="AE557" i="10"/>
  <c r="AX137" i="10"/>
  <c r="AV556" i="10"/>
  <c r="AX556" i="10" s="1"/>
  <c r="AD317" i="10"/>
  <c r="AD137" i="10"/>
  <c r="AV411" i="10"/>
  <c r="AW411" i="10" s="1"/>
  <c r="AD446" i="5"/>
  <c r="AV475" i="10"/>
  <c r="AW475" i="10" s="1"/>
  <c r="AD100" i="10"/>
  <c r="AD348" i="10"/>
  <c r="AV215" i="10"/>
  <c r="AW215" i="10" s="1"/>
  <c r="AD365" i="10"/>
  <c r="AV197" i="10"/>
  <c r="AX197" i="10" s="1"/>
  <c r="AE90" i="10"/>
  <c r="AD132" i="10"/>
  <c r="AV458" i="10"/>
  <c r="AX458" i="10" s="1"/>
  <c r="AV522" i="10"/>
  <c r="AW522" i="10" s="1"/>
  <c r="AD464" i="10"/>
  <c r="AV464" i="10"/>
  <c r="AW464" i="10" s="1"/>
  <c r="AD157" i="10"/>
  <c r="AD215" i="10"/>
  <c r="AV203" i="10"/>
  <c r="AX203" i="10" s="1"/>
  <c r="AD428" i="10"/>
  <c r="AD522" i="10"/>
  <c r="AE51" i="10"/>
  <c r="AX283" i="10"/>
  <c r="AV353" i="10"/>
  <c r="AX353" i="10" s="1"/>
  <c r="AD353" i="10"/>
  <c r="AV530" i="10"/>
  <c r="AW530" i="10" s="1"/>
  <c r="AE283" i="10"/>
  <c r="AE499" i="10"/>
  <c r="AD283" i="10"/>
  <c r="AV499" i="10"/>
  <c r="AW499" i="10" s="1"/>
  <c r="AD56" i="10"/>
  <c r="AE288" i="10"/>
  <c r="AD434" i="10"/>
  <c r="AD302" i="10"/>
  <c r="AD172" i="10"/>
  <c r="AV346" i="10"/>
  <c r="AX346" i="10" s="1"/>
  <c r="AV558" i="10"/>
  <c r="AW558" i="10" s="1"/>
  <c r="AE249" i="10"/>
  <c r="AE118" i="10"/>
  <c r="AE380" i="10"/>
  <c r="AE127" i="10"/>
  <c r="AD443" i="10"/>
  <c r="AE317" i="10"/>
  <c r="AE56" i="10"/>
  <c r="AE137" i="10"/>
  <c r="AE141" i="10"/>
  <c r="AW399" i="10"/>
  <c r="AV141" i="10"/>
  <c r="AW141" i="10" s="1"/>
  <c r="AE290" i="10"/>
  <c r="AD520" i="10"/>
  <c r="AE89" i="10"/>
  <c r="AV48" i="10"/>
  <c r="AW48" i="10" s="1"/>
  <c r="AE478" i="10"/>
  <c r="AD544" i="10"/>
  <c r="AV272" i="10"/>
  <c r="AW272" i="10" s="1"/>
  <c r="AV378" i="10"/>
  <c r="AW378" i="10" s="1"/>
  <c r="AV502" i="10"/>
  <c r="AW502" i="10" s="1"/>
  <c r="AV288" i="10"/>
  <c r="AW288" i="10" s="1"/>
  <c r="AX251" i="10"/>
  <c r="AE520" i="10"/>
  <c r="AV557" i="10"/>
  <c r="AX557" i="10" s="1"/>
  <c r="AV165" i="10"/>
  <c r="AW165" i="10" s="1"/>
  <c r="AE558" i="10"/>
  <c r="AD249" i="10"/>
  <c r="AV118" i="10"/>
  <c r="AW118" i="10" s="1"/>
  <c r="AV116" i="10"/>
  <c r="AW116" i="10" s="1"/>
  <c r="AV202" i="10"/>
  <c r="AW202" i="10" s="1"/>
  <c r="AD378" i="10"/>
  <c r="AE488" i="10"/>
  <c r="AD383" i="10"/>
  <c r="AE560" i="10"/>
  <c r="AE222" i="10"/>
  <c r="AV455" i="10"/>
  <c r="AW455" i="10" s="1"/>
  <c r="AD543" i="10"/>
  <c r="AD102" i="10"/>
  <c r="AV263" i="10"/>
  <c r="AX263" i="10" s="1"/>
  <c r="AE356" i="10"/>
  <c r="AE58" i="10"/>
  <c r="AV441" i="10"/>
  <c r="AX441" i="10" s="1"/>
  <c r="AV43" i="10"/>
  <c r="AW43" i="10" s="1"/>
  <c r="AV377" i="10"/>
  <c r="AX377" i="10" s="1"/>
  <c r="AW37" i="10"/>
  <c r="AD314" i="10"/>
  <c r="AV244" i="10"/>
  <c r="AX244" i="10" s="1"/>
  <c r="AD452" i="10"/>
  <c r="AE121" i="10"/>
  <c r="AD251" i="10"/>
  <c r="AE251" i="10"/>
  <c r="AV330" i="10"/>
  <c r="AW330" i="10" s="1"/>
  <c r="AE348" i="10"/>
  <c r="AE72" i="10"/>
  <c r="AD315" i="10"/>
  <c r="AD411" i="10"/>
  <c r="AE428" i="10"/>
  <c r="AD258" i="10"/>
  <c r="AV373" i="10"/>
  <c r="AX373" i="10" s="1"/>
  <c r="AE513" i="10"/>
  <c r="AD174" i="10"/>
  <c r="AE174" i="10"/>
  <c r="Y11" i="10"/>
  <c r="AV315" i="10"/>
  <c r="AX315" i="10" s="1"/>
  <c r="AV425" i="10"/>
  <c r="AW425" i="10" s="1"/>
  <c r="AV539" i="10"/>
  <c r="AX539" i="10" s="1"/>
  <c r="AV36" i="10"/>
  <c r="AX36" i="10" s="1"/>
  <c r="AX285" i="10"/>
  <c r="AD125" i="10"/>
  <c r="AV500" i="10"/>
  <c r="AX500" i="10" s="1"/>
  <c r="AD436" i="10"/>
  <c r="AD168" i="10"/>
  <c r="AV222" i="10"/>
  <c r="AW222" i="10" s="1"/>
  <c r="AD361" i="10"/>
  <c r="AD110" i="10"/>
  <c r="AD170" i="10"/>
  <c r="AV290" i="10"/>
  <c r="AX290" i="10" s="1"/>
  <c r="AE441" i="10"/>
  <c r="AV102" i="10"/>
  <c r="AW102" i="10" s="1"/>
  <c r="AV209" i="10"/>
  <c r="AW209" i="10" s="1"/>
  <c r="AD478" i="10"/>
  <c r="AE113" i="10"/>
  <c r="AD377" i="10"/>
  <c r="AV89" i="10"/>
  <c r="AW89" i="10" s="1"/>
  <c r="AV544" i="10"/>
  <c r="AW544" i="10" s="1"/>
  <c r="AD393" i="10"/>
  <c r="AD48" i="10"/>
  <c r="AE202" i="10"/>
  <c r="AX367" i="10"/>
  <c r="AV59" i="10"/>
  <c r="AW59" i="10" s="1"/>
  <c r="AE272" i="10"/>
  <c r="AE244" i="10"/>
  <c r="AV540" i="10"/>
  <c r="AX540" i="10" s="1"/>
  <c r="AV393" i="10"/>
  <c r="AW393" i="10" s="1"/>
  <c r="AD551" i="10"/>
  <c r="AD316" i="10"/>
  <c r="AE543" i="10"/>
  <c r="AE170" i="10"/>
  <c r="AV356" i="10"/>
  <c r="AX356" i="10" s="1"/>
  <c r="AV58" i="10"/>
  <c r="AW58" i="10" s="1"/>
  <c r="AV73" i="10"/>
  <c r="AW73" i="10" s="1"/>
  <c r="AD209" i="10"/>
  <c r="AE124" i="10"/>
  <c r="AD116" i="10"/>
  <c r="AD305" i="10"/>
  <c r="AE93" i="10"/>
  <c r="AV314" i="10"/>
  <c r="AW314" i="10" s="1"/>
  <c r="AD399" i="10"/>
  <c r="AE60" i="10"/>
  <c r="AV110" i="10"/>
  <c r="AX110" i="10" s="1"/>
  <c r="AE284" i="10"/>
  <c r="AE387" i="10"/>
  <c r="AD113" i="10"/>
  <c r="AV188" i="10"/>
  <c r="AW188" i="10" s="1"/>
  <c r="AE305" i="10"/>
  <c r="AE551" i="10"/>
  <c r="AE208" i="10"/>
  <c r="AV121" i="10"/>
  <c r="AW121" i="10" s="1"/>
  <c r="AD480" i="10"/>
  <c r="AD33" i="10"/>
  <c r="AV466" i="10"/>
  <c r="AX466" i="10" s="1"/>
  <c r="AE514" i="10"/>
  <c r="AE212" i="10"/>
  <c r="AE530" i="10"/>
  <c r="AE34" i="10"/>
  <c r="AD184" i="10"/>
  <c r="AD334" i="10"/>
  <c r="AE340" i="10"/>
  <c r="AE153" i="10"/>
  <c r="AD115" i="10"/>
  <c r="AE358" i="10"/>
  <c r="AE507" i="10"/>
  <c r="AD167" i="10"/>
  <c r="AE382" i="10"/>
  <c r="AV265" i="10"/>
  <c r="AX265" i="10" s="1"/>
  <c r="AE41" i="10"/>
  <c r="AD13" i="10"/>
  <c r="AE259" i="10"/>
  <c r="AE456" i="10"/>
  <c r="AE473" i="10"/>
  <c r="AV150" i="10"/>
  <c r="AX150" i="10" s="1"/>
  <c r="AD34" i="10"/>
  <c r="AE195" i="10"/>
  <c r="AD259" i="10"/>
  <c r="AV382" i="10"/>
  <c r="AX382" i="10" s="1"/>
  <c r="AE406" i="10"/>
  <c r="AV33" i="10"/>
  <c r="AX33" i="10" s="1"/>
  <c r="AD485" i="10"/>
  <c r="AE256" i="10"/>
  <c r="AV473" i="10"/>
  <c r="AW473" i="10" s="1"/>
  <c r="AV227" i="10"/>
  <c r="AX227" i="10" s="1"/>
  <c r="AD477" i="10"/>
  <c r="AE173" i="10"/>
  <c r="AE117" i="10"/>
  <c r="AD297" i="10"/>
  <c r="AD496" i="10"/>
  <c r="AD286" i="10"/>
  <c r="AV44" i="10"/>
  <c r="AW44" i="10" s="1"/>
  <c r="AD456" i="10"/>
  <c r="AD292" i="10"/>
  <c r="AD156" i="10"/>
  <c r="AD41" i="10"/>
  <c r="AD514" i="10"/>
  <c r="AD130" i="10"/>
  <c r="AX13" i="10"/>
  <c r="AD105" i="10"/>
  <c r="AD182" i="10"/>
  <c r="AV354" i="10"/>
  <c r="AW354" i="10" s="1"/>
  <c r="AE413" i="10"/>
  <c r="AE304" i="10"/>
  <c r="AV261" i="10"/>
  <c r="AX261" i="10" s="1"/>
  <c r="AV318" i="10"/>
  <c r="AX318" i="10" s="1"/>
  <c r="AD462" i="10"/>
  <c r="AD291" i="10"/>
  <c r="AV225" i="10"/>
  <c r="AX225" i="10" s="1"/>
  <c r="AV63" i="10"/>
  <c r="AX63" i="10" s="1"/>
  <c r="AE437" i="10"/>
  <c r="AE47" i="10"/>
  <c r="AE419" i="10"/>
  <c r="AV296" i="10"/>
  <c r="AW296" i="10" s="1"/>
  <c r="AV342" i="10"/>
  <c r="AX342" i="10" s="1"/>
  <c r="AD8" i="10"/>
  <c r="AE355" i="10"/>
  <c r="AE228" i="10"/>
  <c r="AD410" i="10"/>
  <c r="AV145" i="10"/>
  <c r="AW145" i="10" s="1"/>
  <c r="AV325" i="10"/>
  <c r="AW325" i="10" s="1"/>
  <c r="AE335" i="10"/>
  <c r="AE13" i="10"/>
  <c r="AD502" i="10"/>
  <c r="AE84" i="10"/>
  <c r="AV275" i="10"/>
  <c r="AW275" i="10" s="1"/>
  <c r="AE172" i="10"/>
  <c r="AV492" i="10"/>
  <c r="AX492" i="10" s="1"/>
  <c r="AE303" i="10"/>
  <c r="AD547" i="10"/>
  <c r="AV468" i="10"/>
  <c r="AW468" i="10" s="1"/>
  <c r="AD280" i="10"/>
  <c r="AD380" i="10"/>
  <c r="AD488" i="10"/>
  <c r="AD127" i="10"/>
  <c r="AD64" i="10"/>
  <c r="AD338" i="10"/>
  <c r="AV509" i="10"/>
  <c r="AX509" i="10" s="1"/>
  <c r="AD467" i="10"/>
  <c r="AV512" i="10"/>
  <c r="AW512" i="10" s="1"/>
  <c r="AV181" i="10"/>
  <c r="AX181" i="10" s="1"/>
  <c r="AE138" i="10"/>
  <c r="AV88" i="10"/>
  <c r="AX88" i="10" s="1"/>
  <c r="AV446" i="10"/>
  <c r="AW446" i="10" s="1"/>
  <c r="AD78" i="10"/>
  <c r="AE322" i="10"/>
  <c r="AV497" i="10"/>
  <c r="AW497" i="10" s="1"/>
  <c r="AE536" i="10"/>
  <c r="AD80" i="10"/>
  <c r="AD374" i="5"/>
  <c r="AD442" i="10"/>
  <c r="AD122" i="10"/>
  <c r="AV363" i="10"/>
  <c r="AX363" i="10" s="1"/>
  <c r="AD405" i="10"/>
  <c r="AV320" i="10"/>
  <c r="AW320" i="10" s="1"/>
  <c r="AE139" i="10"/>
  <c r="AD152" i="10"/>
  <c r="AE205" i="10"/>
  <c r="AD79" i="10"/>
  <c r="AE104" i="10"/>
  <c r="AE469" i="10"/>
  <c r="AD221" i="10"/>
  <c r="AE443" i="10"/>
  <c r="AX469" i="10"/>
  <c r="AV389" i="10"/>
  <c r="AX389" i="10" s="1"/>
  <c r="AE442" i="10"/>
  <c r="AV271" i="10"/>
  <c r="AW271" i="10" s="1"/>
  <c r="AV302" i="10"/>
  <c r="AX302" i="10" s="1"/>
  <c r="AE275" i="10"/>
  <c r="AE363" i="10"/>
  <c r="AD420" i="10"/>
  <c r="AD512" i="10"/>
  <c r="AV138" i="10"/>
  <c r="AW138" i="10" s="1"/>
  <c r="AD320" i="10"/>
  <c r="AV97" i="10"/>
  <c r="AW97" i="10" s="1"/>
  <c r="AE126" i="10"/>
  <c r="AE547" i="10"/>
  <c r="AV139" i="10"/>
  <c r="AX139" i="10" s="1"/>
  <c r="AV538" i="10"/>
  <c r="AX538" i="10" s="1"/>
  <c r="AD111" i="10"/>
  <c r="AE88" i="10"/>
  <c r="AE152" i="10"/>
  <c r="AD422" i="10"/>
  <c r="AD446" i="10"/>
  <c r="AE497" i="10"/>
  <c r="AE350" i="10"/>
  <c r="AV205" i="10"/>
  <c r="AX205" i="10" s="1"/>
  <c r="AW480" i="10"/>
  <c r="AV323" i="10"/>
  <c r="AW323" i="10" s="1"/>
  <c r="AV61" i="10"/>
  <c r="AX61" i="10" s="1"/>
  <c r="AE79" i="10"/>
  <c r="AV338" i="10"/>
  <c r="AW338" i="10" s="1"/>
  <c r="AE85" i="10"/>
  <c r="AD469" i="10"/>
  <c r="AV221" i="10"/>
  <c r="AW221" i="10" s="1"/>
  <c r="AV85" i="10"/>
  <c r="AX85" i="10" s="1"/>
  <c r="AV301" i="10"/>
  <c r="AX301" i="10" s="1"/>
  <c r="AX385" i="10"/>
  <c r="AE389" i="10"/>
  <c r="AE122" i="10"/>
  <c r="AV434" i="10"/>
  <c r="AX434" i="10" s="1"/>
  <c r="AV515" i="10"/>
  <c r="AX515" i="10" s="1"/>
  <c r="AE420" i="10"/>
  <c r="AD181" i="10"/>
  <c r="AE252" i="10"/>
  <c r="AV405" i="10"/>
  <c r="AX405" i="10" s="1"/>
  <c r="AD492" i="10"/>
  <c r="AV126" i="10"/>
  <c r="AX126" i="10" s="1"/>
  <c r="AD468" i="10"/>
  <c r="AE538" i="10"/>
  <c r="AE111" i="10"/>
  <c r="AV422" i="10"/>
  <c r="AX422" i="10" s="1"/>
  <c r="AE78" i="10"/>
  <c r="AE280" i="10"/>
  <c r="AD322" i="10"/>
  <c r="AV536" i="10"/>
  <c r="AX536" i="10" s="1"/>
  <c r="AD323" i="10"/>
  <c r="AE61" i="10"/>
  <c r="AV104" i="10"/>
  <c r="AW104" i="10" s="1"/>
  <c r="AE383" i="10"/>
  <c r="AD385" i="10"/>
  <c r="AV80" i="10"/>
  <c r="AX80" i="10" s="1"/>
  <c r="AE385" i="10"/>
  <c r="AV560" i="10"/>
  <c r="AW560" i="10" s="1"/>
  <c r="AD37" i="10"/>
  <c r="AE301" i="10"/>
  <c r="AV266" i="10"/>
  <c r="AX266" i="10" s="1"/>
  <c r="AD366" i="10"/>
  <c r="AV457" i="10"/>
  <c r="AW457" i="10" s="1"/>
  <c r="AV68" i="10"/>
  <c r="AX68" i="10" s="1"/>
  <c r="AD277" i="10"/>
  <c r="AV451" i="10"/>
  <c r="AX451" i="10" s="1"/>
  <c r="AE509" i="10"/>
  <c r="AD151" i="10"/>
  <c r="AV151" i="10"/>
  <c r="AX151" i="10" s="1"/>
  <c r="AV435" i="10"/>
  <c r="AW435" i="10" s="1"/>
  <c r="AD10" i="10"/>
  <c r="AE37" i="10"/>
  <c r="AV105" i="10"/>
  <c r="AX105" i="10" s="1"/>
  <c r="AE319" i="10"/>
  <c r="AV86" i="10"/>
  <c r="AW86" i="10" s="1"/>
  <c r="AV491" i="10"/>
  <c r="AX491" i="10" s="1"/>
  <c r="AE62" i="10"/>
  <c r="AV182" i="10"/>
  <c r="AW182" i="10" s="1"/>
  <c r="AV477" i="10"/>
  <c r="AX477" i="10" s="1"/>
  <c r="AV507" i="10"/>
  <c r="AX507" i="10" s="1"/>
  <c r="AD173" i="10"/>
  <c r="AD117" i="10"/>
  <c r="AV195" i="10"/>
  <c r="AW195" i="10" s="1"/>
  <c r="AE297" i="10"/>
  <c r="AV341" i="10"/>
  <c r="AW341" i="10" s="1"/>
  <c r="AD354" i="10"/>
  <c r="AV413" i="10"/>
  <c r="AW413" i="10" s="1"/>
  <c r="AE528" i="10"/>
  <c r="AV167" i="10"/>
  <c r="AX167" i="10" s="1"/>
  <c r="AE539" i="10"/>
  <c r="AV123" i="10"/>
  <c r="AX123" i="10" s="1"/>
  <c r="AV240" i="10"/>
  <c r="AW240" i="10" s="1"/>
  <c r="AD355" i="10"/>
  <c r="AE77" i="10"/>
  <c r="AD261" i="10"/>
  <c r="AD318" i="10"/>
  <c r="AV406" i="10"/>
  <c r="AW406" i="10" s="1"/>
  <c r="AV462" i="10"/>
  <c r="AW462" i="10" s="1"/>
  <c r="AV372" i="10"/>
  <c r="AX372" i="10" s="1"/>
  <c r="AE295" i="10"/>
  <c r="AV485" i="10"/>
  <c r="AW485" i="10" s="1"/>
  <c r="AE225" i="10"/>
  <c r="AE255" i="10"/>
  <c r="AV292" i="10"/>
  <c r="AX292" i="10" s="1"/>
  <c r="AV336" i="10"/>
  <c r="AX336" i="10" s="1"/>
  <c r="AD437" i="10"/>
  <c r="AD493" i="10"/>
  <c r="AV388" i="10"/>
  <c r="AW388" i="10" s="1"/>
  <c r="AV156" i="10"/>
  <c r="AW156" i="10" s="1"/>
  <c r="AD218" i="10"/>
  <c r="AD153" i="10"/>
  <c r="AD194" i="10"/>
  <c r="AV419" i="10"/>
  <c r="AX419" i="10" s="1"/>
  <c r="AD30" i="10"/>
  <c r="AE230" i="10"/>
  <c r="AD463" i="10"/>
  <c r="AE65" i="10"/>
  <c r="AE296" i="10"/>
  <c r="AE325" i="10"/>
  <c r="AV474" i="10"/>
  <c r="AW474" i="10" s="1"/>
  <c r="AV176" i="10"/>
  <c r="AX176" i="10" s="1"/>
  <c r="AV112" i="10"/>
  <c r="AW112" i="10" s="1"/>
  <c r="AV269" i="10"/>
  <c r="AW269" i="10" s="1"/>
  <c r="AD342" i="10"/>
  <c r="AD369" i="10"/>
  <c r="AV7" i="10"/>
  <c r="AX7" i="10" s="1"/>
  <c r="AI11" i="10"/>
  <c r="AL11" i="10"/>
  <c r="AV319" i="10"/>
  <c r="AX319" i="10" s="1"/>
  <c r="AD150" i="10"/>
  <c r="AD227" i="10"/>
  <c r="AE339" i="10"/>
  <c r="AD491" i="10"/>
  <c r="AE196" i="10"/>
  <c r="AE495" i="10"/>
  <c r="AE328" i="10"/>
  <c r="AD531" i="10"/>
  <c r="AE75" i="10"/>
  <c r="AD123" i="10"/>
  <c r="AV304" i="10"/>
  <c r="AX304" i="10" s="1"/>
  <c r="AD77" i="10"/>
  <c r="AV212" i="10"/>
  <c r="AX212" i="10" s="1"/>
  <c r="AE370" i="10"/>
  <c r="AV286" i="10"/>
  <c r="AX286" i="10" s="1"/>
  <c r="AD295" i="10"/>
  <c r="AW358" i="10"/>
  <c r="AV291" i="10"/>
  <c r="AW291" i="10" s="1"/>
  <c r="AE178" i="10"/>
  <c r="AD63" i="10"/>
  <c r="AV228" i="10"/>
  <c r="AX228" i="10" s="1"/>
  <c r="AV334" i="10"/>
  <c r="AW334" i="10" s="1"/>
  <c r="AV47" i="10"/>
  <c r="AX47" i="10" s="1"/>
  <c r="AE216" i="10"/>
  <c r="AD388" i="10"/>
  <c r="AV410" i="10"/>
  <c r="AX410" i="10" s="1"/>
  <c r="AD466" i="10"/>
  <c r="AV27" i="10"/>
  <c r="AW27" i="10" s="1"/>
  <c r="AV218" i="10"/>
  <c r="AW218" i="10" s="1"/>
  <c r="AV340" i="10"/>
  <c r="AX340" i="10" s="1"/>
  <c r="AE52" i="10"/>
  <c r="AE194" i="10"/>
  <c r="AD145" i="10"/>
  <c r="AE166" i="10"/>
  <c r="AV463" i="10"/>
  <c r="AX463" i="10" s="1"/>
  <c r="AV64" i="10"/>
  <c r="AX64" i="10" s="1"/>
  <c r="AE115" i="10"/>
  <c r="AV128" i="10"/>
  <c r="AW128" i="10" s="1"/>
  <c r="AE128" i="10"/>
  <c r="AV130" i="10"/>
  <c r="AW130" i="10" s="1"/>
  <c r="AE112" i="10"/>
  <c r="AE98" i="10"/>
  <c r="AV8" i="10"/>
  <c r="AW8" i="10" s="1"/>
  <c r="AV369" i="10"/>
  <c r="AW369" i="10" s="1"/>
  <c r="AV119" i="10"/>
  <c r="AW119" i="10" s="1"/>
  <c r="AE86" i="10"/>
  <c r="AV171" i="10"/>
  <c r="AW171" i="10" s="1"/>
  <c r="AE332" i="10"/>
  <c r="AD81" i="10"/>
  <c r="AV495" i="10"/>
  <c r="AW495" i="10" s="1"/>
  <c r="AW98" i="10"/>
  <c r="AE379" i="10"/>
  <c r="AV328" i="10"/>
  <c r="AW328" i="10" s="1"/>
  <c r="AE531" i="10"/>
  <c r="AV75" i="10"/>
  <c r="AX75" i="10" s="1"/>
  <c r="AV243" i="10"/>
  <c r="AW243" i="10" s="1"/>
  <c r="AV133" i="10"/>
  <c r="AX133" i="10" s="1"/>
  <c r="AE372" i="10"/>
  <c r="AV453" i="10"/>
  <c r="AW453" i="10" s="1"/>
  <c r="AV178" i="10"/>
  <c r="AX178" i="10" s="1"/>
  <c r="AE336" i="10"/>
  <c r="AE158" i="10"/>
  <c r="AV71" i="10"/>
  <c r="AW71" i="10" s="1"/>
  <c r="AV166" i="10"/>
  <c r="AX166" i="10" s="1"/>
  <c r="AD65" i="10"/>
  <c r="AV335" i="10"/>
  <c r="AW335" i="10" s="1"/>
  <c r="AV360" i="10"/>
  <c r="AX360" i="10" s="1"/>
  <c r="AD358" i="10"/>
  <c r="AD176" i="10"/>
  <c r="AD98" i="10"/>
  <c r="AU252" i="5"/>
  <c r="AV248" i="10"/>
  <c r="AX248" i="10" s="1"/>
  <c r="AD38" i="10"/>
  <c r="AE36" i="10"/>
  <c r="AE125" i="10"/>
  <c r="AD455" i="10"/>
  <c r="AD330" i="10"/>
  <c r="AV361" i="10"/>
  <c r="AW361" i="10" s="1"/>
  <c r="AV38" i="10"/>
  <c r="AX38" i="10" s="1"/>
  <c r="AD282" i="10"/>
  <c r="AD387" i="10"/>
  <c r="AE43" i="10"/>
  <c r="AD526" i="10"/>
  <c r="AD263" i="10"/>
  <c r="AD124" i="10"/>
  <c r="AD188" i="10"/>
  <c r="AD362" i="10"/>
  <c r="AV93" i="10"/>
  <c r="AX93" i="10" s="1"/>
  <c r="AV90" i="10"/>
  <c r="AX90" i="10" s="1"/>
  <c r="AD510" i="10"/>
  <c r="AD309" i="10"/>
  <c r="AD490" i="10"/>
  <c r="AE168" i="10"/>
  <c r="AV452" i="10"/>
  <c r="AW452" i="10" s="1"/>
  <c r="AD501" i="10"/>
  <c r="AE285" i="10"/>
  <c r="AD285" i="10"/>
  <c r="AE399" i="10"/>
  <c r="AD367" i="10"/>
  <c r="AD552" i="10"/>
  <c r="AE425" i="10"/>
  <c r="AD500" i="10"/>
  <c r="AD219" i="10"/>
  <c r="AV258" i="10"/>
  <c r="AW258" i="10" s="1"/>
  <c r="AV436" i="10"/>
  <c r="AW436" i="10" s="1"/>
  <c r="AV513" i="10"/>
  <c r="AW513" i="10" s="1"/>
  <c r="AV501" i="10"/>
  <c r="AX501" i="10" s="1"/>
  <c r="AV552" i="10"/>
  <c r="AX552" i="10" s="1"/>
  <c r="AD143" i="10"/>
  <c r="AV217" i="10"/>
  <c r="AW217" i="10" s="1"/>
  <c r="AE306" i="10"/>
  <c r="AV362" i="10"/>
  <c r="AW362" i="10" s="1"/>
  <c r="AV494" i="10"/>
  <c r="AW494" i="10" s="1"/>
  <c r="AV487" i="10"/>
  <c r="AW487" i="10" s="1"/>
  <c r="AE416" i="10"/>
  <c r="AE367" i="10"/>
  <c r="AV83" i="10"/>
  <c r="AW83" i="10" s="1"/>
  <c r="AE252" i="5"/>
  <c r="AE351" i="10"/>
  <c r="AD433" i="10"/>
  <c r="AD486" i="10"/>
  <c r="AD553" i="10"/>
  <c r="AV24" i="10"/>
  <c r="AX24" i="10" s="1"/>
  <c r="AE73" i="10"/>
  <c r="AV412" i="10"/>
  <c r="AX412" i="10" s="1"/>
  <c r="AD307" i="10"/>
  <c r="AD233" i="10"/>
  <c r="AE364" i="10"/>
  <c r="AD503" i="10"/>
  <c r="AD400" i="10"/>
  <c r="AE546" i="10"/>
  <c r="AV50" i="10"/>
  <c r="AX50" i="10" s="1"/>
  <c r="AV241" i="10"/>
  <c r="AW241" i="10" s="1"/>
  <c r="AV208" i="10"/>
  <c r="AW208" i="10" s="1"/>
  <c r="AD45" i="10"/>
  <c r="AV293" i="10"/>
  <c r="AW293" i="10" s="1"/>
  <c r="AV253" i="10"/>
  <c r="AW253" i="10" s="1"/>
  <c r="AE398" i="10"/>
  <c r="AE427" i="10"/>
  <c r="AD35" i="10"/>
  <c r="AE391" i="10"/>
  <c r="AE26" i="10"/>
  <c r="AE148" i="10"/>
  <c r="AV433" i="10"/>
  <c r="AX433" i="10" s="1"/>
  <c r="AD371" i="10"/>
  <c r="AV486" i="10"/>
  <c r="AW486" i="10" s="1"/>
  <c r="AE276" i="10"/>
  <c r="AD423" i="10"/>
  <c r="AE232" i="10"/>
  <c r="AV67" i="10"/>
  <c r="AW67" i="10" s="1"/>
  <c r="AD364" i="10"/>
  <c r="AE421" i="10"/>
  <c r="AE503" i="10"/>
  <c r="AE331" i="10"/>
  <c r="AE220" i="10"/>
  <c r="AV316" i="10"/>
  <c r="AX316" i="10" s="1"/>
  <c r="AD416" i="10"/>
  <c r="AD252" i="5"/>
  <c r="AD229" i="10"/>
  <c r="AD254" i="10"/>
  <c r="AD46" i="10"/>
  <c r="AE233" i="10"/>
  <c r="AD489" i="10"/>
  <c r="AD270" i="10"/>
  <c r="AE82" i="10"/>
  <c r="AE35" i="10"/>
  <c r="AE45" i="10"/>
  <c r="AE235" i="10"/>
  <c r="AV281" i="10"/>
  <c r="AW281" i="10" s="1"/>
  <c r="AD253" i="10"/>
  <c r="AV236" i="10"/>
  <c r="AW236" i="10" s="1"/>
  <c r="AV351" i="10"/>
  <c r="AW351" i="10" s="1"/>
  <c r="AV26" i="10"/>
  <c r="AW26" i="10" s="1"/>
  <c r="AV29" i="10"/>
  <c r="AW29" i="10" s="1"/>
  <c r="AE229" i="10"/>
  <c r="AV143" i="10"/>
  <c r="AW143" i="10" s="1"/>
  <c r="AE371" i="10"/>
  <c r="AX189" i="10"/>
  <c r="AV284" i="10"/>
  <c r="AX284" i="10" s="1"/>
  <c r="AW310" i="10"/>
  <c r="AD540" i="10"/>
  <c r="AD289" i="10"/>
  <c r="AD412" i="10"/>
  <c r="AD459" i="10"/>
  <c r="AD136" i="10"/>
  <c r="AV276" i="10"/>
  <c r="AW276" i="10" s="1"/>
  <c r="AV254" i="10"/>
  <c r="AX254" i="10" s="1"/>
  <c r="AV423" i="10"/>
  <c r="AW423" i="10" s="1"/>
  <c r="AE526" i="10"/>
  <c r="AV186" i="10"/>
  <c r="AW186" i="10" s="1"/>
  <c r="AE519" i="10"/>
  <c r="AE347" i="10"/>
  <c r="AV439" i="10"/>
  <c r="AX439" i="10" s="1"/>
  <c r="AE66" i="10"/>
  <c r="AD204" i="10"/>
  <c r="AW206" i="10"/>
  <c r="AD343" i="10"/>
  <c r="AE510" i="10"/>
  <c r="AE76" i="10"/>
  <c r="AV331" i="10"/>
  <c r="AW331" i="10" s="1"/>
  <c r="AE309" i="10"/>
  <c r="AD381" i="10"/>
  <c r="AV82" i="10"/>
  <c r="AX82" i="10" s="1"/>
  <c r="AD487" i="10"/>
  <c r="AD59" i="10"/>
  <c r="AD241" i="10"/>
  <c r="AE542" i="10"/>
  <c r="AE293" i="10"/>
  <c r="AE337" i="10"/>
  <c r="AD206" i="10"/>
  <c r="AD533" i="10"/>
  <c r="AV392" i="10"/>
  <c r="AX392" i="10" s="1"/>
  <c r="AE236" i="10"/>
  <c r="AD312" i="10"/>
  <c r="AD95" i="10"/>
  <c r="AV136" i="10"/>
  <c r="AX136" i="10" s="1"/>
  <c r="AV525" i="10"/>
  <c r="AX525" i="10" s="1"/>
  <c r="AE186" i="10"/>
  <c r="AD94" i="10"/>
  <c r="AD42" i="10"/>
  <c r="AD299" i="10"/>
  <c r="AV381" i="10"/>
  <c r="AW381" i="10" s="1"/>
  <c r="AE134" i="10"/>
  <c r="AD155" i="10"/>
  <c r="AD337" i="10"/>
  <c r="AD391" i="10"/>
  <c r="AV246" i="10"/>
  <c r="AW246" i="10" s="1"/>
  <c r="AV533" i="10"/>
  <c r="AX533" i="10" s="1"/>
  <c r="AE39" i="10"/>
  <c r="AD396" i="10"/>
  <c r="AD207" i="10"/>
  <c r="AD135" i="10"/>
  <c r="AE357" i="10"/>
  <c r="AE386" i="10"/>
  <c r="AD349" i="10"/>
  <c r="AE494" i="10"/>
  <c r="AV199" i="10"/>
  <c r="AX199" i="10" s="1"/>
  <c r="AV294" i="10"/>
  <c r="AX294" i="10" s="1"/>
  <c r="AD268" i="10"/>
  <c r="AE206" i="10"/>
  <c r="AD107" i="10"/>
  <c r="AD559" i="10"/>
  <c r="AE95" i="10"/>
  <c r="AV120" i="10"/>
  <c r="AW120" i="10" s="1"/>
  <c r="AE460" i="10"/>
  <c r="AV289" i="10"/>
  <c r="AX289" i="10" s="1"/>
  <c r="AE511" i="10"/>
  <c r="AD421" i="10"/>
  <c r="AV299" i="10"/>
  <c r="AW299" i="10" s="1"/>
  <c r="AE343" i="10"/>
  <c r="AD535" i="10"/>
  <c r="AD427" i="10"/>
  <c r="AV220" i="10"/>
  <c r="AX220" i="10" s="1"/>
  <c r="AE262" i="10"/>
  <c r="AE12" i="10"/>
  <c r="AE25" i="10"/>
  <c r="AE312" i="10"/>
  <c r="AW262" i="10"/>
  <c r="AD398" i="10"/>
  <c r="AE415" i="10"/>
  <c r="AE107" i="10"/>
  <c r="AV148" i="10"/>
  <c r="AW148" i="10" s="1"/>
  <c r="AD210" i="10"/>
  <c r="AV396" i="10"/>
  <c r="AX396" i="10" s="1"/>
  <c r="AV559" i="10"/>
  <c r="AX559" i="10" s="1"/>
  <c r="AE29" i="10"/>
  <c r="AV21" i="10"/>
  <c r="AX21" i="10" s="1"/>
  <c r="AD120" i="10"/>
  <c r="AE390" i="10"/>
  <c r="AE449" i="10"/>
  <c r="AE553" i="10"/>
  <c r="AE24" i="10"/>
  <c r="AV109" i="10"/>
  <c r="AX109" i="10" s="1"/>
  <c r="AV459" i="10"/>
  <c r="AX459" i="10" s="1"/>
  <c r="AV32" i="10"/>
  <c r="AX32" i="10" s="1"/>
  <c r="AE525" i="10"/>
  <c r="AE532" i="10"/>
  <c r="AV308" i="10"/>
  <c r="AW308" i="10" s="1"/>
  <c r="AD537" i="10"/>
  <c r="AD66" i="10"/>
  <c r="AD67" i="10"/>
  <c r="AE204" i="10"/>
  <c r="AD454" i="10"/>
  <c r="AE23" i="10"/>
  <c r="AV298" i="10"/>
  <c r="AX298" i="10" s="1"/>
  <c r="AV489" i="10"/>
  <c r="AX489" i="10" s="1"/>
  <c r="AD448" i="10"/>
  <c r="AE535" i="10"/>
  <c r="AD142" i="10"/>
  <c r="AD529" i="10"/>
  <c r="AD103" i="10"/>
  <c r="AV155" i="10"/>
  <c r="AW155" i="10" s="1"/>
  <c r="AE213" i="10"/>
  <c r="AE191" i="10"/>
  <c r="AV352" i="10"/>
  <c r="AW352" i="10" s="1"/>
  <c r="AD482" i="10"/>
  <c r="AD523" i="10"/>
  <c r="AV235" i="10"/>
  <c r="AW235" i="10" s="1"/>
  <c r="AE518" i="10"/>
  <c r="AV424" i="10"/>
  <c r="AX424" i="10" s="1"/>
  <c r="AD262" i="10"/>
  <c r="AE199" i="10"/>
  <c r="AE294" i="10"/>
  <c r="AD392" i="10"/>
  <c r="AX12" i="10"/>
  <c r="AD25" i="10"/>
  <c r="AD374" i="10"/>
  <c r="AV415" i="10"/>
  <c r="AX415" i="10" s="1"/>
  <c r="AE21" i="10"/>
  <c r="AD449" i="10"/>
  <c r="AE46" i="10"/>
  <c r="AE352" i="10"/>
  <c r="AV431" i="10"/>
  <c r="AW431" i="10" s="1"/>
  <c r="AV144" i="10"/>
  <c r="AW144" i="10" s="1"/>
  <c r="AD310" i="10"/>
  <c r="AV234" i="10"/>
  <c r="AW234" i="10" s="1"/>
  <c r="AV555" i="10"/>
  <c r="AX555" i="10" s="1"/>
  <c r="AD333" i="10"/>
  <c r="AV481" i="10"/>
  <c r="AW481" i="10" s="1"/>
  <c r="AV329" i="10"/>
  <c r="AW329" i="10" s="1"/>
  <c r="AV483" i="10"/>
  <c r="AX483" i="10" s="1"/>
  <c r="AV163" i="10"/>
  <c r="AX163" i="10" s="1"/>
  <c r="AV324" i="10"/>
  <c r="AX324" i="10" s="1"/>
  <c r="AD223" i="10"/>
  <c r="AD402" i="10"/>
  <c r="AD424" i="10"/>
  <c r="AV96" i="10"/>
  <c r="AW96" i="10" s="1"/>
  <c r="AE310" i="10"/>
  <c r="AD12" i="10"/>
  <c r="AW401" i="10"/>
  <c r="AD368" i="10"/>
  <c r="AV450" i="10"/>
  <c r="AX450" i="10" s="1"/>
  <c r="AV106" i="10"/>
  <c r="AW106" i="10" s="1"/>
  <c r="AD517" i="10"/>
  <c r="AD119" i="10"/>
  <c r="AV549" i="10"/>
  <c r="AX549" i="10" s="1"/>
  <c r="AD171" i="10"/>
  <c r="AV339" i="10"/>
  <c r="AX339" i="10" s="1"/>
  <c r="AV332" i="10"/>
  <c r="AX332" i="10" s="1"/>
  <c r="AD527" i="10"/>
  <c r="AD62" i="10"/>
  <c r="AV57" i="10"/>
  <c r="AX57" i="10" s="1"/>
  <c r="AV184" i="10"/>
  <c r="AX184" i="10" s="1"/>
  <c r="AV196" i="10"/>
  <c r="AX196" i="10" s="1"/>
  <c r="AV81" i="10"/>
  <c r="AX81" i="10" s="1"/>
  <c r="AD341" i="10"/>
  <c r="AV528" i="10"/>
  <c r="AX528" i="10" s="1"/>
  <c r="AV379" i="10"/>
  <c r="AW379" i="10" s="1"/>
  <c r="AV414" i="10"/>
  <c r="AW414" i="10" s="1"/>
  <c r="AV496" i="10"/>
  <c r="AX496" i="10" s="1"/>
  <c r="AD243" i="10"/>
  <c r="AE521" i="10"/>
  <c r="AD198" i="10"/>
  <c r="AD327" i="10"/>
  <c r="AD133" i="10"/>
  <c r="AV394" i="10"/>
  <c r="AW394" i="10" s="1"/>
  <c r="AD44" i="10"/>
  <c r="AW192" i="10"/>
  <c r="AV256" i="10"/>
  <c r="AX256" i="10" s="1"/>
  <c r="AD445" i="10"/>
  <c r="AE175" i="10"/>
  <c r="AV214" i="10"/>
  <c r="AX214" i="10" s="1"/>
  <c r="AE493" i="10"/>
  <c r="AE193" i="10"/>
  <c r="AV216" i="10"/>
  <c r="AX216" i="10" s="1"/>
  <c r="AE265" i="10"/>
  <c r="AV158" i="10"/>
  <c r="AW158" i="10" s="1"/>
  <c r="AD52" i="10"/>
  <c r="AE70" i="10"/>
  <c r="AE30" i="10"/>
  <c r="AD106" i="10"/>
  <c r="AV101" i="10"/>
  <c r="AW101" i="10" s="1"/>
  <c r="AD192" i="10"/>
  <c r="AE517" i="10"/>
  <c r="AE401" i="10"/>
  <c r="AV239" i="10"/>
  <c r="AX239" i="10" s="1"/>
  <c r="AE247" i="10"/>
  <c r="AE271" i="10"/>
  <c r="AE366" i="10"/>
  <c r="AD505" i="10"/>
  <c r="AE68" i="10"/>
  <c r="AD175" i="10"/>
  <c r="AE140" i="10"/>
  <c r="AV404" i="10"/>
  <c r="AX404" i="10" s="1"/>
  <c r="AD550" i="10"/>
  <c r="AV345" i="10"/>
  <c r="AW345" i="10" s="1"/>
  <c r="AV70" i="10"/>
  <c r="AW70" i="10" s="1"/>
  <c r="AD451" i="10"/>
  <c r="AD266" i="10"/>
  <c r="AE527" i="10"/>
  <c r="AV407" i="10"/>
  <c r="AW407" i="10" s="1"/>
  <c r="AE515" i="10"/>
  <c r="AV313" i="10"/>
  <c r="AX313" i="10" s="1"/>
  <c r="AE414" i="10"/>
  <c r="AD346" i="10"/>
  <c r="AD267" i="10"/>
  <c r="AD384" i="10"/>
  <c r="AE472" i="10"/>
  <c r="AV183" i="10"/>
  <c r="AX183" i="10" s="1"/>
  <c r="AE277" i="10"/>
  <c r="AD321" i="10"/>
  <c r="AV193" i="10"/>
  <c r="AW193" i="10" s="1"/>
  <c r="AV359" i="10"/>
  <c r="AX359" i="10" s="1"/>
  <c r="AD474" i="10"/>
  <c r="AE360" i="10"/>
  <c r="AE269" i="10"/>
  <c r="AD39" i="10"/>
  <c r="AV161" i="10"/>
  <c r="AW161" i="10" s="1"/>
  <c r="AE333" i="10"/>
  <c r="AV447" i="10"/>
  <c r="AX447" i="10" s="1"/>
  <c r="AE479" i="10"/>
  <c r="AV546" i="10"/>
  <c r="AX546" i="10" s="1"/>
  <c r="AX430" i="10"/>
  <c r="AD169" i="10"/>
  <c r="AE162" i="10"/>
  <c r="AV114" i="10"/>
  <c r="AX114" i="10" s="1"/>
  <c r="AD344" i="10"/>
  <c r="AV49" i="10"/>
  <c r="AW49" i="10" s="1"/>
  <c r="AV238" i="10"/>
  <c r="AX238" i="10" s="1"/>
  <c r="AE7" i="10"/>
  <c r="AD239" i="10"/>
  <c r="AE376" i="10"/>
  <c r="AD549" i="10"/>
  <c r="AD247" i="10"/>
  <c r="AV60" i="10"/>
  <c r="AW60" i="10" s="1"/>
  <c r="AE506" i="10"/>
  <c r="AE57" i="10"/>
  <c r="AD161" i="10"/>
  <c r="AV260" i="10"/>
  <c r="AX260" i="10" s="1"/>
  <c r="AD390" i="10"/>
  <c r="AE407" i="10"/>
  <c r="AD217" i="10"/>
  <c r="AE131" i="10"/>
  <c r="AV467" i="10"/>
  <c r="AX467" i="10" s="1"/>
  <c r="AE146" i="10"/>
  <c r="AV135" i="10"/>
  <c r="AW135" i="10" s="1"/>
  <c r="AV252" i="10"/>
  <c r="AW252" i="10" s="1"/>
  <c r="AD313" i="10"/>
  <c r="AD417" i="10"/>
  <c r="AE109" i="10"/>
  <c r="AV226" i="10"/>
  <c r="AX226" i="10" s="1"/>
  <c r="AD447" i="10"/>
  <c r="AV159" i="10"/>
  <c r="AW159" i="10" s="1"/>
  <c r="AE198" i="10"/>
  <c r="AE384" i="10"/>
  <c r="AD303" i="10"/>
  <c r="AD264" i="10"/>
  <c r="AV479" i="10"/>
  <c r="AW479" i="10" s="1"/>
  <c r="AE481" i="10"/>
  <c r="AV347" i="10"/>
  <c r="AW347" i="10" s="1"/>
  <c r="AD450" i="10"/>
  <c r="AD183" i="10"/>
  <c r="AD329" i="10"/>
  <c r="AV504" i="10"/>
  <c r="AW504" i="10" s="1"/>
  <c r="AW517" i="10"/>
  <c r="AD386" i="10"/>
  <c r="AV349" i="10"/>
  <c r="AW349" i="10" s="1"/>
  <c r="AE445" i="10"/>
  <c r="AE214" i="10"/>
  <c r="AE321" i="10"/>
  <c r="AV400" i="10"/>
  <c r="AX400" i="10" s="1"/>
  <c r="AE50" i="10"/>
  <c r="AE142" i="10"/>
  <c r="AD163" i="10"/>
  <c r="AV140" i="10"/>
  <c r="AX140" i="10" s="1"/>
  <c r="AE524" i="10"/>
  <c r="AE550" i="10"/>
  <c r="AE87" i="10"/>
  <c r="AV103" i="10"/>
  <c r="AX103" i="10" s="1"/>
  <c r="AD345" i="10"/>
  <c r="AE169" i="10"/>
  <c r="AV438" i="10"/>
  <c r="AX438" i="10" s="1"/>
  <c r="AD177" i="10"/>
  <c r="AV191" i="10"/>
  <c r="AX191" i="10" s="1"/>
  <c r="AD359" i="10"/>
  <c r="AD101" i="10"/>
  <c r="AV179" i="10"/>
  <c r="AX179" i="10" s="1"/>
  <c r="AD401" i="10"/>
  <c r="AD49" i="10"/>
  <c r="AV268" i="10"/>
  <c r="AW268" i="10" s="1"/>
  <c r="AE435" i="10"/>
  <c r="AD376" i="10"/>
  <c r="AE418" i="10"/>
  <c r="AD506" i="10"/>
  <c r="AE260" i="10"/>
  <c r="AD131" i="10"/>
  <c r="AE555" i="10"/>
  <c r="AD32" i="10"/>
  <c r="AE307" i="10"/>
  <c r="AD22" i="10"/>
  <c r="AV147" i="10"/>
  <c r="AX147" i="10" s="1"/>
  <c r="AD308" i="10"/>
  <c r="AV545" i="10"/>
  <c r="AW545" i="10" s="1"/>
  <c r="AV232" i="10"/>
  <c r="AX232" i="10" s="1"/>
  <c r="AE40" i="10"/>
  <c r="AE298" i="10"/>
  <c r="AE375" i="10"/>
  <c r="AE529" i="10"/>
  <c r="AD87" i="10"/>
  <c r="AD230" i="10"/>
  <c r="AE482" i="10"/>
  <c r="AV518" i="10"/>
  <c r="AX518" i="10" s="1"/>
  <c r="AS374" i="5"/>
  <c r="AU374" i="5" s="1"/>
  <c r="AD190" i="10"/>
  <c r="AV146" i="10"/>
  <c r="AX146" i="10" s="1"/>
  <c r="AV429" i="10"/>
  <c r="AX429" i="10" s="1"/>
  <c r="AV454" i="10"/>
  <c r="AW454" i="10" s="1"/>
  <c r="AE154" i="10"/>
  <c r="AE20" i="10"/>
  <c r="AD476" i="10"/>
  <c r="AD287" i="10"/>
  <c r="AW162" i="10"/>
  <c r="AV223" i="10"/>
  <c r="AX223" i="10" s="1"/>
  <c r="AD114" i="10"/>
  <c r="AE192" i="10"/>
  <c r="AE480" i="10"/>
  <c r="AD189" i="10"/>
  <c r="AE189" i="10"/>
  <c r="V11" i="10"/>
  <c r="AD238" i="10"/>
  <c r="AV31" i="10"/>
  <c r="AW31" i="10" s="1"/>
  <c r="AV74" i="10"/>
  <c r="AW74" i="10" s="1"/>
  <c r="AV357" i="10"/>
  <c r="AX357" i="10" s="1"/>
  <c r="AV519" i="10"/>
  <c r="AX519" i="10" s="1"/>
  <c r="AV270" i="10"/>
  <c r="AX270" i="10" s="1"/>
  <c r="AD542" i="10"/>
  <c r="AV213" i="10"/>
  <c r="AX213" i="10" s="1"/>
  <c r="AE408" i="10"/>
  <c r="AV210" i="10"/>
  <c r="AW210" i="10" s="1"/>
  <c r="AD273" i="10"/>
  <c r="AD418" i="10"/>
  <c r="AE484" i="10"/>
  <c r="AD31" i="10"/>
  <c r="AE207" i="10"/>
  <c r="AD83" i="10"/>
  <c r="AD234" i="10"/>
  <c r="AD187" i="10"/>
  <c r="AE226" i="10"/>
  <c r="AE282" i="10"/>
  <c r="AE74" i="10"/>
  <c r="AD159" i="10"/>
  <c r="AE22" i="10"/>
  <c r="AE99" i="10"/>
  <c r="AD147" i="10"/>
  <c r="AD306" i="10"/>
  <c r="AV511" i="10"/>
  <c r="AW511" i="10" s="1"/>
  <c r="AD545" i="10"/>
  <c r="AE94" i="10"/>
  <c r="AD439" i="10"/>
  <c r="AV40" i="10"/>
  <c r="AX40" i="10" s="1"/>
  <c r="AV23" i="10"/>
  <c r="AX23" i="10" s="1"/>
  <c r="AV42" i="10"/>
  <c r="AW42" i="10" s="1"/>
  <c r="AV154" i="10"/>
  <c r="AW154" i="10" s="1"/>
  <c r="AE448" i="10"/>
  <c r="AV375" i="10"/>
  <c r="AX375" i="10" s="1"/>
  <c r="AE476" i="10"/>
  <c r="AV524" i="10"/>
  <c r="AW524" i="10" s="1"/>
  <c r="AV287" i="10"/>
  <c r="AW287" i="10" s="1"/>
  <c r="AD134" i="10"/>
  <c r="AE402" i="10"/>
  <c r="AD438" i="10"/>
  <c r="AE177" i="10"/>
  <c r="AV461" i="10"/>
  <c r="AW461" i="10" s="1"/>
  <c r="AV523" i="10"/>
  <c r="AX523" i="10" s="1"/>
  <c r="AE281" i="10"/>
  <c r="AD246" i="10"/>
  <c r="AD431" i="10"/>
  <c r="AV19" i="10"/>
  <c r="AX19" i="10" s="1"/>
  <c r="AD430" i="10"/>
  <c r="AE430" i="10"/>
  <c r="AV344" i="10"/>
  <c r="AW344" i="10" s="1"/>
  <c r="AD96" i="10"/>
  <c r="AC11" i="10"/>
  <c r="AE11" i="10" s="1"/>
  <c r="AE374" i="10"/>
  <c r="AD408" i="10"/>
  <c r="AE273" i="10"/>
  <c r="AD484" i="10"/>
  <c r="AV460" i="10"/>
  <c r="AX460" i="10" s="1"/>
  <c r="AV187" i="10"/>
  <c r="AX187" i="10" s="1"/>
  <c r="AD532" i="10"/>
  <c r="AD99" i="10"/>
  <c r="AE537" i="10"/>
  <c r="AD483" i="10"/>
  <c r="AD76" i="10"/>
  <c r="AD324" i="10"/>
  <c r="AE461" i="10"/>
  <c r="AV237" i="10"/>
  <c r="AX237" i="10" s="1"/>
  <c r="AE237" i="10"/>
  <c r="AE19" i="10"/>
  <c r="AD162" i="10"/>
  <c r="AD144" i="10"/>
  <c r="AA11" i="10"/>
  <c r="AV190" i="10"/>
  <c r="AX190" i="10" s="1"/>
  <c r="AV84" i="10"/>
  <c r="AX84" i="10" s="1"/>
  <c r="AE311" i="10"/>
  <c r="AE368" i="10"/>
  <c r="AE417" i="10"/>
  <c r="AE457" i="10"/>
  <c r="AV505" i="10"/>
  <c r="AW505" i="10" s="1"/>
  <c r="AV327" i="10"/>
  <c r="AX327" i="10" s="1"/>
  <c r="AD97" i="10"/>
  <c r="AV264" i="10"/>
  <c r="AX264" i="10" s="1"/>
  <c r="AD394" i="10"/>
  <c r="AV201" i="10"/>
  <c r="AX201" i="10" s="1"/>
  <c r="AV91" i="10"/>
  <c r="AX91" i="10" s="1"/>
  <c r="AD20" i="10"/>
  <c r="AE404" i="10"/>
  <c r="AV554" i="10"/>
  <c r="AX554" i="10" s="1"/>
  <c r="AD409" i="10"/>
  <c r="AB11" i="10"/>
  <c r="AO11" i="10"/>
  <c r="AE10" i="10"/>
  <c r="AV311" i="10"/>
  <c r="AX311" i="10" s="1"/>
  <c r="AV267" i="10"/>
  <c r="AW267" i="10" s="1"/>
  <c r="AE429" i="10"/>
  <c r="AD201" i="10"/>
  <c r="AD504" i="10"/>
  <c r="AD91" i="10"/>
  <c r="AD554" i="10"/>
  <c r="AV409" i="10"/>
  <c r="AW409" i="10" s="1"/>
  <c r="AD179" i="10"/>
  <c r="AS11" i="10"/>
  <c r="AE240" i="10"/>
  <c r="AV521" i="10"/>
  <c r="AX521" i="10" s="1"/>
  <c r="AD472" i="10"/>
  <c r="AD370" i="10"/>
  <c r="AE453" i="10"/>
  <c r="AV255" i="10"/>
  <c r="AW255" i="10" s="1"/>
  <c r="AE149" i="10"/>
  <c r="AE27" i="10"/>
  <c r="AD397" i="10"/>
  <c r="AE470" i="10"/>
  <c r="AE508" i="10"/>
  <c r="AV149" i="10"/>
  <c r="AW149" i="10" s="1"/>
  <c r="AV397" i="10"/>
  <c r="AX397" i="10" s="1"/>
  <c r="AV470" i="10"/>
  <c r="AX470" i="10" s="1"/>
  <c r="AE71" i="10"/>
  <c r="AV508" i="10"/>
  <c r="AX508" i="10" s="1"/>
  <c r="AR11" i="10"/>
  <c r="AS329" i="5"/>
  <c r="AT329" i="5" s="1"/>
  <c r="AS52" i="5"/>
  <c r="AU52" i="5" s="1"/>
  <c r="AD52" i="5"/>
  <c r="AD266" i="5"/>
  <c r="AS481" i="5"/>
  <c r="AT481" i="5" s="1"/>
  <c r="AS274" i="5"/>
  <c r="AU274" i="5" s="1"/>
  <c r="AD205" i="5"/>
  <c r="AD115" i="5"/>
  <c r="AS205" i="5"/>
  <c r="AU205" i="5" s="1"/>
  <c r="AE274" i="5"/>
  <c r="AD481" i="5"/>
  <c r="AS115" i="5"/>
  <c r="AT115" i="5" s="1"/>
  <c r="AS440" i="5"/>
  <c r="AT440" i="5" s="1"/>
  <c r="AS204" i="5"/>
  <c r="AU204" i="5" s="1"/>
  <c r="AS470" i="5"/>
  <c r="AT470" i="5" s="1"/>
  <c r="AS288" i="5"/>
  <c r="AU288" i="5" s="1"/>
  <c r="AE288" i="5"/>
  <c r="AS229" i="5"/>
  <c r="AU229" i="5" s="1"/>
  <c r="AS22" i="5"/>
  <c r="AU22" i="5" s="1"/>
  <c r="AS19" i="5"/>
  <c r="AT19" i="5" s="1"/>
  <c r="AS65" i="5"/>
  <c r="AU65" i="5" s="1"/>
  <c r="AE229" i="5"/>
  <c r="AU216" i="5"/>
  <c r="AD540" i="5"/>
  <c r="AE240" i="5"/>
  <c r="AE216" i="5"/>
  <c r="AS540" i="5"/>
  <c r="AT540" i="5" s="1"/>
  <c r="AD216" i="5"/>
  <c r="AS30" i="5"/>
  <c r="AT30" i="5" s="1"/>
  <c r="AE388" i="5"/>
  <c r="AS515" i="5"/>
  <c r="AT515" i="5" s="1"/>
  <c r="AE470" i="5"/>
  <c r="AD194" i="5"/>
  <c r="AS42" i="5"/>
  <c r="AU42" i="5" s="1"/>
  <c r="AD411" i="5"/>
  <c r="AS95" i="5"/>
  <c r="AT95" i="5" s="1"/>
  <c r="AS397" i="5"/>
  <c r="AT397" i="5" s="1"/>
  <c r="AE440" i="5"/>
  <c r="AE397" i="5"/>
  <c r="AS411" i="5"/>
  <c r="AU411" i="5" s="1"/>
  <c r="AU422" i="5"/>
  <c r="AS306" i="5"/>
  <c r="AU306" i="5" s="1"/>
  <c r="AD204" i="5"/>
  <c r="AE30" i="5"/>
  <c r="AD422" i="5"/>
  <c r="AE422" i="5"/>
  <c r="AE9" i="10"/>
  <c r="AD306" i="5"/>
  <c r="AS138" i="5"/>
  <c r="AT138" i="5" s="1"/>
  <c r="AE504" i="5"/>
  <c r="AD504" i="5"/>
  <c r="AD434" i="5"/>
  <c r="AD347" i="5"/>
  <c r="AP11" i="5"/>
  <c r="AR11" i="5" s="1"/>
  <c r="AE522" i="5"/>
  <c r="AT366" i="5"/>
  <c r="AD346" i="5"/>
  <c r="AD246" i="5"/>
  <c r="AE393" i="5"/>
  <c r="AE190" i="5"/>
  <c r="AD42" i="5"/>
  <c r="AD366" i="5"/>
  <c r="AU434" i="5"/>
  <c r="AS266" i="5"/>
  <c r="AT266" i="5" s="1"/>
  <c r="AD483" i="5"/>
  <c r="AS525" i="5"/>
  <c r="AT525" i="5" s="1"/>
  <c r="AE515" i="5"/>
  <c r="AT160" i="5"/>
  <c r="AS437" i="5"/>
  <c r="AT437" i="5" s="1"/>
  <c r="AS240" i="5"/>
  <c r="AU240" i="5" s="1"/>
  <c r="AD525" i="5"/>
  <c r="AD95" i="5"/>
  <c r="AT117" i="5"/>
  <c r="AS194" i="5"/>
  <c r="AU194" i="5" s="1"/>
  <c r="AD193" i="5"/>
  <c r="AE366" i="5"/>
  <c r="AE160" i="5"/>
  <c r="AD281" i="5"/>
  <c r="AN11" i="5"/>
  <c r="AD107" i="5"/>
  <c r="AE117" i="5"/>
  <c r="AD117" i="5"/>
  <c r="AS549" i="5"/>
  <c r="AU549" i="5" s="1"/>
  <c r="AD19" i="5"/>
  <c r="AU504" i="5"/>
  <c r="AD160" i="5"/>
  <c r="AS347" i="5"/>
  <c r="AT347" i="5" s="1"/>
  <c r="AV9" i="10"/>
  <c r="AW9" i="10" s="1"/>
  <c r="AS73" i="5"/>
  <c r="AT73" i="5" s="1"/>
  <c r="AS522" i="5"/>
  <c r="AU522" i="5" s="1"/>
  <c r="AE408" i="5"/>
  <c r="AD492" i="5"/>
  <c r="AD22" i="5"/>
  <c r="AS287" i="5"/>
  <c r="AT287" i="5" s="1"/>
  <c r="AE287" i="5"/>
  <c r="AE434" i="5"/>
  <c r="AE363" i="5"/>
  <c r="AE189" i="5"/>
  <c r="AS363" i="5"/>
  <c r="AU363" i="5" s="1"/>
  <c r="AS351" i="5"/>
  <c r="AT351" i="5" s="1"/>
  <c r="AS189" i="5"/>
  <c r="AT189" i="5" s="1"/>
  <c r="AD213" i="5"/>
  <c r="AS89" i="5"/>
  <c r="AU89" i="5" s="1"/>
  <c r="AD408" i="5"/>
  <c r="AD73" i="5"/>
  <c r="AE147" i="5"/>
  <c r="AS193" i="5"/>
  <c r="AU193" i="5" s="1"/>
  <c r="AS483" i="5"/>
  <c r="AT483" i="5" s="1"/>
  <c r="AD393" i="5"/>
  <c r="AS342" i="5"/>
  <c r="AT342" i="5" s="1"/>
  <c r="AT9" i="10"/>
  <c r="AU9" i="10"/>
  <c r="AW10" i="10"/>
  <c r="AX10" i="10"/>
  <c r="AT408" i="5"/>
  <c r="AD147" i="5"/>
  <c r="AE33" i="5"/>
  <c r="AU33" i="5"/>
  <c r="AE519" i="5"/>
  <c r="AE403" i="5"/>
  <c r="AE89" i="5"/>
  <c r="AS403" i="5"/>
  <c r="AT403" i="5" s="1"/>
  <c r="AE342" i="5"/>
  <c r="AE437" i="5"/>
  <c r="AD33" i="5"/>
  <c r="AS107" i="5"/>
  <c r="AU107" i="5" s="1"/>
  <c r="AE83" i="5"/>
  <c r="AS83" i="5"/>
  <c r="AT83" i="5" s="1"/>
  <c r="AE281" i="5"/>
  <c r="AS492" i="5"/>
  <c r="AT492" i="5" s="1"/>
  <c r="AT147" i="5"/>
  <c r="AT213" i="5"/>
  <c r="AW552" i="10"/>
  <c r="AX160" i="10"/>
  <c r="AX278" i="10"/>
  <c r="AW28" i="10"/>
  <c r="AT281" i="5"/>
  <c r="AT188" i="5"/>
  <c r="AS530" i="5"/>
  <c r="AT530" i="5" s="1"/>
  <c r="AU70" i="5"/>
  <c r="AS190" i="5"/>
  <c r="AU190" i="5" s="1"/>
  <c r="AE65" i="5"/>
  <c r="AD70" i="5"/>
  <c r="AS346" i="5"/>
  <c r="AT346" i="5" s="1"/>
  <c r="AS203" i="5"/>
  <c r="AU203" i="5" s="1"/>
  <c r="AS394" i="5"/>
  <c r="AU394" i="5" s="1"/>
  <c r="AD400" i="5"/>
  <c r="AE203" i="5"/>
  <c r="AE530" i="5"/>
  <c r="AE279" i="5"/>
  <c r="AS388" i="5"/>
  <c r="AU388" i="5" s="1"/>
  <c r="V11" i="5"/>
  <c r="AE188" i="5"/>
  <c r="AE207" i="5"/>
  <c r="AT279" i="5"/>
  <c r="AD279" i="5"/>
  <c r="AS400" i="5"/>
  <c r="AU400" i="5" s="1"/>
  <c r="AD188" i="5"/>
  <c r="AE70" i="5"/>
  <c r="AD207" i="5"/>
  <c r="AD311" i="5"/>
  <c r="AD170" i="5"/>
  <c r="AE213" i="5"/>
  <c r="AE100" i="5"/>
  <c r="AS519" i="5"/>
  <c r="AT519" i="5" s="1"/>
  <c r="AE138" i="5"/>
  <c r="AD329" i="5"/>
  <c r="AW312" i="10"/>
  <c r="AX312" i="10"/>
  <c r="AX527" i="10"/>
  <c r="AW527" i="10"/>
  <c r="AW122" i="10"/>
  <c r="AX122" i="10"/>
  <c r="AW371" i="10"/>
  <c r="AX371" i="10"/>
  <c r="AX53" i="10"/>
  <c r="AW53" i="10"/>
  <c r="AW198" i="10"/>
  <c r="AX198" i="10"/>
  <c r="AX472" i="10"/>
  <c r="AW472" i="10"/>
  <c r="AX46" i="10"/>
  <c r="AW46" i="10"/>
  <c r="AX306" i="10"/>
  <c r="AW306" i="10"/>
  <c r="AW204" i="10"/>
  <c r="AX204" i="10"/>
  <c r="AW421" i="10"/>
  <c r="AX421" i="10"/>
  <c r="AW142" i="10"/>
  <c r="AX142" i="10"/>
  <c r="AX476" i="10"/>
  <c r="AW476" i="10"/>
  <c r="AW498" i="10"/>
  <c r="AX498" i="10"/>
  <c r="AX79" i="10"/>
  <c r="AW79" i="10"/>
  <c r="AW383" i="10"/>
  <c r="AX383" i="10"/>
  <c r="AD60" i="5"/>
  <c r="AX443" i="10"/>
  <c r="AW443" i="10"/>
  <c r="AW56" i="10"/>
  <c r="AX56" i="10"/>
  <c r="AX247" i="10"/>
  <c r="AW247" i="10"/>
  <c r="AW54" i="10"/>
  <c r="AX54" i="10"/>
  <c r="AW224" i="10"/>
  <c r="AX224" i="10"/>
  <c r="AX506" i="10"/>
  <c r="AW506" i="10"/>
  <c r="AX207" i="10"/>
  <c r="AW207" i="10"/>
  <c r="AW368" i="10"/>
  <c r="AX368" i="10"/>
  <c r="AX449" i="10"/>
  <c r="AW449" i="10"/>
  <c r="AX117" i="10"/>
  <c r="AW117" i="10"/>
  <c r="AX131" i="10"/>
  <c r="AW131" i="10"/>
  <c r="AX108" i="10"/>
  <c r="AW108" i="10"/>
  <c r="AX297" i="10"/>
  <c r="AW297" i="10"/>
  <c r="AW417" i="10"/>
  <c r="AX417" i="10"/>
  <c r="AX259" i="10"/>
  <c r="AW259" i="10"/>
  <c r="AW387" i="10"/>
  <c r="AX387" i="10"/>
  <c r="AX478" i="10"/>
  <c r="AW478" i="10"/>
  <c r="AW520" i="10"/>
  <c r="AX520" i="10"/>
  <c r="AX124" i="10"/>
  <c r="AW124" i="10"/>
  <c r="AX370" i="10"/>
  <c r="AW370" i="10"/>
  <c r="AX547" i="10"/>
  <c r="AW547" i="10"/>
  <c r="AW92" i="10"/>
  <c r="AX92" i="10"/>
  <c r="AX386" i="10"/>
  <c r="AW386" i="10"/>
  <c r="AW364" i="10"/>
  <c r="AX364" i="10"/>
  <c r="AX428" i="10"/>
  <c r="AW428" i="10"/>
  <c r="AX445" i="10"/>
  <c r="AW445" i="10"/>
  <c r="AX503" i="10"/>
  <c r="AW503" i="10"/>
  <c r="AX129" i="10"/>
  <c r="AW129" i="10"/>
  <c r="AX152" i="10"/>
  <c r="AW152" i="10"/>
  <c r="AW493" i="10"/>
  <c r="AX493" i="10"/>
  <c r="AW78" i="10"/>
  <c r="AX78" i="10"/>
  <c r="AW280" i="10"/>
  <c r="AX280" i="10"/>
  <c r="AX309" i="10"/>
  <c r="AW309" i="10"/>
  <c r="AX551" i="10"/>
  <c r="AW551" i="10"/>
  <c r="AW52" i="10"/>
  <c r="AX52" i="10"/>
  <c r="AX169" i="10"/>
  <c r="AW169" i="10"/>
  <c r="AW45" i="10"/>
  <c r="AX45" i="10"/>
  <c r="AX127" i="10"/>
  <c r="AW127" i="10"/>
  <c r="AX416" i="10"/>
  <c r="AW416" i="10"/>
  <c r="AX115" i="10"/>
  <c r="AW115" i="10"/>
  <c r="AX426" i="10"/>
  <c r="AW426" i="10"/>
  <c r="AX398" i="10"/>
  <c r="AW398" i="10"/>
  <c r="AW62" i="10"/>
  <c r="AX62" i="10"/>
  <c r="AX229" i="10"/>
  <c r="AW229" i="10"/>
  <c r="AX245" i="10"/>
  <c r="AW245" i="10"/>
  <c r="AX390" i="10"/>
  <c r="AW390" i="10"/>
  <c r="AW172" i="10"/>
  <c r="AX172" i="10"/>
  <c r="AW553" i="10"/>
  <c r="AX553" i="10"/>
  <c r="AX282" i="10"/>
  <c r="AW282" i="10"/>
  <c r="AX22" i="10"/>
  <c r="AW22" i="10"/>
  <c r="AX295" i="10"/>
  <c r="AW295" i="10"/>
  <c r="AX510" i="10"/>
  <c r="AW510" i="10"/>
  <c r="AX185" i="10"/>
  <c r="AW185" i="10"/>
  <c r="AX529" i="10"/>
  <c r="AW529" i="10"/>
  <c r="AW542" i="10"/>
  <c r="AX542" i="10"/>
  <c r="AW230" i="10"/>
  <c r="AX230" i="10"/>
  <c r="AD176" i="5"/>
  <c r="AE423" i="5"/>
  <c r="AX25" i="10"/>
  <c r="AW25" i="10"/>
  <c r="AX374" i="10"/>
  <c r="AW374" i="10"/>
  <c r="AX408" i="10"/>
  <c r="AW408" i="10"/>
  <c r="AX157" i="10"/>
  <c r="AW157" i="10"/>
  <c r="AX279" i="10"/>
  <c r="AW279" i="10"/>
  <c r="AX442" i="10"/>
  <c r="AW442" i="10"/>
  <c r="AX95" i="10"/>
  <c r="AW95" i="10"/>
  <c r="AX173" i="10"/>
  <c r="AW173" i="10"/>
  <c r="AW170" i="10"/>
  <c r="AX170" i="10"/>
  <c r="AX531" i="10"/>
  <c r="AW531" i="10"/>
  <c r="AX355" i="10"/>
  <c r="AW355" i="10"/>
  <c r="AW348" i="10"/>
  <c r="AX348" i="10"/>
  <c r="AX333" i="10"/>
  <c r="AW333" i="10"/>
  <c r="AX77" i="10"/>
  <c r="AW77" i="10"/>
  <c r="AX307" i="10"/>
  <c r="AW307" i="10"/>
  <c r="AX384" i="10"/>
  <c r="AW384" i="10"/>
  <c r="AW532" i="10"/>
  <c r="AX532" i="10"/>
  <c r="AX233" i="10"/>
  <c r="AW233" i="10"/>
  <c r="AX249" i="10"/>
  <c r="AW249" i="10"/>
  <c r="AW516" i="10"/>
  <c r="AX516" i="10"/>
  <c r="AW180" i="10"/>
  <c r="AX180" i="10"/>
  <c r="AX111" i="10"/>
  <c r="AW111" i="10"/>
  <c r="AX277" i="10"/>
  <c r="AW277" i="10"/>
  <c r="AX322" i="10"/>
  <c r="AW322" i="10"/>
  <c r="AW427" i="10"/>
  <c r="AX427" i="10"/>
  <c r="AW134" i="10"/>
  <c r="AX134" i="10"/>
  <c r="AW194" i="10"/>
  <c r="AX194" i="10"/>
  <c r="AX257" i="10"/>
  <c r="AW257" i="10"/>
  <c r="AX402" i="10"/>
  <c r="AW402" i="10"/>
  <c r="AW30" i="10"/>
  <c r="AX30" i="10"/>
  <c r="AX177" i="10"/>
  <c r="AW177" i="10"/>
  <c r="AX337" i="10"/>
  <c r="AW337" i="10"/>
  <c r="AW391" i="10"/>
  <c r="AX391" i="10"/>
  <c r="AX317" i="10"/>
  <c r="AW317" i="10"/>
  <c r="AX366" i="10"/>
  <c r="AW366" i="10"/>
  <c r="AW395" i="10"/>
  <c r="AX395" i="10"/>
  <c r="AW526" i="10"/>
  <c r="AX526" i="10"/>
  <c r="AX99" i="10"/>
  <c r="AW99" i="10"/>
  <c r="AX231" i="10"/>
  <c r="AW231" i="10"/>
  <c r="AX437" i="10"/>
  <c r="AW437" i="10"/>
  <c r="AW76" i="10"/>
  <c r="AX76" i="10"/>
  <c r="AX153" i="10"/>
  <c r="AW153" i="10"/>
  <c r="AX35" i="10"/>
  <c r="AW35" i="10"/>
  <c r="AX211" i="10"/>
  <c r="AW211" i="10"/>
  <c r="AW380" i="10"/>
  <c r="AX380" i="10"/>
  <c r="AW168" i="10"/>
  <c r="AX168" i="10"/>
  <c r="AX65" i="10"/>
  <c r="AW65" i="10"/>
  <c r="AE529" i="5"/>
  <c r="AE215" i="5"/>
  <c r="AD215" i="5"/>
  <c r="AS482" i="5"/>
  <c r="AU482" i="5" s="1"/>
  <c r="AD305" i="5"/>
  <c r="AE305" i="5"/>
  <c r="AT305" i="5"/>
  <c r="AS90" i="5"/>
  <c r="AT90" i="5" s="1"/>
  <c r="AD90" i="5"/>
  <c r="AX39" i="10"/>
  <c r="AW39" i="10"/>
  <c r="AW376" i="10"/>
  <c r="AX376" i="10"/>
  <c r="AX107" i="10"/>
  <c r="AW107" i="10"/>
  <c r="AX273" i="10"/>
  <c r="AW273" i="10"/>
  <c r="AX418" i="10"/>
  <c r="AW418" i="10"/>
  <c r="AX484" i="10"/>
  <c r="AW484" i="10"/>
  <c r="AX543" i="10"/>
  <c r="AW543" i="10"/>
  <c r="AX541" i="10"/>
  <c r="AW541" i="10"/>
  <c r="AW34" i="10"/>
  <c r="AX34" i="10"/>
  <c r="AX420" i="10"/>
  <c r="AW420" i="10"/>
  <c r="AX113" i="10"/>
  <c r="AW113" i="10"/>
  <c r="AX303" i="10"/>
  <c r="AW303" i="10"/>
  <c r="AW94" i="10"/>
  <c r="AX94" i="10"/>
  <c r="AX274" i="10"/>
  <c r="AW274" i="10"/>
  <c r="AX537" i="10"/>
  <c r="AW537" i="10"/>
  <c r="AX66" i="10"/>
  <c r="AW66" i="10"/>
  <c r="AX125" i="10"/>
  <c r="AW125" i="10"/>
  <c r="AX456" i="10"/>
  <c r="AW456" i="10"/>
  <c r="AX305" i="10"/>
  <c r="AW305" i="10"/>
  <c r="AX175" i="10"/>
  <c r="AW175" i="10"/>
  <c r="AX343" i="10"/>
  <c r="AW343" i="10"/>
  <c r="AX321" i="10"/>
  <c r="AW321" i="10"/>
  <c r="AW448" i="10"/>
  <c r="AX448" i="10"/>
  <c r="AX535" i="10"/>
  <c r="AW535" i="10"/>
  <c r="AX20" i="10"/>
  <c r="AW20" i="10"/>
  <c r="AX550" i="10"/>
  <c r="AW550" i="10"/>
  <c r="AX87" i="10"/>
  <c r="AW87" i="10"/>
  <c r="AX41" i="10"/>
  <c r="AW41" i="10"/>
  <c r="AX488" i="10"/>
  <c r="AW488" i="10"/>
  <c r="AX482" i="10"/>
  <c r="AW482" i="10"/>
  <c r="AW514" i="10"/>
  <c r="AX514" i="10"/>
  <c r="AT373" i="5"/>
  <c r="AT207" i="5"/>
  <c r="AU100" i="5"/>
  <c r="AT393" i="5"/>
  <c r="AT256" i="5"/>
  <c r="AU253" i="5"/>
  <c r="AU337" i="5"/>
  <c r="AS176" i="5"/>
  <c r="AT176" i="5" s="1"/>
  <c r="AD529" i="5"/>
  <c r="AD100" i="5"/>
  <c r="AE60" i="5"/>
  <c r="AD94" i="5"/>
  <c r="AS94" i="5"/>
  <c r="AT94" i="5" s="1"/>
  <c r="AE360" i="5"/>
  <c r="AS170" i="5"/>
  <c r="AT170" i="5" s="1"/>
  <c r="AS257" i="5"/>
  <c r="AU257" i="5" s="1"/>
  <c r="AE61" i="5"/>
  <c r="AD410" i="5"/>
  <c r="AD373" i="5"/>
  <c r="AD326" i="5"/>
  <c r="AE355" i="5"/>
  <c r="AS355" i="5"/>
  <c r="AT355" i="5" s="1"/>
  <c r="AD421" i="5"/>
  <c r="AS292" i="5"/>
  <c r="AU292" i="5" s="1"/>
  <c r="AS545" i="5"/>
  <c r="AT545" i="5" s="1"/>
  <c r="AE256" i="5"/>
  <c r="AD383" i="5"/>
  <c r="AE394" i="5"/>
  <c r="AD162" i="5"/>
  <c r="AU162" i="5"/>
  <c r="AE86" i="5"/>
  <c r="AS421" i="5"/>
  <c r="AT421" i="5" s="1"/>
  <c r="AD47" i="5"/>
  <c r="AD549" i="5"/>
  <c r="AS47" i="5"/>
  <c r="AT47" i="5" s="1"/>
  <c r="AD239" i="5"/>
  <c r="AS239" i="5"/>
  <c r="AU239" i="5" s="1"/>
  <c r="AD201" i="5"/>
  <c r="AE201" i="5"/>
  <c r="AS410" i="5"/>
  <c r="AT410" i="5" s="1"/>
  <c r="AD500" i="5"/>
  <c r="AE311" i="5"/>
  <c r="AU201" i="5"/>
  <c r="AE109" i="5"/>
  <c r="AT109" i="5"/>
  <c r="AE541" i="5"/>
  <c r="AU541" i="5"/>
  <c r="AE520" i="5"/>
  <c r="AU520" i="5"/>
  <c r="AD541" i="5"/>
  <c r="AD296" i="5"/>
  <c r="AS246" i="5"/>
  <c r="AU246" i="5" s="1"/>
  <c r="AE351" i="5"/>
  <c r="AE292" i="5"/>
  <c r="AS296" i="5"/>
  <c r="AT296" i="5" s="1"/>
  <c r="AS503" i="5"/>
  <c r="AT503" i="5" s="1"/>
  <c r="AS196" i="5"/>
  <c r="AU196" i="5" s="1"/>
  <c r="AS383" i="5"/>
  <c r="AU383" i="5" s="1"/>
  <c r="AD109" i="5"/>
  <c r="AE227" i="5"/>
  <c r="AS154" i="5"/>
  <c r="AT154" i="5" s="1"/>
  <c r="AD196" i="5"/>
  <c r="AD520" i="5"/>
  <c r="AT311" i="5"/>
  <c r="AS67" i="5"/>
  <c r="AU67" i="5" s="1"/>
  <c r="AS423" i="5"/>
  <c r="AT423" i="5" s="1"/>
  <c r="AS86" i="5"/>
  <c r="AU86" i="5" s="1"/>
  <c r="AE257" i="5"/>
  <c r="AD61" i="5"/>
  <c r="AE337" i="5"/>
  <c r="AD337" i="5"/>
  <c r="AD253" i="5"/>
  <c r="AE460" i="5"/>
  <c r="AS326" i="5"/>
  <c r="AT326" i="5" s="1"/>
  <c r="AS127" i="5"/>
  <c r="AT127" i="5" s="1"/>
  <c r="AE373" i="5"/>
  <c r="AE472" i="5"/>
  <c r="AD256" i="5"/>
  <c r="AU360" i="5"/>
  <c r="AD27" i="5"/>
  <c r="AB11" i="5"/>
  <c r="AT215" i="5"/>
  <c r="AD67" i="5"/>
  <c r="AD432" i="5"/>
  <c r="AE162" i="5"/>
  <c r="AE253" i="5"/>
  <c r="AT61" i="5"/>
  <c r="AD127" i="5"/>
  <c r="AE496" i="5"/>
  <c r="AD482" i="5"/>
  <c r="AS496" i="5"/>
  <c r="AT496" i="5" s="1"/>
  <c r="AD360" i="5"/>
  <c r="AE536" i="5"/>
  <c r="AT227" i="5"/>
  <c r="AS191" i="5"/>
  <c r="AU191" i="5" s="1"/>
  <c r="AS114" i="5"/>
  <c r="AT114" i="5" s="1"/>
  <c r="AD227" i="5"/>
  <c r="AS536" i="5"/>
  <c r="AT536" i="5" s="1"/>
  <c r="AT54" i="5"/>
  <c r="AD335" i="5"/>
  <c r="AE544" i="5"/>
  <c r="AE480" i="5"/>
  <c r="AS156" i="5"/>
  <c r="AT156" i="5" s="1"/>
  <c r="AE114" i="5"/>
  <c r="AU51" i="5"/>
  <c r="AT280" i="5"/>
  <c r="AD319" i="5"/>
  <c r="AD219" i="5"/>
  <c r="AS380" i="5"/>
  <c r="AU380" i="5" s="1"/>
  <c r="AU484" i="5"/>
  <c r="AD179" i="5"/>
  <c r="AE420" i="5"/>
  <c r="AE111" i="5"/>
  <c r="AS354" i="5"/>
  <c r="AU354" i="5" s="1"/>
  <c r="AE128" i="5"/>
  <c r="AS226" i="5"/>
  <c r="AT226" i="5" s="1"/>
  <c r="AS271" i="5"/>
  <c r="AT271" i="5" s="1"/>
  <c r="AD268" i="5"/>
  <c r="AD442" i="5"/>
  <c r="AD484" i="5"/>
  <c r="AE183" i="5"/>
  <c r="AE545" i="5"/>
  <c r="AE118" i="5"/>
  <c r="AE435" i="5"/>
  <c r="AT413" i="5"/>
  <c r="AE200" i="5"/>
  <c r="AS111" i="5"/>
  <c r="AU111" i="5" s="1"/>
  <c r="AD395" i="5"/>
  <c r="AD259" i="5"/>
  <c r="AE395" i="5"/>
  <c r="AT200" i="5"/>
  <c r="AT217" i="5"/>
  <c r="AE210" i="5"/>
  <c r="AE212" i="5"/>
  <c r="AS532" i="5"/>
  <c r="AT532" i="5" s="1"/>
  <c r="AS546" i="5"/>
  <c r="AU546" i="5" s="1"/>
  <c r="AE442" i="5"/>
  <c r="AE226" i="5"/>
  <c r="AU502" i="5"/>
  <c r="AS210" i="5"/>
  <c r="AU210" i="5" s="1"/>
  <c r="AD183" i="5"/>
  <c r="AS39" i="5"/>
  <c r="AT39" i="5" s="1"/>
  <c r="AS75" i="5"/>
  <c r="AU75" i="5" s="1"/>
  <c r="AD51" i="5"/>
  <c r="AE280" i="5"/>
  <c r="AE179" i="5"/>
  <c r="AD110" i="5"/>
  <c r="AD137" i="5"/>
  <c r="AU128" i="5"/>
  <c r="AS336" i="5"/>
  <c r="AT336" i="5" s="1"/>
  <c r="AE547" i="5"/>
  <c r="AT448" i="5"/>
  <c r="AU49" i="5"/>
  <c r="AD280" i="5"/>
  <c r="AS544" i="5"/>
  <c r="AU544" i="5" s="1"/>
  <c r="AE502" i="5"/>
  <c r="AD217" i="5"/>
  <c r="AD113" i="5"/>
  <c r="AS444" i="5"/>
  <c r="AT444" i="5" s="1"/>
  <c r="AE381" i="5"/>
  <c r="AS212" i="5"/>
  <c r="AU212" i="5" s="1"/>
  <c r="AS435" i="5"/>
  <c r="AU435" i="5" s="1"/>
  <c r="AD156" i="5"/>
  <c r="AD149" i="5"/>
  <c r="AE71" i="5"/>
  <c r="AE532" i="5"/>
  <c r="AE546" i="5"/>
  <c r="AD200" i="5"/>
  <c r="AS235" i="5"/>
  <c r="AT235" i="5" s="1"/>
  <c r="AD191" i="5"/>
  <c r="AE137" i="5"/>
  <c r="AS259" i="5"/>
  <c r="AT259" i="5" s="1"/>
  <c r="AE336" i="5"/>
  <c r="AE484" i="5"/>
  <c r="AD514" i="5"/>
  <c r="AS514" i="5"/>
  <c r="AU514" i="5" s="1"/>
  <c r="AE533" i="5"/>
  <c r="AS426" i="5"/>
  <c r="AT426" i="5" s="1"/>
  <c r="AD241" i="5"/>
  <c r="AS378" i="5"/>
  <c r="AU378" i="5" s="1"/>
  <c r="AE97" i="5"/>
  <c r="AD244" i="5"/>
  <c r="AD136" i="5"/>
  <c r="AS35" i="5"/>
  <c r="AT35" i="5" s="1"/>
  <c r="AE136" i="5"/>
  <c r="AD66" i="5"/>
  <c r="AE102" i="5"/>
  <c r="AS300" i="5"/>
  <c r="AT300" i="5" s="1"/>
  <c r="AE35" i="5"/>
  <c r="AT66" i="5"/>
  <c r="AE66" i="5"/>
  <c r="AU206" i="5"/>
  <c r="AT364" i="5"/>
  <c r="AD503" i="5"/>
  <c r="AS244" i="5"/>
  <c r="AT244" i="5" s="1"/>
  <c r="AD177" i="5"/>
  <c r="AT341" i="5"/>
  <c r="AE241" i="5"/>
  <c r="AD369" i="5"/>
  <c r="AE293" i="5"/>
  <c r="AE177" i="5"/>
  <c r="AE69" i="5"/>
  <c r="AE341" i="5"/>
  <c r="AS102" i="5"/>
  <c r="AT102" i="5" s="1"/>
  <c r="AE426" i="5"/>
  <c r="AS417" i="5"/>
  <c r="AU417" i="5" s="1"/>
  <c r="AS97" i="5"/>
  <c r="AU97" i="5" s="1"/>
  <c r="AS324" i="5"/>
  <c r="AT324" i="5" s="1"/>
  <c r="AE378" i="5"/>
  <c r="AD371" i="5"/>
  <c r="AS371" i="5"/>
  <c r="AU371" i="5" s="1"/>
  <c r="AD154" i="5"/>
  <c r="AD324" i="5"/>
  <c r="AD417" i="5"/>
  <c r="AD206" i="5"/>
  <c r="AE452" i="5"/>
  <c r="AE553" i="5"/>
  <c r="AD518" i="5"/>
  <c r="AS518" i="5"/>
  <c r="AT518" i="5" s="1"/>
  <c r="AE75" i="5"/>
  <c r="AE217" i="5"/>
  <c r="AD444" i="5"/>
  <c r="AS79" i="5"/>
  <c r="AT79" i="5" s="1"/>
  <c r="AD413" i="5"/>
  <c r="AD271" i="5"/>
  <c r="AD118" i="5"/>
  <c r="AD480" i="5"/>
  <c r="AS368" i="5"/>
  <c r="AT368" i="5" s="1"/>
  <c r="AD71" i="5"/>
  <c r="AS313" i="5"/>
  <c r="AT313" i="5" s="1"/>
  <c r="AE354" i="5"/>
  <c r="AS278" i="5"/>
  <c r="AT278" i="5" s="1"/>
  <c r="AS268" i="5"/>
  <c r="AU268" i="5" s="1"/>
  <c r="AD278" i="5"/>
  <c r="AS219" i="5"/>
  <c r="AU219" i="5" s="1"/>
  <c r="AT110" i="5"/>
  <c r="AE339" i="5"/>
  <c r="AE110" i="5"/>
  <c r="AS335" i="5"/>
  <c r="AT335" i="5" s="1"/>
  <c r="AE235" i="5"/>
  <c r="AT442" i="5"/>
  <c r="AT137" i="5"/>
  <c r="AS318" i="5"/>
  <c r="AU318" i="5" s="1"/>
  <c r="AE53" i="5"/>
  <c r="AU395" i="5"/>
  <c r="AE143" i="5"/>
  <c r="AS330" i="5"/>
  <c r="AT330" i="5" s="1"/>
  <c r="AU113" i="5"/>
  <c r="AT339" i="5"/>
  <c r="AE51" i="5"/>
  <c r="AT183" i="5"/>
  <c r="AD172" i="5"/>
  <c r="AE319" i="5"/>
  <c r="AS420" i="5"/>
  <c r="AT420" i="5" s="1"/>
  <c r="AS460" i="5"/>
  <c r="AU460" i="5" s="1"/>
  <c r="AE54" i="5"/>
  <c r="AU179" i="5"/>
  <c r="AD502" i="5"/>
  <c r="AT319" i="5"/>
  <c r="AS172" i="5"/>
  <c r="AT172" i="5" s="1"/>
  <c r="AE79" i="5"/>
  <c r="AD380" i="5"/>
  <c r="AE413" i="5"/>
  <c r="AS149" i="5"/>
  <c r="AU149" i="5" s="1"/>
  <c r="AU118" i="5"/>
  <c r="AD461" i="5"/>
  <c r="AT480" i="5"/>
  <c r="AD368" i="5"/>
  <c r="AE113" i="5"/>
  <c r="AD313" i="5"/>
  <c r="AS381" i="5"/>
  <c r="AU381" i="5" s="1"/>
  <c r="AT71" i="5"/>
  <c r="AS53" i="5"/>
  <c r="AT53" i="5" s="1"/>
  <c r="AD448" i="5"/>
  <c r="AD339" i="5"/>
  <c r="AS250" i="5"/>
  <c r="AT250" i="5" s="1"/>
  <c r="AD128" i="5"/>
  <c r="AS367" i="5"/>
  <c r="AU367" i="5" s="1"/>
  <c r="AD250" i="5"/>
  <c r="AS463" i="5"/>
  <c r="AT463" i="5" s="1"/>
  <c r="AS547" i="5"/>
  <c r="AU547" i="5" s="1"/>
  <c r="AD54" i="5"/>
  <c r="AS273" i="5"/>
  <c r="AU273" i="5" s="1"/>
  <c r="AD169" i="5"/>
  <c r="AU553" i="5"/>
  <c r="AK11" i="5"/>
  <c r="AS459" i="5"/>
  <c r="AT459" i="5" s="1"/>
  <c r="AS143" i="5"/>
  <c r="AT143" i="5" s="1"/>
  <c r="AD416" i="5"/>
  <c r="AE461" i="5"/>
  <c r="AS416" i="5"/>
  <c r="AU416" i="5" s="1"/>
  <c r="AE330" i="5"/>
  <c r="AE169" i="5"/>
  <c r="AS500" i="5"/>
  <c r="AT500" i="5" s="1"/>
  <c r="AL11" i="5"/>
  <c r="AE459" i="5"/>
  <c r="AS452" i="5"/>
  <c r="AU452" i="5" s="1"/>
  <c r="AD273" i="5"/>
  <c r="AU169" i="5"/>
  <c r="AD542" i="5"/>
  <c r="AD553" i="5"/>
  <c r="AS199" i="5"/>
  <c r="AT199" i="5" s="1"/>
  <c r="AS166" i="5"/>
  <c r="AT166" i="5" s="1"/>
  <c r="AE450" i="5"/>
  <c r="AD465" i="5"/>
  <c r="AD450" i="5"/>
  <c r="AS407" i="5"/>
  <c r="AT407" i="5" s="1"/>
  <c r="AS348" i="5"/>
  <c r="AT348" i="5" s="1"/>
  <c r="AU81" i="5"/>
  <c r="AE157" i="5"/>
  <c r="AS68" i="5"/>
  <c r="AT68" i="5" s="1"/>
  <c r="AS552" i="5"/>
  <c r="AU552" i="5" s="1"/>
  <c r="AE105" i="5"/>
  <c r="AD105" i="5"/>
  <c r="AE81" i="5"/>
  <c r="AT450" i="5"/>
  <c r="AT357" i="5"/>
  <c r="AD157" i="5"/>
  <c r="AD263" i="5"/>
  <c r="AU105" i="5"/>
  <c r="AD81" i="5"/>
  <c r="AS441" i="5"/>
  <c r="AT441" i="5" s="1"/>
  <c r="AD382" i="5"/>
  <c r="AE99" i="5"/>
  <c r="AD405" i="5"/>
  <c r="AS369" i="5"/>
  <c r="AU369" i="5" s="1"/>
  <c r="AE527" i="5"/>
  <c r="AS293" i="5"/>
  <c r="AU293" i="5" s="1"/>
  <c r="AD477" i="5"/>
  <c r="AS477" i="5"/>
  <c r="AT477" i="5" s="1"/>
  <c r="AD341" i="5"/>
  <c r="AS533" i="5"/>
  <c r="AT533" i="5" s="1"/>
  <c r="AT241" i="5"/>
  <c r="AU69" i="5"/>
  <c r="AD69" i="5"/>
  <c r="AE10" i="5"/>
  <c r="AC11" i="5"/>
  <c r="AE11" i="5" s="1"/>
  <c r="AS391" i="5"/>
  <c r="AT391" i="5" s="1"/>
  <c r="AE206" i="5"/>
  <c r="AE391" i="5"/>
  <c r="AD300" i="5"/>
  <c r="Y11" i="5"/>
  <c r="AU27" i="5"/>
  <c r="AE284" i="5"/>
  <c r="AE465" i="5"/>
  <c r="AE552" i="5"/>
  <c r="AS429" i="5"/>
  <c r="AU429" i="5" s="1"/>
  <c r="AS560" i="5"/>
  <c r="AU560" i="5" s="1"/>
  <c r="AD462" i="5"/>
  <c r="AU238" i="5"/>
  <c r="AE429" i="5"/>
  <c r="AS432" i="5"/>
  <c r="AT432" i="5" s="1"/>
  <c r="AD192" i="5"/>
  <c r="AS99" i="5"/>
  <c r="AT99" i="5" s="1"/>
  <c r="AS370" i="5"/>
  <c r="AT370" i="5" s="1"/>
  <c r="AE357" i="5"/>
  <c r="AD238" i="5"/>
  <c r="AT192" i="5"/>
  <c r="AS221" i="5"/>
  <c r="AT221" i="5" s="1"/>
  <c r="AS263" i="5"/>
  <c r="AT263" i="5" s="1"/>
  <c r="AD221" i="5"/>
  <c r="AE387" i="5"/>
  <c r="AE68" i="5"/>
  <c r="AD199" i="5"/>
  <c r="AE166" i="5"/>
  <c r="AD303" i="5"/>
  <c r="AS334" i="5"/>
  <c r="AT334" i="5" s="1"/>
  <c r="AD175" i="5"/>
  <c r="AE334" i="5"/>
  <c r="AS382" i="5"/>
  <c r="AU382" i="5" s="1"/>
  <c r="AE29" i="5"/>
  <c r="AE370" i="5"/>
  <c r="AS405" i="5"/>
  <c r="AU405" i="5" s="1"/>
  <c r="AS554" i="5"/>
  <c r="AU554" i="5" s="1"/>
  <c r="AD554" i="5"/>
  <c r="AS387" i="5"/>
  <c r="AT387" i="5" s="1"/>
  <c r="AD357" i="5"/>
  <c r="AT157" i="5"/>
  <c r="AS175" i="5"/>
  <c r="AU175" i="5" s="1"/>
  <c r="AS472" i="5"/>
  <c r="AU472" i="5" s="1"/>
  <c r="AD43" i="5"/>
  <c r="AE560" i="5"/>
  <c r="AE27" i="5"/>
  <c r="AE462" i="5"/>
  <c r="AU462" i="5"/>
  <c r="S11" i="5"/>
  <c r="AS379" i="5"/>
  <c r="AU379" i="5" s="1"/>
  <c r="AS449" i="5"/>
  <c r="AU449" i="5" s="1"/>
  <c r="AS106" i="5"/>
  <c r="AU106" i="5" s="1"/>
  <c r="AS270" i="5"/>
  <c r="AT270" i="5" s="1"/>
  <c r="AS76" i="5"/>
  <c r="AU76" i="5" s="1"/>
  <c r="AE76" i="5"/>
  <c r="AD407" i="5"/>
  <c r="AS284" i="5"/>
  <c r="AT284" i="5" s="1"/>
  <c r="AE192" i="5"/>
  <c r="AS120" i="5"/>
  <c r="AT120" i="5" s="1"/>
  <c r="AE270" i="5"/>
  <c r="AS436" i="5"/>
  <c r="AT436" i="5" s="1"/>
  <c r="AD449" i="5"/>
  <c r="AS29" i="5"/>
  <c r="AU29" i="5" s="1"/>
  <c r="AE436" i="5"/>
  <c r="AS230" i="5"/>
  <c r="AT230" i="5" s="1"/>
  <c r="AS198" i="5"/>
  <c r="AT198" i="5" s="1"/>
  <c r="AT290" i="5"/>
  <c r="AT433" i="5"/>
  <c r="AS133" i="5"/>
  <c r="AT133" i="5" s="1"/>
  <c r="AE386" i="5"/>
  <c r="AE254" i="5"/>
  <c r="AE133" i="5"/>
  <c r="AD230" i="5"/>
  <c r="AS314" i="5"/>
  <c r="AT314" i="5" s="1"/>
  <c r="AE120" i="5"/>
  <c r="AS303" i="5"/>
  <c r="AU303" i="5" s="1"/>
  <c r="AE464" i="5"/>
  <c r="AE43" i="5"/>
  <c r="AT286" i="5"/>
  <c r="AE234" i="5"/>
  <c r="AE104" i="5"/>
  <c r="AS236" i="5"/>
  <c r="AU236" i="5" s="1"/>
  <c r="AE364" i="5"/>
  <c r="AU43" i="5"/>
  <c r="AS180" i="5"/>
  <c r="AT180" i="5" s="1"/>
  <c r="AS464" i="5"/>
  <c r="AU464" i="5" s="1"/>
  <c r="AD236" i="5"/>
  <c r="AE456" i="5"/>
  <c r="AS456" i="5"/>
  <c r="AT456" i="5" s="1"/>
  <c r="AT202" i="5"/>
  <c r="AU62" i="5"/>
  <c r="AT173" i="5"/>
  <c r="AS261" i="5"/>
  <c r="AU261" i="5" s="1"/>
  <c r="AE202" i="5"/>
  <c r="AE238" i="5"/>
  <c r="AT365" i="5"/>
  <c r="AE243" i="5"/>
  <c r="AS285" i="5"/>
  <c r="AT285" i="5" s="1"/>
  <c r="AE173" i="5"/>
  <c r="AD392" i="5"/>
  <c r="AT32" i="5"/>
  <c r="AD173" i="5"/>
  <c r="AD418" i="5"/>
  <c r="AU392" i="5"/>
  <c r="AD352" i="5"/>
  <c r="AS26" i="5"/>
  <c r="AU26" i="5" s="1"/>
  <c r="AD267" i="5"/>
  <c r="AE418" i="5"/>
  <c r="AS385" i="5"/>
  <c r="AT385" i="5" s="1"/>
  <c r="AD488" i="5"/>
  <c r="AS542" i="5"/>
  <c r="AU542" i="5" s="1"/>
  <c r="AS242" i="5"/>
  <c r="AT242" i="5" s="1"/>
  <c r="AD285" i="5"/>
  <c r="AE392" i="5"/>
  <c r="AE62" i="5"/>
  <c r="AD401" i="5"/>
  <c r="AE153" i="5"/>
  <c r="AS356" i="5"/>
  <c r="AU356" i="5" s="1"/>
  <c r="AD385" i="5"/>
  <c r="AD39" i="5"/>
  <c r="AD463" i="5"/>
  <c r="AD367" i="5"/>
  <c r="AS507" i="5"/>
  <c r="AT507" i="5" s="1"/>
  <c r="AS521" i="5"/>
  <c r="AU521" i="5" s="1"/>
  <c r="AS455" i="5"/>
  <c r="AU455" i="5" s="1"/>
  <c r="AS486" i="5"/>
  <c r="AU486" i="5" s="1"/>
  <c r="AE455" i="5"/>
  <c r="AE486" i="5"/>
  <c r="AD527" i="5"/>
  <c r="AE232" i="5"/>
  <c r="AE548" i="5"/>
  <c r="AE286" i="5"/>
  <c r="AE439" i="5"/>
  <c r="AS255" i="5"/>
  <c r="AU255" i="5" s="1"/>
  <c r="AS331" i="5"/>
  <c r="AT331" i="5" s="1"/>
  <c r="AT248" i="5"/>
  <c r="AT116" i="5"/>
  <c r="AU475" i="5"/>
  <c r="AE145" i="5"/>
  <c r="AD286" i="5"/>
  <c r="AE262" i="5"/>
  <c r="AE180" i="5"/>
  <c r="AU548" i="5"/>
  <c r="AE103" i="5"/>
  <c r="AS491" i="5"/>
  <c r="AT491" i="5" s="1"/>
  <c r="AE349" i="5"/>
  <c r="AT332" i="5"/>
  <c r="AE165" i="5"/>
  <c r="AS264" i="5"/>
  <c r="AU264" i="5" s="1"/>
  <c r="AS262" i="5"/>
  <c r="AT262" i="5" s="1"/>
  <c r="AE116" i="5"/>
  <c r="AS103" i="5"/>
  <c r="AT103" i="5" s="1"/>
  <c r="AD116" i="5"/>
  <c r="AD548" i="5"/>
  <c r="AE331" i="5"/>
  <c r="AE255" i="5"/>
  <c r="AD364" i="5"/>
  <c r="AT267" i="5"/>
  <c r="AU283" i="5"/>
  <c r="AS243" i="5"/>
  <c r="AU243" i="5" s="1"/>
  <c r="AD386" i="5"/>
  <c r="AE333" i="5"/>
  <c r="AD62" i="5"/>
  <c r="AD441" i="5"/>
  <c r="AD48" i="5"/>
  <c r="AD38" i="5"/>
  <c r="AD202" i="5"/>
  <c r="AS38" i="5"/>
  <c r="AT38" i="5" s="1"/>
  <c r="AU308" i="5"/>
  <c r="AE475" i="5"/>
  <c r="AE32" i="5"/>
  <c r="AE352" i="5"/>
  <c r="AS254" i="5"/>
  <c r="AT254" i="5" s="1"/>
  <c r="AD26" i="5"/>
  <c r="AE242" i="5"/>
  <c r="AE267" i="5"/>
  <c r="AD283" i="5"/>
  <c r="AS333" i="5"/>
  <c r="AU333" i="5" s="1"/>
  <c r="AT63" i="5"/>
  <c r="AS123" i="5"/>
  <c r="AU123" i="5" s="1"/>
  <c r="AD248" i="5"/>
  <c r="AD361" i="5"/>
  <c r="AE155" i="5"/>
  <c r="AD93" i="5"/>
  <c r="AD129" i="5"/>
  <c r="AD232" i="5"/>
  <c r="AT234" i="5"/>
  <c r="AU78" i="5"/>
  <c r="AD184" i="5"/>
  <c r="AS531" i="5"/>
  <c r="AT531" i="5" s="1"/>
  <c r="AE431" i="5"/>
  <c r="AE332" i="5"/>
  <c r="AD276" i="5"/>
  <c r="AD98" i="5"/>
  <c r="AE88" i="5"/>
  <c r="AD433" i="5"/>
  <c r="AD396" i="5"/>
  <c r="AD402" i="5"/>
  <c r="AE272" i="5"/>
  <c r="AT510" i="5"/>
  <c r="AS165" i="5"/>
  <c r="AT165" i="5" s="1"/>
  <c r="AE299" i="5"/>
  <c r="AE106" i="5"/>
  <c r="AS211" i="5"/>
  <c r="AT211" i="5" s="1"/>
  <c r="AD104" i="5"/>
  <c r="AS129" i="5"/>
  <c r="AU129" i="5" s="1"/>
  <c r="AS93" i="5"/>
  <c r="AT93" i="5" s="1"/>
  <c r="AE317" i="5"/>
  <c r="AE433" i="5"/>
  <c r="AD88" i="5"/>
  <c r="AS272" i="5"/>
  <c r="AU272" i="5" s="1"/>
  <c r="AE248" i="5"/>
  <c r="AD290" i="5"/>
  <c r="AE376" i="5"/>
  <c r="AS439" i="5"/>
  <c r="AT439" i="5" s="1"/>
  <c r="AS310" i="5"/>
  <c r="AU310" i="5" s="1"/>
  <c r="AU317" i="5"/>
  <c r="AS307" i="5"/>
  <c r="AT307" i="5" s="1"/>
  <c r="AD40" i="5"/>
  <c r="AD379" i="5"/>
  <c r="AS222" i="5"/>
  <c r="AT222" i="5" s="1"/>
  <c r="AS224" i="5"/>
  <c r="AT224" i="5" s="1"/>
  <c r="AD531" i="5"/>
  <c r="AD332" i="5"/>
  <c r="AS159" i="5"/>
  <c r="AT159" i="5" s="1"/>
  <c r="AS321" i="5"/>
  <c r="AT321" i="5" s="1"/>
  <c r="AE321" i="5"/>
  <c r="AD96" i="5"/>
  <c r="AE96" i="5"/>
  <c r="AD510" i="5"/>
  <c r="AD320" i="5"/>
  <c r="AE310" i="5"/>
  <c r="AE25" i="5"/>
  <c r="AE290" i="5"/>
  <c r="AE264" i="5"/>
  <c r="AU424" i="5"/>
  <c r="AE123" i="5"/>
  <c r="AE31" i="5"/>
  <c r="AE98" i="5"/>
  <c r="AE184" i="5"/>
  <c r="AD28" i="5"/>
  <c r="AE168" i="5"/>
  <c r="AD234" i="5"/>
  <c r="AS31" i="5"/>
  <c r="AT31" i="5" s="1"/>
  <c r="AS511" i="5"/>
  <c r="AT511" i="5" s="1"/>
  <c r="AD317" i="5"/>
  <c r="AS431" i="5"/>
  <c r="AU431" i="5" s="1"/>
  <c r="AD198" i="5"/>
  <c r="AS233" i="5"/>
  <c r="AT233" i="5" s="1"/>
  <c r="AE358" i="5"/>
  <c r="AD218" i="5"/>
  <c r="AE314" i="5"/>
  <c r="AD558" i="5"/>
  <c r="AS25" i="5"/>
  <c r="AU25" i="5" s="1"/>
  <c r="AS524" i="5"/>
  <c r="AU524" i="5" s="1"/>
  <c r="AT96" i="5"/>
  <c r="AS396" i="5"/>
  <c r="AT396" i="5" s="1"/>
  <c r="AD282" i="5"/>
  <c r="AD491" i="5"/>
  <c r="AE414" i="5"/>
  <c r="AS414" i="5"/>
  <c r="AT414" i="5" s="1"/>
  <c r="AD475" i="5"/>
  <c r="AD307" i="5"/>
  <c r="AD145" i="5"/>
  <c r="AD328" i="5"/>
  <c r="AS50" i="5"/>
  <c r="AT50" i="5" s="1"/>
  <c r="AE499" i="5"/>
  <c r="AS325" i="5"/>
  <c r="AU325" i="5" s="1"/>
  <c r="AD13" i="5"/>
  <c r="AE489" i="5"/>
  <c r="AT489" i="5"/>
  <c r="AS168" i="5"/>
  <c r="AT168" i="5" s="1"/>
  <c r="AS328" i="5"/>
  <c r="AT328" i="5" s="1"/>
  <c r="AD499" i="5"/>
  <c r="AT13" i="5"/>
  <c r="AS340" i="5"/>
  <c r="AT340" i="5" s="1"/>
  <c r="AD489" i="5"/>
  <c r="AD490" i="5"/>
  <c r="AE181" i="5"/>
  <c r="AT57" i="5"/>
  <c r="AD181" i="5"/>
  <c r="AD50" i="5"/>
  <c r="AD424" i="5"/>
  <c r="AU174" i="5"/>
  <c r="AD141" i="5"/>
  <c r="AU145" i="5"/>
  <c r="AE141" i="5"/>
  <c r="AE424" i="5"/>
  <c r="AS349" i="5"/>
  <c r="AT349" i="5" s="1"/>
  <c r="AD57" i="5"/>
  <c r="AS490" i="5"/>
  <c r="AT490" i="5" s="1"/>
  <c r="AE57" i="5"/>
  <c r="AE13" i="5"/>
  <c r="AT517" i="5"/>
  <c r="AU231" i="5"/>
  <c r="AT506" i="5"/>
  <c r="AD32" i="5"/>
  <c r="AT352" i="5"/>
  <c r="AE119" i="5"/>
  <c r="AE398" i="5"/>
  <c r="AE171" i="5"/>
  <c r="AD261" i="5"/>
  <c r="AS225" i="5"/>
  <c r="AT225" i="5" s="1"/>
  <c r="AS469" i="5"/>
  <c r="AT469" i="5" s="1"/>
  <c r="AE237" i="5"/>
  <c r="AD359" i="5"/>
  <c r="AD543" i="5"/>
  <c r="AD87" i="5"/>
  <c r="AU418" i="5"/>
  <c r="AS298" i="5"/>
  <c r="AU298" i="5" s="1"/>
  <c r="AE209" i="5"/>
  <c r="AE438" i="5"/>
  <c r="AT495" i="5"/>
  <c r="AS516" i="5"/>
  <c r="AT516" i="5" s="1"/>
  <c r="AE308" i="5"/>
  <c r="AE91" i="5"/>
  <c r="AD122" i="5"/>
  <c r="AE225" i="5"/>
  <c r="AE517" i="5"/>
  <c r="AD506" i="5"/>
  <c r="AS359" i="5"/>
  <c r="AU359" i="5" s="1"/>
  <c r="AD428" i="5"/>
  <c r="AE283" i="5"/>
  <c r="AS443" i="5"/>
  <c r="AU443" i="5" s="1"/>
  <c r="AD516" i="5"/>
  <c r="AS494" i="5"/>
  <c r="AU494" i="5" s="1"/>
  <c r="AD495" i="5"/>
  <c r="AS485" i="5"/>
  <c r="AU485" i="5" s="1"/>
  <c r="AE140" i="5"/>
  <c r="AS415" i="5"/>
  <c r="AT415" i="5" s="1"/>
  <c r="AS428" i="5"/>
  <c r="AU428" i="5" s="1"/>
  <c r="AE494" i="5"/>
  <c r="AD365" i="5"/>
  <c r="AE495" i="5"/>
  <c r="AD231" i="5"/>
  <c r="AS12" i="5"/>
  <c r="AT12" i="5" s="1"/>
  <c r="AT353" i="5"/>
  <c r="AS139" i="5"/>
  <c r="AT139" i="5" s="1"/>
  <c r="AT499" i="5"/>
  <c r="AE505" i="5"/>
  <c r="AS390" i="5"/>
  <c r="AU390" i="5" s="1"/>
  <c r="AS85" i="5"/>
  <c r="AU85" i="5" s="1"/>
  <c r="AT184" i="5"/>
  <c r="AS155" i="5"/>
  <c r="AU155" i="5" s="1"/>
  <c r="AE224" i="5"/>
  <c r="AT141" i="5"/>
  <c r="AD222" i="5"/>
  <c r="AE327" i="5"/>
  <c r="AD92" i="5"/>
  <c r="AE430" i="5"/>
  <c r="AE208" i="5"/>
  <c r="AE220" i="5"/>
  <c r="AS425" i="5"/>
  <c r="AT425" i="5" s="1"/>
  <c r="AD78" i="5"/>
  <c r="AE159" i="5"/>
  <c r="AS282" i="5"/>
  <c r="AU282" i="5" s="1"/>
  <c r="AS473" i="5"/>
  <c r="AU473" i="5" s="1"/>
  <c r="AT467" i="5"/>
  <c r="AD467" i="5"/>
  <c r="AE473" i="5"/>
  <c r="AS10" i="5"/>
  <c r="AT10" i="5" s="1"/>
  <c r="AD501" i="5"/>
  <c r="AE555" i="5"/>
  <c r="AS402" i="5"/>
  <c r="AT402" i="5" s="1"/>
  <c r="AS320" i="5"/>
  <c r="AT320" i="5" s="1"/>
  <c r="AT550" i="5"/>
  <c r="AE174" i="5"/>
  <c r="AE182" i="5"/>
  <c r="AS478" i="5"/>
  <c r="AU478" i="5" s="1"/>
  <c r="AT538" i="5"/>
  <c r="AS28" i="5"/>
  <c r="AU28" i="5" s="1"/>
  <c r="AS40" i="5"/>
  <c r="AU40" i="5" s="1"/>
  <c r="AE535" i="5"/>
  <c r="AE511" i="5"/>
  <c r="AD23" i="5"/>
  <c r="AD233" i="5"/>
  <c r="AS558" i="5"/>
  <c r="AT558" i="5" s="1"/>
  <c r="AE228" i="5"/>
  <c r="AS92" i="5"/>
  <c r="AT92" i="5" s="1"/>
  <c r="AE63" i="5"/>
  <c r="AD63" i="5"/>
  <c r="AS361" i="5"/>
  <c r="AU361" i="5" s="1"/>
  <c r="AS474" i="5"/>
  <c r="AU474" i="5" s="1"/>
  <c r="AS535" i="5"/>
  <c r="AT535" i="5" s="1"/>
  <c r="AS208" i="5"/>
  <c r="AT208" i="5" s="1"/>
  <c r="AD425" i="5"/>
  <c r="AS228" i="5"/>
  <c r="AT228" i="5" s="1"/>
  <c r="AE78" i="5"/>
  <c r="AT88" i="5"/>
  <c r="AS220" i="5"/>
  <c r="AU220" i="5" s="1"/>
  <c r="AE524" i="5"/>
  <c r="AS555" i="5"/>
  <c r="AT555" i="5" s="1"/>
  <c r="AS163" i="5"/>
  <c r="AU163" i="5" s="1"/>
  <c r="AE510" i="5"/>
  <c r="AE340" i="5"/>
  <c r="AS276" i="5"/>
  <c r="AT276" i="5" s="1"/>
  <c r="AD163" i="5"/>
  <c r="AD478" i="5"/>
  <c r="AS302" i="5"/>
  <c r="AT302" i="5" s="1"/>
  <c r="AE302" i="5"/>
  <c r="AS140" i="5"/>
  <c r="AT140" i="5" s="1"/>
  <c r="AE122" i="5"/>
  <c r="AD299" i="5"/>
  <c r="AD398" i="5"/>
  <c r="AD171" i="5"/>
  <c r="AE474" i="5"/>
  <c r="AS23" i="5"/>
  <c r="AT23" i="5" s="1"/>
  <c r="AS153" i="5"/>
  <c r="AT153" i="5" s="1"/>
  <c r="AS48" i="5"/>
  <c r="AU48" i="5" s="1"/>
  <c r="AE543" i="5"/>
  <c r="AE469" i="5"/>
  <c r="AE139" i="5"/>
  <c r="AS269" i="5"/>
  <c r="AT269" i="5" s="1"/>
  <c r="AD298" i="5"/>
  <c r="AS209" i="5"/>
  <c r="AT209" i="5" s="1"/>
  <c r="AE338" i="5"/>
  <c r="AS438" i="5"/>
  <c r="AU438" i="5" s="1"/>
  <c r="AU299" i="5"/>
  <c r="AD195" i="5"/>
  <c r="AE251" i="5"/>
  <c r="AE325" i="5"/>
  <c r="AE467" i="5"/>
  <c r="AE231" i="5"/>
  <c r="AS406" i="5"/>
  <c r="AT406" i="5" s="1"/>
  <c r="AD308" i="5"/>
  <c r="AS377" i="5"/>
  <c r="AT377" i="5" s="1"/>
  <c r="AS91" i="5"/>
  <c r="AT91" i="5" s="1"/>
  <c r="AT171" i="5"/>
  <c r="AS119" i="5"/>
  <c r="AU119" i="5" s="1"/>
  <c r="AS82" i="5"/>
  <c r="AU82" i="5" s="1"/>
  <c r="AD82" i="5"/>
  <c r="AD415" i="5"/>
  <c r="AS358" i="5"/>
  <c r="AT358" i="5" s="1"/>
  <c r="AE211" i="5"/>
  <c r="AD41" i="5"/>
  <c r="AD517" i="5"/>
  <c r="AS185" i="5"/>
  <c r="AU185" i="5" s="1"/>
  <c r="AS195" i="5"/>
  <c r="AU195" i="5" s="1"/>
  <c r="AS87" i="5"/>
  <c r="AU87" i="5" s="1"/>
  <c r="AD338" i="5"/>
  <c r="AD21" i="5"/>
  <c r="AS237" i="5"/>
  <c r="AT237" i="5" s="1"/>
  <c r="AD174" i="5"/>
  <c r="AS135" i="5"/>
  <c r="AT135" i="5" s="1"/>
  <c r="AT338" i="5"/>
  <c r="AE506" i="5"/>
  <c r="AD269" i="5"/>
  <c r="AE365" i="5"/>
  <c r="AE485" i="5"/>
  <c r="AE21" i="5"/>
  <c r="AS161" i="5"/>
  <c r="AU161" i="5" s="1"/>
  <c r="AD443" i="5"/>
  <c r="AE134" i="5"/>
  <c r="AE12" i="5"/>
  <c r="AT251" i="5"/>
  <c r="AE377" i="5"/>
  <c r="AD251" i="5"/>
  <c r="AS24" i="5"/>
  <c r="AT24" i="5" s="1"/>
  <c r="AS101" i="5"/>
  <c r="AU101" i="5" s="1"/>
  <c r="AD294" i="5"/>
  <c r="AE348" i="5"/>
  <c r="AD312" i="5"/>
  <c r="AS343" i="5"/>
  <c r="AT343" i="5" s="1"/>
  <c r="AE356" i="5"/>
  <c r="AS401" i="5"/>
  <c r="AT401" i="5" s="1"/>
  <c r="AE457" i="5"/>
  <c r="AD131" i="5"/>
  <c r="AE448" i="5"/>
  <c r="AE507" i="5"/>
  <c r="AS131" i="5"/>
  <c r="AU131" i="5" s="1"/>
  <c r="AD557" i="5"/>
  <c r="AE345" i="5"/>
  <c r="AU557" i="5"/>
  <c r="AD101" i="5"/>
  <c r="AD304" i="5"/>
  <c r="AS312" i="5"/>
  <c r="AU312" i="5" s="1"/>
  <c r="AE24" i="5"/>
  <c r="AE343" i="5"/>
  <c r="AS457" i="5"/>
  <c r="AT457" i="5" s="1"/>
  <c r="AS551" i="5"/>
  <c r="AT551" i="5" s="1"/>
  <c r="AD223" i="5"/>
  <c r="AE223" i="5"/>
  <c r="AU223" i="5"/>
  <c r="AD49" i="5"/>
  <c r="AE557" i="5"/>
  <c r="AD493" i="5"/>
  <c r="AE493" i="5"/>
  <c r="AS304" i="5"/>
  <c r="AT304" i="5" s="1"/>
  <c r="AS294" i="5"/>
  <c r="AT294" i="5" s="1"/>
  <c r="AE49" i="5"/>
  <c r="AE318" i="5"/>
  <c r="AS488" i="5"/>
  <c r="AT488" i="5" s="1"/>
  <c r="AD521" i="5"/>
  <c r="AS345" i="5"/>
  <c r="AT345" i="5" s="1"/>
  <c r="AU493" i="5"/>
  <c r="AS167" i="5"/>
  <c r="AU167" i="5" s="1"/>
  <c r="AD275" i="5"/>
  <c r="AE135" i="5"/>
  <c r="AS132" i="5"/>
  <c r="AT132" i="5" s="1"/>
  <c r="AD430" i="5"/>
  <c r="AS130" i="5"/>
  <c r="AU130" i="5" s="1"/>
  <c r="AD353" i="5"/>
  <c r="AD550" i="5"/>
  <c r="AD85" i="5"/>
  <c r="AE501" i="5"/>
  <c r="AD406" i="5"/>
  <c r="AT501" i="5"/>
  <c r="AE384" i="5"/>
  <c r="AE353" i="5"/>
  <c r="AE479" i="5"/>
  <c r="AU384" i="5"/>
  <c r="AS427" i="5"/>
  <c r="AU427" i="5" s="1"/>
  <c r="AT21" i="5"/>
  <c r="AD182" i="5"/>
  <c r="AT430" i="5"/>
  <c r="AD132" i="5"/>
  <c r="AE46" i="5"/>
  <c r="AU46" i="5"/>
  <c r="AD384" i="5"/>
  <c r="AD479" i="5"/>
  <c r="AS295" i="5"/>
  <c r="AU295" i="5" s="1"/>
  <c r="AU275" i="5"/>
  <c r="AU479" i="5"/>
  <c r="AE295" i="5"/>
  <c r="AS327" i="5"/>
  <c r="AU327" i="5" s="1"/>
  <c r="AU182" i="5"/>
  <c r="AS41" i="5"/>
  <c r="AU41" i="5" s="1"/>
  <c r="AE185" i="5"/>
  <c r="AE167" i="5"/>
  <c r="AE275" i="5"/>
  <c r="AE390" i="5"/>
  <c r="AD161" i="5"/>
  <c r="AE130" i="5"/>
  <c r="AE550" i="5"/>
  <c r="AD427" i="5"/>
  <c r="AS419" i="5"/>
  <c r="AU419" i="5" s="1"/>
  <c r="AE20" i="5"/>
  <c r="AT344" i="5"/>
  <c r="AS20" i="5"/>
  <c r="AU20" i="5" s="1"/>
  <c r="AE551" i="5"/>
  <c r="AD56" i="5"/>
  <c r="AU301" i="5"/>
  <c r="AS559" i="5"/>
  <c r="AT559" i="5" s="1"/>
  <c r="B106" i="2"/>
  <c r="H32" i="1" s="1"/>
  <c r="AS291" i="5"/>
  <c r="AT291" i="5" s="1"/>
  <c r="AE559" i="5"/>
  <c r="AD46" i="5"/>
  <c r="AS505" i="5"/>
  <c r="AT505" i="5" s="1"/>
  <c r="AE344" i="5"/>
  <c r="AD344" i="5"/>
  <c r="AD134" i="5"/>
  <c r="AD301" i="5"/>
  <c r="AE301" i="5"/>
  <c r="AT134" i="5"/>
  <c r="AS376" i="5"/>
  <c r="AU376" i="5" s="1"/>
  <c r="AD538" i="5"/>
  <c r="AE55" i="5"/>
  <c r="AE218" i="5"/>
  <c r="AE538" i="5"/>
  <c r="AE419" i="5"/>
  <c r="AS158" i="5"/>
  <c r="AT158" i="5" s="1"/>
  <c r="AS55" i="5"/>
  <c r="AT55" i="5" s="1"/>
  <c r="AD158" i="5"/>
  <c r="AU218" i="5"/>
  <c r="AU249" i="5"/>
  <c r="AE164" i="5"/>
  <c r="AE537" i="5"/>
  <c r="AE249" i="5"/>
  <c r="AS164" i="5"/>
  <c r="AT164" i="5" s="1"/>
  <c r="AS56" i="5"/>
  <c r="AU56" i="5" s="1"/>
  <c r="AD249" i="5"/>
  <c r="AS537" i="5"/>
  <c r="AU537" i="5" s="1"/>
  <c r="AS197" i="5"/>
  <c r="AT197" i="5" s="1"/>
  <c r="AD468" i="5"/>
  <c r="AU468" i="5"/>
  <c r="AE197" i="5"/>
  <c r="AE468" i="5"/>
  <c r="AD291" i="5"/>
  <c r="AD409" i="5"/>
  <c r="AS409" i="5"/>
  <c r="AU409" i="5" s="1"/>
  <c r="AS9" i="5"/>
  <c r="AU9" i="5" s="1"/>
  <c r="AE7" i="4"/>
  <c r="BX7" i="4" s="1"/>
  <c r="AU487" i="5"/>
  <c r="AU556" i="5"/>
  <c r="AU44" i="5"/>
  <c r="AT375" i="5"/>
  <c r="AU58" i="5"/>
  <c r="AT497" i="5"/>
  <c r="AU186" i="5"/>
  <c r="AU34" i="5"/>
  <c r="AE9" i="5"/>
  <c r="F87" i="1"/>
  <c r="AU148" i="5"/>
  <c r="AT150" i="5"/>
  <c r="AT323" i="5"/>
  <c r="AT289" i="5"/>
  <c r="AU534" i="5"/>
  <c r="AT37" i="5"/>
  <c r="AT64" i="5"/>
  <c r="AU45" i="5"/>
  <c r="AT513" i="5"/>
  <c r="AR9" i="5"/>
  <c r="AQ9" i="5"/>
  <c r="AU77" i="5"/>
  <c r="AU362" i="5"/>
  <c r="AT458" i="5"/>
  <c r="AT523" i="5"/>
  <c r="AU277" i="5"/>
  <c r="AU453" i="5"/>
  <c r="AU265" i="5"/>
  <c r="AT125" i="5"/>
  <c r="AU445" i="5"/>
  <c r="AU350" i="5"/>
  <c r="AU309" i="5"/>
  <c r="AT543" i="5"/>
  <c r="AU59" i="5"/>
  <c r="AT72" i="5"/>
  <c r="AU72" i="5"/>
  <c r="AT461" i="5"/>
  <c r="AU461" i="5"/>
  <c r="AU187" i="5"/>
  <c r="AT315" i="5"/>
  <c r="AU466" i="5"/>
  <c r="AT232" i="5"/>
  <c r="AU36" i="5"/>
  <c r="AT136" i="5"/>
  <c r="AT465" i="5"/>
  <c r="AU465" i="5"/>
  <c r="AT177" i="5"/>
  <c r="AU177" i="5"/>
  <c r="AU60" i="5"/>
  <c r="AT60" i="5"/>
  <c r="AU124" i="5"/>
  <c r="AU112" i="5"/>
  <c r="AU84" i="5"/>
  <c r="AT539" i="5"/>
  <c r="AU539" i="5"/>
  <c r="AU74" i="5"/>
  <c r="AT245" i="5"/>
  <c r="AU322" i="5"/>
  <c r="AU527" i="5"/>
  <c r="AT527" i="5"/>
  <c r="AU297" i="5"/>
  <c r="AU121" i="5"/>
  <c r="AU104" i="5"/>
  <c r="AT104" i="5"/>
  <c r="AT80" i="5"/>
  <c r="AU80" i="5"/>
  <c r="AU529" i="5"/>
  <c r="AT529" i="5"/>
  <c r="AT122" i="5"/>
  <c r="AU122" i="5"/>
  <c r="AU404" i="5"/>
  <c r="AT476" i="5"/>
  <c r="AU476" i="5"/>
  <c r="AT181" i="5"/>
  <c r="AU181" i="5"/>
  <c r="AT398" i="5"/>
  <c r="AU398" i="5"/>
  <c r="AU316" i="5"/>
  <c r="AU386" i="5"/>
  <c r="AT386" i="5"/>
  <c r="AT98" i="5"/>
  <c r="AU98" i="5"/>
  <c r="AU509" i="5" l="1"/>
  <c r="AT526" i="5"/>
  <c r="AW242" i="10"/>
  <c r="AT399" i="5"/>
  <c r="AX440" i="10"/>
  <c r="AX200" i="10"/>
  <c r="AW250" i="10"/>
  <c r="AX69" i="10"/>
  <c r="AW465" i="10"/>
  <c r="AX548" i="10"/>
  <c r="AQ153" i="4"/>
  <c r="AR153" i="4" s="1"/>
  <c r="AS153" i="4" s="1"/>
  <c r="AO154" i="4"/>
  <c r="AQ154" i="4" s="1"/>
  <c r="AR154" i="4" s="1"/>
  <c r="AO152" i="4"/>
  <c r="AN152" i="4" s="1"/>
  <c r="AO122" i="4"/>
  <c r="AQ122" i="4" s="1"/>
  <c r="AR122" i="4" s="1"/>
  <c r="AO150" i="4"/>
  <c r="AQ150" i="4" s="1"/>
  <c r="AR150" i="4" s="1"/>
  <c r="AO157" i="4"/>
  <c r="AN157" i="4" s="1"/>
  <c r="AO126" i="4"/>
  <c r="AN126" i="4" s="1"/>
  <c r="AO133" i="4"/>
  <c r="AN133" i="4" s="1"/>
  <c r="AX164" i="10"/>
  <c r="AX534" i="10"/>
  <c r="AN121" i="4"/>
  <c r="BI112" i="4"/>
  <c r="AW100" i="10"/>
  <c r="AX219" i="10"/>
  <c r="AQ72" i="4"/>
  <c r="AR72" i="4" s="1"/>
  <c r="AS72" i="4" s="1"/>
  <c r="BI154" i="4"/>
  <c r="AH10" i="4"/>
  <c r="AJ10" i="4" s="1"/>
  <c r="BU10" i="4"/>
  <c r="AH135" i="4"/>
  <c r="BU135" i="4"/>
  <c r="AH99" i="4"/>
  <c r="BU99" i="4"/>
  <c r="AH58" i="4"/>
  <c r="BU58" i="4"/>
  <c r="AH56" i="4"/>
  <c r="BU56" i="4"/>
  <c r="AH41" i="4"/>
  <c r="BU41" i="4"/>
  <c r="AH130" i="4"/>
  <c r="BU130" i="4"/>
  <c r="AH109" i="4"/>
  <c r="BU109" i="4"/>
  <c r="AH105" i="4"/>
  <c r="BU105" i="4"/>
  <c r="AH31" i="4"/>
  <c r="BU31" i="4"/>
  <c r="AH95" i="4"/>
  <c r="BU95" i="4"/>
  <c r="AH87" i="4"/>
  <c r="BU87" i="4"/>
  <c r="AH57" i="4"/>
  <c r="BU57" i="4"/>
  <c r="AH89" i="4"/>
  <c r="BU89" i="4"/>
  <c r="AH45" i="4"/>
  <c r="BU45" i="4"/>
  <c r="AH34" i="4"/>
  <c r="AJ34" i="4" s="1"/>
  <c r="BU34" i="4"/>
  <c r="AH17" i="4"/>
  <c r="AJ17" i="4" s="1"/>
  <c r="BU17" i="4"/>
  <c r="AH29" i="4"/>
  <c r="BU29" i="4"/>
  <c r="AH33" i="4"/>
  <c r="BU33" i="4"/>
  <c r="AH25" i="4"/>
  <c r="BU25" i="4"/>
  <c r="AH55" i="4"/>
  <c r="BU55" i="4"/>
  <c r="AH116" i="4"/>
  <c r="BU116" i="4"/>
  <c r="AH91" i="4"/>
  <c r="BU91" i="4"/>
  <c r="AH37" i="4"/>
  <c r="BU37" i="4"/>
  <c r="AN42" i="4"/>
  <c r="AS42" i="4" s="1"/>
  <c r="AD133" i="4"/>
  <c r="AE133" i="4" s="1"/>
  <c r="BX133" i="4" s="1"/>
  <c r="AH133" i="4"/>
  <c r="AD13" i="4"/>
  <c r="AE13" i="4" s="1"/>
  <c r="BX13" i="4" s="1"/>
  <c r="AH13" i="4"/>
  <c r="AJ13" i="4" s="1"/>
  <c r="AD127" i="4"/>
  <c r="AE127" i="4" s="1"/>
  <c r="BX127" i="4" s="1"/>
  <c r="AH127" i="4"/>
  <c r="AJ127" i="4" s="1"/>
  <c r="AD147" i="4"/>
  <c r="AE147" i="4" s="1"/>
  <c r="BX147" i="4" s="1"/>
  <c r="AH147" i="4"/>
  <c r="AJ147" i="4" s="1"/>
  <c r="AD76" i="4"/>
  <c r="AE76" i="4" s="1"/>
  <c r="BX76" i="4" s="1"/>
  <c r="AH76" i="4"/>
  <c r="AD73" i="4"/>
  <c r="AE73" i="4" s="1"/>
  <c r="BX73" i="4" s="1"/>
  <c r="AH73" i="4"/>
  <c r="AJ73" i="4" s="1"/>
  <c r="AD62" i="4"/>
  <c r="AE62" i="4" s="1"/>
  <c r="BX62" i="4" s="1"/>
  <c r="AH62" i="4"/>
  <c r="AD145" i="4"/>
  <c r="AE145" i="4" s="1"/>
  <c r="BX145" i="4" s="1"/>
  <c r="AH145" i="4"/>
  <c r="AJ145" i="4" s="1"/>
  <c r="AD75" i="4"/>
  <c r="AE75" i="4" s="1"/>
  <c r="BX75" i="4" s="1"/>
  <c r="AH75" i="4"/>
  <c r="AD66" i="4"/>
  <c r="AE66" i="4" s="1"/>
  <c r="BX66" i="4" s="1"/>
  <c r="AH66" i="4"/>
  <c r="AJ66" i="4" s="1"/>
  <c r="AD30" i="4"/>
  <c r="AE30" i="4" s="1"/>
  <c r="BX30" i="4" s="1"/>
  <c r="AH30" i="4"/>
  <c r="AJ30" i="4" s="1"/>
  <c r="AD96" i="4"/>
  <c r="AE96" i="4" s="1"/>
  <c r="BX96" i="4" s="1"/>
  <c r="AH96" i="4"/>
  <c r="AJ96" i="4" s="1"/>
  <c r="AD84" i="4"/>
  <c r="AE84" i="4" s="1"/>
  <c r="BX84" i="4" s="1"/>
  <c r="AH84" i="4"/>
  <c r="AJ84" i="4" s="1"/>
  <c r="AD50" i="4"/>
  <c r="AE50" i="4" s="1"/>
  <c r="BX50" i="4" s="1"/>
  <c r="AH50" i="4"/>
  <c r="AJ50" i="4" s="1"/>
  <c r="AD27" i="4"/>
  <c r="AE27" i="4" s="1"/>
  <c r="BX27" i="4" s="1"/>
  <c r="AH27" i="4"/>
  <c r="AJ27" i="4" s="1"/>
  <c r="AD22" i="4"/>
  <c r="AE22" i="4" s="1"/>
  <c r="BX22" i="4" s="1"/>
  <c r="AH22" i="4"/>
  <c r="AJ22" i="4" s="1"/>
  <c r="AD20" i="4"/>
  <c r="AE20" i="4" s="1"/>
  <c r="BX20" i="4" s="1"/>
  <c r="AH20" i="4"/>
  <c r="AJ20" i="4" s="1"/>
  <c r="AD78" i="4"/>
  <c r="AE78" i="4" s="1"/>
  <c r="BX78" i="4" s="1"/>
  <c r="AH78" i="4"/>
  <c r="AJ78" i="4" s="1"/>
  <c r="AD16" i="4"/>
  <c r="AE16" i="4" s="1"/>
  <c r="BX16" i="4" s="1"/>
  <c r="AH16" i="4"/>
  <c r="AD80" i="4"/>
  <c r="AE80" i="4" s="1"/>
  <c r="BX80" i="4" s="1"/>
  <c r="AH80" i="4"/>
  <c r="AJ80" i="4" s="1"/>
  <c r="AD153" i="4"/>
  <c r="AE153" i="4" s="1"/>
  <c r="BX153" i="4" s="1"/>
  <c r="AH153" i="4"/>
  <c r="AJ153" i="4" s="1"/>
  <c r="AD44" i="4"/>
  <c r="AE44" i="4" s="1"/>
  <c r="BX44" i="4" s="1"/>
  <c r="AH44" i="4"/>
  <c r="AJ44" i="4" s="1"/>
  <c r="AD12" i="4"/>
  <c r="AE12" i="4" s="1"/>
  <c r="BX12" i="4" s="1"/>
  <c r="AH12" i="4"/>
  <c r="AJ12" i="4" s="1"/>
  <c r="AD131" i="4"/>
  <c r="AE131" i="4" s="1"/>
  <c r="BX131" i="4" s="1"/>
  <c r="AH131" i="4"/>
  <c r="AJ131" i="4" s="1"/>
  <c r="AD139" i="4"/>
  <c r="AE139" i="4" s="1"/>
  <c r="BX139" i="4" s="1"/>
  <c r="AH139" i="4"/>
  <c r="AJ139" i="4" s="1"/>
  <c r="AD93" i="4"/>
  <c r="AE93" i="4" s="1"/>
  <c r="BX93" i="4" s="1"/>
  <c r="AH93" i="4"/>
  <c r="AJ93" i="4" s="1"/>
  <c r="AD23" i="4"/>
  <c r="AE23" i="4" s="1"/>
  <c r="BX23" i="4" s="1"/>
  <c r="AH23" i="4"/>
  <c r="AJ23" i="4" s="1"/>
  <c r="AD121" i="4"/>
  <c r="AE121" i="4" s="1"/>
  <c r="BX121" i="4" s="1"/>
  <c r="AH121" i="4"/>
  <c r="AJ121" i="4" s="1"/>
  <c r="AD52" i="4"/>
  <c r="AE52" i="4" s="1"/>
  <c r="BX52" i="4" s="1"/>
  <c r="AH52" i="4"/>
  <c r="AD38" i="4"/>
  <c r="AE38" i="4" s="1"/>
  <c r="BX38" i="4" s="1"/>
  <c r="AH38" i="4"/>
  <c r="AJ38" i="4" s="1"/>
  <c r="AD97" i="4"/>
  <c r="AE97" i="4" s="1"/>
  <c r="BX97" i="4" s="1"/>
  <c r="AH97" i="4"/>
  <c r="AD132" i="4"/>
  <c r="AE132" i="4" s="1"/>
  <c r="BX132" i="4" s="1"/>
  <c r="AH132" i="4"/>
  <c r="AJ132" i="4" s="1"/>
  <c r="AD74" i="4"/>
  <c r="AE74" i="4" s="1"/>
  <c r="BX74" i="4" s="1"/>
  <c r="AH74" i="4"/>
  <c r="AJ74" i="4" s="1"/>
  <c r="AD100" i="4"/>
  <c r="AE100" i="4" s="1"/>
  <c r="BX100" i="4" s="1"/>
  <c r="AH100" i="4"/>
  <c r="AJ100" i="4" s="1"/>
  <c r="AD18" i="4"/>
  <c r="AE18" i="4" s="1"/>
  <c r="BX18" i="4" s="1"/>
  <c r="AH18" i="4"/>
  <c r="AJ18" i="4" s="1"/>
  <c r="AD69" i="4"/>
  <c r="AE69" i="4" s="1"/>
  <c r="BX69" i="4" s="1"/>
  <c r="AH69" i="4"/>
  <c r="AD141" i="4"/>
  <c r="AE141" i="4" s="1"/>
  <c r="BX141" i="4" s="1"/>
  <c r="AH141" i="4"/>
  <c r="AJ141" i="4" s="1"/>
  <c r="AD128" i="4"/>
  <c r="AE128" i="4" s="1"/>
  <c r="BX128" i="4" s="1"/>
  <c r="AH128" i="4"/>
  <c r="AJ128" i="4" s="1"/>
  <c r="AD40" i="4"/>
  <c r="AE40" i="4" s="1"/>
  <c r="BX40" i="4" s="1"/>
  <c r="AH40" i="4"/>
  <c r="AJ40" i="4" s="1"/>
  <c r="AD88" i="4"/>
  <c r="AE88" i="4" s="1"/>
  <c r="BX88" i="4" s="1"/>
  <c r="AH88" i="4"/>
  <c r="AJ88" i="4" s="1"/>
  <c r="AD67" i="4"/>
  <c r="AE67" i="4" s="1"/>
  <c r="BX67" i="4" s="1"/>
  <c r="AH67" i="4"/>
  <c r="AJ67" i="4" s="1"/>
  <c r="AD60" i="4"/>
  <c r="AE60" i="4" s="1"/>
  <c r="BX60" i="4" s="1"/>
  <c r="AH60" i="4"/>
  <c r="AJ60" i="4" s="1"/>
  <c r="AD107" i="4"/>
  <c r="AE107" i="4" s="1"/>
  <c r="BX107" i="4" s="1"/>
  <c r="AH107" i="4"/>
  <c r="AD61" i="4"/>
  <c r="AE61" i="4" s="1"/>
  <c r="BX61" i="4" s="1"/>
  <c r="AH61" i="4"/>
  <c r="AJ61" i="4" s="1"/>
  <c r="AD144" i="4"/>
  <c r="AE144" i="4" s="1"/>
  <c r="BX144" i="4" s="1"/>
  <c r="AH144" i="4"/>
  <c r="AJ144" i="4" s="1"/>
  <c r="AD72" i="4"/>
  <c r="AE72" i="4" s="1"/>
  <c r="BX72" i="4" s="1"/>
  <c r="AH72" i="4"/>
  <c r="AD92" i="4"/>
  <c r="AE92" i="4" s="1"/>
  <c r="BX92" i="4" s="1"/>
  <c r="AH92" i="4"/>
  <c r="AJ92" i="4" s="1"/>
  <c r="AD114" i="4"/>
  <c r="AE114" i="4" s="1"/>
  <c r="BX114" i="4" s="1"/>
  <c r="AH114" i="4"/>
  <c r="AJ114" i="4" s="1"/>
  <c r="AD86" i="4"/>
  <c r="AE86" i="4" s="1"/>
  <c r="BX86" i="4" s="1"/>
  <c r="AH86" i="4"/>
  <c r="AJ86" i="4" s="1"/>
  <c r="AD15" i="4"/>
  <c r="AE15" i="4" s="1"/>
  <c r="BX15" i="4" s="1"/>
  <c r="AH15" i="4"/>
  <c r="AJ15" i="4" s="1"/>
  <c r="AD151" i="4"/>
  <c r="AE151" i="4" s="1"/>
  <c r="BX151" i="4" s="1"/>
  <c r="AH151" i="4"/>
  <c r="AJ151" i="4" s="1"/>
  <c r="AD155" i="4"/>
  <c r="AE155" i="4" s="1"/>
  <c r="BX155" i="4" s="1"/>
  <c r="AH155" i="4"/>
  <c r="AD101" i="4"/>
  <c r="AE101" i="4" s="1"/>
  <c r="BX101" i="4" s="1"/>
  <c r="AH101" i="4"/>
  <c r="AJ101" i="4" s="1"/>
  <c r="AD129" i="4"/>
  <c r="AE129" i="4" s="1"/>
  <c r="BX129" i="4" s="1"/>
  <c r="AH129" i="4"/>
  <c r="AJ129" i="4" s="1"/>
  <c r="AD103" i="4"/>
  <c r="AE103" i="4" s="1"/>
  <c r="BX103" i="4" s="1"/>
  <c r="AH103" i="4"/>
  <c r="AJ103" i="4" s="1"/>
  <c r="AD138" i="4"/>
  <c r="AE138" i="4" s="1"/>
  <c r="BX138" i="4" s="1"/>
  <c r="AH138" i="4"/>
  <c r="AJ138" i="4" s="1"/>
  <c r="AQ91" i="4"/>
  <c r="AR91" i="4" s="1"/>
  <c r="AS91" i="4" s="1"/>
  <c r="AD28" i="4"/>
  <c r="AE28" i="4" s="1"/>
  <c r="BX28" i="4" s="1"/>
  <c r="AH28" i="4"/>
  <c r="AJ28" i="4" s="1"/>
  <c r="AQ102" i="4"/>
  <c r="AR102" i="4" s="1"/>
  <c r="AS102" i="4" s="1"/>
  <c r="AD115" i="4"/>
  <c r="AE115" i="4" s="1"/>
  <c r="BX115" i="4" s="1"/>
  <c r="AH115" i="4"/>
  <c r="AJ115" i="4" s="1"/>
  <c r="AD35" i="4"/>
  <c r="AE35" i="4" s="1"/>
  <c r="BX35" i="4" s="1"/>
  <c r="AH35" i="4"/>
  <c r="AJ35" i="4" s="1"/>
  <c r="AD90" i="4"/>
  <c r="AE90" i="4" s="1"/>
  <c r="BX90" i="4" s="1"/>
  <c r="AH90" i="4"/>
  <c r="AD150" i="4"/>
  <c r="AE150" i="4" s="1"/>
  <c r="BX150" i="4" s="1"/>
  <c r="AH150" i="4"/>
  <c r="AD154" i="4"/>
  <c r="AE154" i="4" s="1"/>
  <c r="BX154" i="4" s="1"/>
  <c r="AH154" i="4"/>
  <c r="AJ154" i="4" s="1"/>
  <c r="AD152" i="4"/>
  <c r="AE152" i="4" s="1"/>
  <c r="BX152" i="4" s="1"/>
  <c r="AH152" i="4"/>
  <c r="AD134" i="4"/>
  <c r="AE134" i="4" s="1"/>
  <c r="BX134" i="4" s="1"/>
  <c r="AH134" i="4"/>
  <c r="AJ134" i="4" s="1"/>
  <c r="AD119" i="4"/>
  <c r="AE119" i="4" s="1"/>
  <c r="BX119" i="4" s="1"/>
  <c r="AH119" i="4"/>
  <c r="AJ119" i="4" s="1"/>
  <c r="AD68" i="4"/>
  <c r="AE68" i="4" s="1"/>
  <c r="BX68" i="4" s="1"/>
  <c r="AH68" i="4"/>
  <c r="AJ68" i="4" s="1"/>
  <c r="AD42" i="4"/>
  <c r="AE42" i="4" s="1"/>
  <c r="BX42" i="4" s="1"/>
  <c r="AH42" i="4"/>
  <c r="AJ42" i="4" s="1"/>
  <c r="AD70" i="4"/>
  <c r="AE70" i="4" s="1"/>
  <c r="BX70" i="4" s="1"/>
  <c r="AH70" i="4"/>
  <c r="AJ70" i="4" s="1"/>
  <c r="AD112" i="4"/>
  <c r="AE112" i="4" s="1"/>
  <c r="BX112" i="4" s="1"/>
  <c r="AH112" i="4"/>
  <c r="AJ112" i="4" s="1"/>
  <c r="AD123" i="4"/>
  <c r="AE123" i="4" s="1"/>
  <c r="BX123" i="4" s="1"/>
  <c r="AH123" i="4"/>
  <c r="AD108" i="4"/>
  <c r="AE108" i="4" s="1"/>
  <c r="BX108" i="4" s="1"/>
  <c r="AH108" i="4"/>
  <c r="AD142" i="4"/>
  <c r="AE142" i="4" s="1"/>
  <c r="BX142" i="4" s="1"/>
  <c r="AH142" i="4"/>
  <c r="AD9" i="4"/>
  <c r="AE9" i="4" s="1"/>
  <c r="BX9" i="4" s="1"/>
  <c r="AH9" i="4"/>
  <c r="AJ9" i="4" s="1"/>
  <c r="AD43" i="4"/>
  <c r="AE43" i="4" s="1"/>
  <c r="BX43" i="4" s="1"/>
  <c r="AH43" i="4"/>
  <c r="AJ43" i="4" s="1"/>
  <c r="AD8" i="4"/>
  <c r="AE8" i="4" s="1"/>
  <c r="AJ8" i="4"/>
  <c r="AD53" i="4"/>
  <c r="AE53" i="4" s="1"/>
  <c r="BX53" i="4" s="1"/>
  <c r="AH53" i="4"/>
  <c r="AJ53" i="4" s="1"/>
  <c r="AD83" i="4"/>
  <c r="AE83" i="4" s="1"/>
  <c r="BX83" i="4" s="1"/>
  <c r="AH83" i="4"/>
  <c r="AD51" i="4"/>
  <c r="AE51" i="4" s="1"/>
  <c r="BX51" i="4" s="1"/>
  <c r="AH51" i="4"/>
  <c r="AJ51" i="4" s="1"/>
  <c r="AD77" i="4"/>
  <c r="AE77" i="4" s="1"/>
  <c r="BX77" i="4" s="1"/>
  <c r="AH77" i="4"/>
  <c r="AJ77" i="4" s="1"/>
  <c r="AD120" i="4"/>
  <c r="AE120" i="4" s="1"/>
  <c r="BX120" i="4" s="1"/>
  <c r="AH120" i="4"/>
  <c r="AD71" i="4"/>
  <c r="AE71" i="4" s="1"/>
  <c r="BX71" i="4" s="1"/>
  <c r="AH71" i="4"/>
  <c r="AJ71" i="4" s="1"/>
  <c r="AD85" i="4"/>
  <c r="AE85" i="4" s="1"/>
  <c r="BX85" i="4" s="1"/>
  <c r="AH85" i="4"/>
  <c r="AJ85" i="4" s="1"/>
  <c r="AD14" i="4"/>
  <c r="AE14" i="4" s="1"/>
  <c r="BX14" i="4" s="1"/>
  <c r="AH14" i="4"/>
  <c r="AJ14" i="4" s="1"/>
  <c r="AD98" i="4"/>
  <c r="AE98" i="4" s="1"/>
  <c r="BX98" i="4" s="1"/>
  <c r="AH98" i="4"/>
  <c r="AJ98" i="4" s="1"/>
  <c r="AD36" i="4"/>
  <c r="AE36" i="4" s="1"/>
  <c r="BX36" i="4" s="1"/>
  <c r="AH36" i="4"/>
  <c r="AJ36" i="4" s="1"/>
  <c r="AD63" i="4"/>
  <c r="AE63" i="4" s="1"/>
  <c r="BX63" i="4" s="1"/>
  <c r="AH63" i="4"/>
  <c r="AJ63" i="4" s="1"/>
  <c r="AD125" i="4"/>
  <c r="AE125" i="4" s="1"/>
  <c r="BX125" i="4" s="1"/>
  <c r="AH125" i="4"/>
  <c r="AJ125" i="4" s="1"/>
  <c r="AD11" i="4"/>
  <c r="AE11" i="4" s="1"/>
  <c r="BX11" i="4" s="1"/>
  <c r="AH11" i="4"/>
  <c r="AJ11" i="4" s="1"/>
  <c r="AX365" i="10"/>
  <c r="AN105" i="4"/>
  <c r="AS105" i="4" s="1"/>
  <c r="BI130" i="4"/>
  <c r="AN85" i="4"/>
  <c r="AS85" i="4" s="1"/>
  <c r="AQ155" i="4"/>
  <c r="AQ121" i="4"/>
  <c r="AR121" i="4" s="1"/>
  <c r="BI21" i="4"/>
  <c r="BI157" i="4"/>
  <c r="AB140" i="4"/>
  <c r="BU140" i="4" s="1"/>
  <c r="AN56" i="4"/>
  <c r="AS56" i="4" s="1"/>
  <c r="BI145" i="4"/>
  <c r="AQ9" i="4"/>
  <c r="AR9" i="4" s="1"/>
  <c r="AS9" i="4" s="1"/>
  <c r="AN66" i="4"/>
  <c r="AS66" i="4" s="1"/>
  <c r="BI54" i="4"/>
  <c r="AN35" i="4"/>
  <c r="AS35" i="4" s="1"/>
  <c r="BI152" i="4"/>
  <c r="AB39" i="4"/>
  <c r="BU39" i="4" s="1"/>
  <c r="BI19" i="4"/>
  <c r="AQ17" i="4"/>
  <c r="AR17" i="4" s="1"/>
  <c r="AQ50" i="4"/>
  <c r="AR50" i="4" s="1"/>
  <c r="AQ89" i="4"/>
  <c r="AR89" i="4" s="1"/>
  <c r="BI149" i="4"/>
  <c r="AN27" i="4"/>
  <c r="AN109" i="4"/>
  <c r="AB59" i="4"/>
  <c r="BU59" i="4" s="1"/>
  <c r="AN89" i="4"/>
  <c r="AN141" i="4"/>
  <c r="AQ94" i="4"/>
  <c r="AR94" i="4" s="1"/>
  <c r="BI49" i="4"/>
  <c r="BQ8" i="4"/>
  <c r="AX403" i="10"/>
  <c r="AX512" i="10"/>
  <c r="AN50" i="4"/>
  <c r="AN16" i="4"/>
  <c r="AN20" i="4"/>
  <c r="AS20" i="4" s="1"/>
  <c r="AQ93" i="4"/>
  <c r="AR93" i="4" s="1"/>
  <c r="BI41" i="4"/>
  <c r="BI37" i="4"/>
  <c r="BI59" i="4"/>
  <c r="AN12" i="4"/>
  <c r="AN13" i="4"/>
  <c r="AS13" i="4" s="1"/>
  <c r="AQ101" i="4"/>
  <c r="AR101" i="4" s="1"/>
  <c r="AS101" i="4" s="1"/>
  <c r="AQ62" i="4"/>
  <c r="AR62" i="4" s="1"/>
  <c r="AS62" i="4" s="1"/>
  <c r="AQ76" i="4"/>
  <c r="AR76" i="4" s="1"/>
  <c r="AN30" i="4"/>
  <c r="AN80" i="4"/>
  <c r="AN61" i="4"/>
  <c r="AN151" i="4"/>
  <c r="AQ141" i="4"/>
  <c r="AR141" i="4" s="1"/>
  <c r="AQ27" i="4"/>
  <c r="AR27" i="4" s="1"/>
  <c r="BI69" i="4"/>
  <c r="BI32" i="4"/>
  <c r="BI137" i="4"/>
  <c r="AQ109" i="4"/>
  <c r="AR109" i="4" s="1"/>
  <c r="AQ12" i="4"/>
  <c r="AR12" i="4" s="1"/>
  <c r="AQ16" i="4"/>
  <c r="AR16" i="4" s="1"/>
  <c r="AN17" i="4"/>
  <c r="AN76" i="4"/>
  <c r="AQ30" i="4"/>
  <c r="AR30" i="4" s="1"/>
  <c r="AQ80" i="4"/>
  <c r="AR80" i="4" s="1"/>
  <c r="AQ61" i="4"/>
  <c r="AR61" i="4" s="1"/>
  <c r="AQ151" i="4"/>
  <c r="AR151" i="4" s="1"/>
  <c r="AN93" i="4"/>
  <c r="AN39" i="4"/>
  <c r="AQ39" i="4"/>
  <c r="AR39" i="4" s="1"/>
  <c r="AN69" i="4"/>
  <c r="AQ69" i="4"/>
  <c r="AR69" i="4" s="1"/>
  <c r="AN75" i="4"/>
  <c r="AN88" i="4"/>
  <c r="AQ73" i="4"/>
  <c r="AR73" i="4" s="1"/>
  <c r="AN125" i="4"/>
  <c r="AS125" i="4" s="1"/>
  <c r="AN138" i="4"/>
  <c r="AS138" i="4" s="1"/>
  <c r="AN115" i="4"/>
  <c r="AS115" i="4" s="1"/>
  <c r="AQ57" i="4"/>
  <c r="AR57" i="4" s="1"/>
  <c r="AN111" i="4"/>
  <c r="AS111" i="4" s="1"/>
  <c r="AN11" i="4"/>
  <c r="AS11" i="4" s="1"/>
  <c r="AN94" i="4"/>
  <c r="AQ63" i="4"/>
  <c r="AR63" i="4" s="1"/>
  <c r="AN53" i="4"/>
  <c r="AN45" i="4"/>
  <c r="AS45" i="4" s="1"/>
  <c r="AN29" i="4"/>
  <c r="AN34" i="4"/>
  <c r="AQ70" i="4"/>
  <c r="AR70" i="4" s="1"/>
  <c r="AQ131" i="4"/>
  <c r="AQ139" i="4"/>
  <c r="AR139" i="4" s="1"/>
  <c r="AS139" i="4" s="1"/>
  <c r="AQ52" i="4"/>
  <c r="AR52" i="4" s="1"/>
  <c r="AN15" i="4"/>
  <c r="AN147" i="4"/>
  <c r="AS147" i="4" s="1"/>
  <c r="AQ88" i="4"/>
  <c r="AR88" i="4" s="1"/>
  <c r="AN129" i="4"/>
  <c r="AS129" i="4" s="1"/>
  <c r="AQ55" i="4"/>
  <c r="AR55" i="4" s="1"/>
  <c r="AS55" i="4" s="1"/>
  <c r="AN31" i="4"/>
  <c r="AQ51" i="4"/>
  <c r="AR51" i="4" s="1"/>
  <c r="AN58" i="4"/>
  <c r="AQ84" i="4"/>
  <c r="AR84" i="4" s="1"/>
  <c r="AS84" i="4" s="1"/>
  <c r="AQ144" i="4"/>
  <c r="AR144" i="4" s="1"/>
  <c r="AQ43" i="4"/>
  <c r="AR43" i="4" s="1"/>
  <c r="AN77" i="4"/>
  <c r="AS77" i="4" s="1"/>
  <c r="AN103" i="4"/>
  <c r="AN119" i="4"/>
  <c r="AN37" i="4"/>
  <c r="AS37" i="4" s="1"/>
  <c r="AN25" i="4"/>
  <c r="AQ38" i="4"/>
  <c r="AR38" i="4" s="1"/>
  <c r="AQ25" i="4"/>
  <c r="AR25" i="4" s="1"/>
  <c r="AN57" i="4"/>
  <c r="AN38" i="4"/>
  <c r="AQ31" i="4"/>
  <c r="AR31" i="4" s="1"/>
  <c r="AN51" i="4"/>
  <c r="AQ82" i="4"/>
  <c r="AR82" i="4" s="1"/>
  <c r="AN90" i="4"/>
  <c r="AN33" i="4"/>
  <c r="AS33" i="4" s="1"/>
  <c r="AQ135" i="4"/>
  <c r="AR135" i="4" s="1"/>
  <c r="AS135" i="4" s="1"/>
  <c r="AN127" i="4"/>
  <c r="AN67" i="4"/>
  <c r="AQ41" i="4"/>
  <c r="AR41" i="4" s="1"/>
  <c r="AQ59" i="4"/>
  <c r="AR59" i="4" s="1"/>
  <c r="AS59" i="4" s="1"/>
  <c r="AQ8" i="4"/>
  <c r="AR8" i="4" s="1"/>
  <c r="AQ23" i="4"/>
  <c r="AR23" i="4" s="1"/>
  <c r="AQ97" i="4"/>
  <c r="AR97" i="4" s="1"/>
  <c r="AN97" i="4"/>
  <c r="AN23" i="4"/>
  <c r="AQ67" i="4"/>
  <c r="AR67" i="4" s="1"/>
  <c r="AN43" i="4"/>
  <c r="AO116" i="4"/>
  <c r="AQ127" i="4"/>
  <c r="AQ58" i="4"/>
  <c r="AR58" i="4" s="1"/>
  <c r="AN144" i="4"/>
  <c r="AQ29" i="4"/>
  <c r="AR29" i="4" s="1"/>
  <c r="BI104" i="4"/>
  <c r="BI64" i="4"/>
  <c r="BI111" i="4"/>
  <c r="AB126" i="4"/>
  <c r="BU126" i="4" s="1"/>
  <c r="AO130" i="4"/>
  <c r="AN130" i="4" s="1"/>
  <c r="BI136" i="4"/>
  <c r="AN41" i="4"/>
  <c r="AB102" i="4"/>
  <c r="BU102" i="4" s="1"/>
  <c r="AB111" i="4"/>
  <c r="BU111" i="4" s="1"/>
  <c r="AQ119" i="4"/>
  <c r="AR119" i="4" s="1"/>
  <c r="AQ15" i="4"/>
  <c r="AR15" i="4" s="1"/>
  <c r="AN63" i="4"/>
  <c r="AN73" i="4"/>
  <c r="AQ53" i="4"/>
  <c r="AR53" i="4" s="1"/>
  <c r="BI26" i="4"/>
  <c r="AN8" i="4"/>
  <c r="BI123" i="4"/>
  <c r="AO110" i="4"/>
  <c r="AB122" i="4"/>
  <c r="BU122" i="4" s="1"/>
  <c r="AO21" i="4"/>
  <c r="AN70" i="4"/>
  <c r="AQ103" i="4"/>
  <c r="AR103" i="4" s="1"/>
  <c r="AQ34" i="4"/>
  <c r="AR34" i="4" s="1"/>
  <c r="AO137" i="4"/>
  <c r="AO19" i="4"/>
  <c r="AN19" i="4" s="1"/>
  <c r="AO156" i="4"/>
  <c r="AO148" i="4"/>
  <c r="AQ148" i="4" s="1"/>
  <c r="AR148" i="4" s="1"/>
  <c r="BI97" i="4"/>
  <c r="BI126" i="4"/>
  <c r="BI142" i="4"/>
  <c r="AO113" i="4"/>
  <c r="AN131" i="4"/>
  <c r="AO146" i="4"/>
  <c r="AO136" i="4"/>
  <c r="AQ136" i="4" s="1"/>
  <c r="AR136" i="4" s="1"/>
  <c r="AO24" i="4"/>
  <c r="AO143" i="4"/>
  <c r="AO117" i="4"/>
  <c r="AQ117" i="4" s="1"/>
  <c r="AR117" i="4" s="1"/>
  <c r="AO124" i="4"/>
  <c r="AO145" i="4"/>
  <c r="AO108" i="4"/>
  <c r="BI90" i="4"/>
  <c r="BI91" i="4"/>
  <c r="BI150" i="4"/>
  <c r="BI122" i="4"/>
  <c r="AO142" i="4"/>
  <c r="AO54" i="4"/>
  <c r="AO49" i="4"/>
  <c r="AN49" i="4" s="1"/>
  <c r="AO65" i="4"/>
  <c r="AO149" i="4"/>
  <c r="AO81" i="4"/>
  <c r="AQ81" i="4" s="1"/>
  <c r="AR81" i="4" s="1"/>
  <c r="AO123" i="4"/>
  <c r="AO140" i="4"/>
  <c r="BI140" i="4"/>
  <c r="AB94" i="4"/>
  <c r="BU94" i="4" s="1"/>
  <c r="AQ90" i="4"/>
  <c r="AR90" i="4" s="1"/>
  <c r="AN52" i="4"/>
  <c r="AX471" i="10"/>
  <c r="BI156" i="4"/>
  <c r="BI48" i="4"/>
  <c r="BI148" i="4"/>
  <c r="AQ75" i="4"/>
  <c r="AR75" i="4" s="1"/>
  <c r="BI143" i="4"/>
  <c r="BI117" i="4"/>
  <c r="BI82" i="4"/>
  <c r="BI124" i="4"/>
  <c r="AN82" i="4"/>
  <c r="AS83" i="4"/>
  <c r="AS99" i="4"/>
  <c r="AS40" i="4"/>
  <c r="AS87" i="4"/>
  <c r="AS98" i="4"/>
  <c r="AS86" i="4"/>
  <c r="AS68" i="4"/>
  <c r="AS10" i="4"/>
  <c r="AS14" i="4"/>
  <c r="AS120" i="4"/>
  <c r="AS28" i="4"/>
  <c r="AS71" i="4"/>
  <c r="AS95" i="4"/>
  <c r="AS78" i="4"/>
  <c r="AS36" i="4"/>
  <c r="AS74" i="4"/>
  <c r="AS22" i="4"/>
  <c r="AS60" i="4"/>
  <c r="AS18" i="4"/>
  <c r="AQ32" i="4"/>
  <c r="AR32" i="4" s="1"/>
  <c r="AN32" i="4"/>
  <c r="AQ112" i="4"/>
  <c r="AR112" i="4" s="1"/>
  <c r="AN112" i="4"/>
  <c r="AN26" i="4"/>
  <c r="AQ26" i="4"/>
  <c r="AR26" i="4" s="1"/>
  <c r="AQ134" i="4"/>
  <c r="AR134" i="4" s="1"/>
  <c r="AN134" i="4"/>
  <c r="AQ114" i="4"/>
  <c r="AR114" i="4" s="1"/>
  <c r="AN114" i="4"/>
  <c r="AQ44" i="4"/>
  <c r="AR44" i="4" s="1"/>
  <c r="AN44" i="4"/>
  <c r="AN96" i="4"/>
  <c r="AQ96" i="4"/>
  <c r="AR96" i="4" s="1"/>
  <c r="AQ132" i="4"/>
  <c r="AR132" i="4" s="1"/>
  <c r="AN132" i="4"/>
  <c r="AQ128" i="4"/>
  <c r="AR128" i="4" s="1"/>
  <c r="AN128" i="4"/>
  <c r="AN64" i="4"/>
  <c r="AQ64" i="4"/>
  <c r="AR64" i="4" s="1"/>
  <c r="AO47" i="4"/>
  <c r="AQ92" i="4"/>
  <c r="AR92" i="4" s="1"/>
  <c r="AN92" i="4"/>
  <c r="AO118" i="4"/>
  <c r="AQ79" i="4"/>
  <c r="AR79" i="4" s="1"/>
  <c r="AN79" i="4"/>
  <c r="AN106" i="4"/>
  <c r="AQ106" i="4"/>
  <c r="AR106" i="4" s="1"/>
  <c r="AO104" i="4"/>
  <c r="AO46" i="4"/>
  <c r="AN100" i="4"/>
  <c r="AQ100" i="4"/>
  <c r="AR100" i="4" s="1"/>
  <c r="AQ48" i="4"/>
  <c r="AR48" i="4" s="1"/>
  <c r="AN48" i="4"/>
  <c r="AB82" i="4"/>
  <c r="BU82" i="4" s="1"/>
  <c r="AB48" i="4"/>
  <c r="BU48" i="4" s="1"/>
  <c r="AB143" i="4"/>
  <c r="BU143" i="4" s="1"/>
  <c r="AB157" i="4"/>
  <c r="BU157" i="4" s="1"/>
  <c r="AB124" i="4"/>
  <c r="BU124" i="4" s="1"/>
  <c r="AB156" i="4"/>
  <c r="BU156" i="4" s="1"/>
  <c r="AB117" i="4"/>
  <c r="BU117" i="4" s="1"/>
  <c r="AB148" i="4"/>
  <c r="BU148" i="4" s="1"/>
  <c r="AX444" i="10"/>
  <c r="AB46" i="4"/>
  <c r="BU46" i="4" s="1"/>
  <c r="AB49" i="4"/>
  <c r="BU49" i="4" s="1"/>
  <c r="AB54" i="4"/>
  <c r="BU54" i="4" s="1"/>
  <c r="AB19" i="4"/>
  <c r="BU19" i="4" s="1"/>
  <c r="AB104" i="4"/>
  <c r="BU104" i="4" s="1"/>
  <c r="AB106" i="4"/>
  <c r="BU106" i="4" s="1"/>
  <c r="AB110" i="4"/>
  <c r="BU110" i="4" s="1"/>
  <c r="AB79" i="4"/>
  <c r="BU79" i="4" s="1"/>
  <c r="AB26" i="4"/>
  <c r="BU26" i="4" s="1"/>
  <c r="AB21" i="4"/>
  <c r="BU21" i="4" s="1"/>
  <c r="AB113" i="4"/>
  <c r="BU113" i="4" s="1"/>
  <c r="AB32" i="4"/>
  <c r="BU32" i="4" s="1"/>
  <c r="AB149" i="4"/>
  <c r="BU149" i="4" s="1"/>
  <c r="AB146" i="4"/>
  <c r="BU146" i="4" s="1"/>
  <c r="AB136" i="4"/>
  <c r="BU136" i="4" s="1"/>
  <c r="AB65" i="4"/>
  <c r="BU65" i="4" s="1"/>
  <c r="AB118" i="4"/>
  <c r="BU118" i="4" s="1"/>
  <c r="AB64" i="4"/>
  <c r="BU64" i="4" s="1"/>
  <c r="AB81" i="4"/>
  <c r="BU81" i="4" s="1"/>
  <c r="AB47" i="4"/>
  <c r="BU47" i="4" s="1"/>
  <c r="AB24" i="4"/>
  <c r="BU24" i="4" s="1"/>
  <c r="AB137" i="4"/>
  <c r="BU137" i="4" s="1"/>
  <c r="AX432" i="10"/>
  <c r="AX51" i="10"/>
  <c r="AW300" i="10"/>
  <c r="AD34" i="4"/>
  <c r="AW490" i="10"/>
  <c r="AX72" i="10"/>
  <c r="AW132" i="10"/>
  <c r="AW346" i="10"/>
  <c r="AX378" i="10"/>
  <c r="AW353" i="10"/>
  <c r="AX215" i="10"/>
  <c r="AX202" i="10"/>
  <c r="AD10" i="4"/>
  <c r="AX43" i="10"/>
  <c r="AX141" i="10"/>
  <c r="AX464" i="10"/>
  <c r="AW556" i="10"/>
  <c r="AW315" i="10"/>
  <c r="AD17" i="4"/>
  <c r="AW332" i="10"/>
  <c r="AW350" i="10"/>
  <c r="AW458" i="10"/>
  <c r="AW203" i="10"/>
  <c r="AW441" i="10"/>
  <c r="AX272" i="10"/>
  <c r="AX411" i="10"/>
  <c r="AX119" i="10"/>
  <c r="AX145" i="10"/>
  <c r="AX116" i="10"/>
  <c r="AW382" i="10"/>
  <c r="AW50" i="10"/>
  <c r="AW290" i="10"/>
  <c r="AX104" i="10"/>
  <c r="AX320" i="10"/>
  <c r="AX522" i="10"/>
  <c r="AW336" i="10"/>
  <c r="AX143" i="10"/>
  <c r="AX97" i="10"/>
  <c r="AX73" i="10"/>
  <c r="AW88" i="10"/>
  <c r="AX485" i="10"/>
  <c r="AX341" i="10"/>
  <c r="AW419" i="10"/>
  <c r="AX27" i="10"/>
  <c r="AW266" i="10"/>
  <c r="AW197" i="10"/>
  <c r="AW105" i="10"/>
  <c r="AX425" i="10"/>
  <c r="AX156" i="10"/>
  <c r="AX243" i="10"/>
  <c r="AW150" i="10"/>
  <c r="AX362" i="10"/>
  <c r="AX406" i="10"/>
  <c r="AX544" i="10"/>
  <c r="AX271" i="10"/>
  <c r="AW64" i="10"/>
  <c r="AX530" i="10"/>
  <c r="AW167" i="10"/>
  <c r="AD95" i="4"/>
  <c r="AD105" i="4"/>
  <c r="AD109" i="4"/>
  <c r="AD91" i="4"/>
  <c r="AD99" i="4"/>
  <c r="AD87" i="4"/>
  <c r="AD130" i="4"/>
  <c r="AD116" i="4"/>
  <c r="AD135" i="4"/>
  <c r="AD89" i="4"/>
  <c r="AW466" i="10"/>
  <c r="AX329" i="10"/>
  <c r="AX288" i="10"/>
  <c r="AX222" i="10"/>
  <c r="AX497" i="10"/>
  <c r="AX331" i="10"/>
  <c r="AX130" i="10"/>
  <c r="AW533" i="10"/>
  <c r="AX468" i="10"/>
  <c r="AX475" i="10"/>
  <c r="AW178" i="10"/>
  <c r="AX165" i="10"/>
  <c r="AW166" i="10"/>
  <c r="AW205" i="10"/>
  <c r="AW538" i="10"/>
  <c r="AW540" i="10"/>
  <c r="AW415" i="10"/>
  <c r="AX293" i="10"/>
  <c r="AW319" i="10"/>
  <c r="AW176" i="10"/>
  <c r="AX369" i="10"/>
  <c r="AW248" i="10"/>
  <c r="AX351" i="10"/>
  <c r="AW433" i="10"/>
  <c r="AW93" i="10"/>
  <c r="AX221" i="10"/>
  <c r="AW342" i="10"/>
  <c r="AW151" i="10"/>
  <c r="AX499" i="10"/>
  <c r="AW63" i="10"/>
  <c r="AX558" i="10"/>
  <c r="AX89" i="10"/>
  <c r="AW377" i="10"/>
  <c r="AW284" i="10"/>
  <c r="AW515" i="10"/>
  <c r="AW84" i="10"/>
  <c r="AW75" i="10"/>
  <c r="AX296" i="10"/>
  <c r="AX118" i="10"/>
  <c r="AW501" i="10"/>
  <c r="AW318" i="10"/>
  <c r="AX455" i="10"/>
  <c r="AX453" i="10"/>
  <c r="AX58" i="10"/>
  <c r="AX354" i="10"/>
  <c r="AW507" i="10"/>
  <c r="AX209" i="10"/>
  <c r="AW68" i="10"/>
  <c r="AW38" i="10"/>
  <c r="AX330" i="10"/>
  <c r="AW557" i="10"/>
  <c r="AX8" i="10"/>
  <c r="AX240" i="10"/>
  <c r="AX502" i="10"/>
  <c r="AW463" i="10"/>
  <c r="AX388" i="10"/>
  <c r="AW491" i="10"/>
  <c r="AW139" i="10"/>
  <c r="AW244" i="10"/>
  <c r="AX48" i="10"/>
  <c r="AX393" i="10"/>
  <c r="AW500" i="10"/>
  <c r="AX188" i="10"/>
  <c r="AW263" i="10"/>
  <c r="AW373" i="10"/>
  <c r="AW356" i="10"/>
  <c r="AW539" i="10"/>
  <c r="AX218" i="10"/>
  <c r="AW36" i="10"/>
  <c r="AX182" i="10"/>
  <c r="AW110" i="10"/>
  <c r="AW302" i="10"/>
  <c r="AX44" i="10"/>
  <c r="AX102" i="10"/>
  <c r="AX59" i="10"/>
  <c r="AW536" i="10"/>
  <c r="AX314" i="10"/>
  <c r="AX235" i="10"/>
  <c r="AX323" i="10"/>
  <c r="AX291" i="10"/>
  <c r="AW492" i="10"/>
  <c r="AW265" i="10"/>
  <c r="AW422" i="10"/>
  <c r="AW126" i="10"/>
  <c r="AW228" i="10"/>
  <c r="AX121" i="10"/>
  <c r="AX435" i="10"/>
  <c r="AX462" i="10"/>
  <c r="AX338" i="10"/>
  <c r="AX281" i="10"/>
  <c r="AX446" i="10"/>
  <c r="AX473" i="10"/>
  <c r="AW220" i="10"/>
  <c r="AX394" i="10"/>
  <c r="AW212" i="10"/>
  <c r="AW451" i="10"/>
  <c r="AW133" i="10"/>
  <c r="AW412" i="10"/>
  <c r="AX328" i="10"/>
  <c r="AW357" i="10"/>
  <c r="AX454" i="10"/>
  <c r="AW85" i="10"/>
  <c r="AX560" i="10"/>
  <c r="AW33" i="10"/>
  <c r="AX486" i="10"/>
  <c r="AX457" i="10"/>
  <c r="AX325" i="10"/>
  <c r="AW261" i="10"/>
  <c r="AW477" i="10"/>
  <c r="AW363" i="10"/>
  <c r="AX148" i="10"/>
  <c r="AW410" i="10"/>
  <c r="AW225" i="10"/>
  <c r="AW389" i="10"/>
  <c r="AX335" i="10"/>
  <c r="AW434" i="10"/>
  <c r="AW489" i="10"/>
  <c r="AW372" i="10"/>
  <c r="AX381" i="10"/>
  <c r="AW301" i="10"/>
  <c r="AX361" i="10"/>
  <c r="AW181" i="10"/>
  <c r="AX67" i="10"/>
  <c r="AW227" i="10"/>
  <c r="AX138" i="10"/>
  <c r="AX308" i="10"/>
  <c r="AX195" i="10"/>
  <c r="AW459" i="10"/>
  <c r="AW340" i="10"/>
  <c r="AX413" i="10"/>
  <c r="AX86" i="10"/>
  <c r="AX487" i="10"/>
  <c r="AW47" i="10"/>
  <c r="AW292" i="10"/>
  <c r="AX481" i="10"/>
  <c r="AX171" i="10"/>
  <c r="AW405" i="10"/>
  <c r="AW304" i="10"/>
  <c r="AW61" i="10"/>
  <c r="AX275" i="10"/>
  <c r="AX71" i="10"/>
  <c r="AW286" i="10"/>
  <c r="AW360" i="10"/>
  <c r="AW80" i="10"/>
  <c r="AX474" i="10"/>
  <c r="AW509" i="10"/>
  <c r="AX186" i="10"/>
  <c r="AW103" i="10"/>
  <c r="AX276" i="10"/>
  <c r="AW289" i="10"/>
  <c r="AX495" i="10"/>
  <c r="AX29" i="10"/>
  <c r="AX106" i="10"/>
  <c r="AW91" i="10"/>
  <c r="AX217" i="10"/>
  <c r="AX334" i="10"/>
  <c r="AW313" i="10"/>
  <c r="AX253" i="10"/>
  <c r="AX128" i="10"/>
  <c r="AX269" i="10"/>
  <c r="AX144" i="10"/>
  <c r="AW7" i="10"/>
  <c r="AX513" i="10"/>
  <c r="AW163" i="10"/>
  <c r="AW123" i="10"/>
  <c r="AX414" i="10"/>
  <c r="AW226" i="10"/>
  <c r="AX452" i="10"/>
  <c r="AX208" i="10"/>
  <c r="AX545" i="10"/>
  <c r="AX83" i="10"/>
  <c r="AW179" i="10"/>
  <c r="AW90" i="10"/>
  <c r="AX436" i="10"/>
  <c r="AW483" i="10"/>
  <c r="AW439" i="10"/>
  <c r="AX112" i="10"/>
  <c r="AW294" i="10"/>
  <c r="AW298" i="10"/>
  <c r="AW555" i="10"/>
  <c r="AX268" i="10"/>
  <c r="AW316" i="10"/>
  <c r="AX258" i="10"/>
  <c r="AX159" i="10"/>
  <c r="AX241" i="10"/>
  <c r="AX26" i="10"/>
  <c r="AX101" i="10"/>
  <c r="AX494" i="10"/>
  <c r="AW327" i="10"/>
  <c r="AW559" i="10"/>
  <c r="AW19" i="10"/>
  <c r="AX255" i="10"/>
  <c r="AW528" i="10"/>
  <c r="AW521" i="10"/>
  <c r="AX299" i="10"/>
  <c r="AW396" i="10"/>
  <c r="AW82" i="10"/>
  <c r="AW324" i="10"/>
  <c r="AW214" i="10"/>
  <c r="AX193" i="10"/>
  <c r="AW254" i="10"/>
  <c r="AW24" i="10"/>
  <c r="AW21" i="10"/>
  <c r="AX236" i="10"/>
  <c r="AW191" i="10"/>
  <c r="AW57" i="10"/>
  <c r="AX246" i="10"/>
  <c r="AX345" i="10"/>
  <c r="AW32" i="10"/>
  <c r="AW438" i="10"/>
  <c r="AW546" i="10"/>
  <c r="AW109" i="10"/>
  <c r="AW450" i="10"/>
  <c r="AT374" i="5"/>
  <c r="AW136" i="10"/>
  <c r="AX135" i="10"/>
  <c r="AW359" i="10"/>
  <c r="AX42" i="10"/>
  <c r="AX423" i="10"/>
  <c r="AW196" i="10"/>
  <c r="AW525" i="10"/>
  <c r="AX409" i="10"/>
  <c r="AX431" i="10"/>
  <c r="AW392" i="10"/>
  <c r="AX120" i="10"/>
  <c r="AX161" i="10"/>
  <c r="AW404" i="10"/>
  <c r="AW184" i="10"/>
  <c r="AX155" i="10"/>
  <c r="AW199" i="10"/>
  <c r="AW213" i="10"/>
  <c r="AX70" i="10"/>
  <c r="AW183" i="10"/>
  <c r="AW147" i="10"/>
  <c r="AT363" i="5"/>
  <c r="AW375" i="10"/>
  <c r="AW508" i="10"/>
  <c r="AX234" i="10"/>
  <c r="AX352" i="10"/>
  <c r="AW496" i="10"/>
  <c r="AX407" i="10"/>
  <c r="AX158" i="10"/>
  <c r="AW256" i="10"/>
  <c r="AW339" i="10"/>
  <c r="AX96" i="10"/>
  <c r="AX9" i="10"/>
  <c r="AW424" i="10"/>
  <c r="AW397" i="10"/>
  <c r="AX461" i="10"/>
  <c r="AW187" i="10"/>
  <c r="AW238" i="10"/>
  <c r="AX210" i="10"/>
  <c r="AX31" i="10"/>
  <c r="AX524" i="10"/>
  <c r="AW239" i="10"/>
  <c r="AW223" i="10"/>
  <c r="AW216" i="10"/>
  <c r="AW549" i="10"/>
  <c r="AW190" i="10"/>
  <c r="AW519" i="10"/>
  <c r="AX379" i="10"/>
  <c r="AW81" i="10"/>
  <c r="AW523" i="10"/>
  <c r="AW554" i="10"/>
  <c r="AW470" i="10"/>
  <c r="AW201" i="10"/>
  <c r="AX479" i="10"/>
  <c r="AW146" i="10"/>
  <c r="AW260" i="10"/>
  <c r="AW114" i="10"/>
  <c r="AX154" i="10"/>
  <c r="AX349" i="10"/>
  <c r="AW311" i="10"/>
  <c r="AU329" i="5"/>
  <c r="AW140" i="10"/>
  <c r="AX60" i="10"/>
  <c r="AW270" i="10"/>
  <c r="AV11" i="10"/>
  <c r="AW11" i="10" s="1"/>
  <c r="AX74" i="10"/>
  <c r="AW460" i="10"/>
  <c r="AX49" i="10"/>
  <c r="AX287" i="10"/>
  <c r="AX149" i="10"/>
  <c r="AX504" i="10"/>
  <c r="AX347" i="10"/>
  <c r="AW447" i="10"/>
  <c r="AX252" i="10"/>
  <c r="AW429" i="10"/>
  <c r="AW467" i="10"/>
  <c r="AW40" i="10"/>
  <c r="AW232" i="10"/>
  <c r="AX511" i="10"/>
  <c r="AW400" i="10"/>
  <c r="AW518" i="10"/>
  <c r="AD11" i="10"/>
  <c r="AX267" i="10"/>
  <c r="AW23" i="10"/>
  <c r="AU540" i="5"/>
  <c r="AX505" i="10"/>
  <c r="AW237" i="10"/>
  <c r="AU470" i="5"/>
  <c r="AX344" i="10"/>
  <c r="AW264" i="10"/>
  <c r="AT11" i="10"/>
  <c r="AU11" i="10"/>
  <c r="AU481" i="5"/>
  <c r="AU440" i="5"/>
  <c r="AT52" i="5"/>
  <c r="AT274" i="5"/>
  <c r="AT22" i="5"/>
  <c r="AU115" i="5"/>
  <c r="AU19" i="5"/>
  <c r="AT205" i="5"/>
  <c r="AT288" i="5"/>
  <c r="AT229" i="5"/>
  <c r="AT204" i="5"/>
  <c r="AT42" i="5"/>
  <c r="AT306" i="5"/>
  <c r="AT65" i="5"/>
  <c r="AU30" i="5"/>
  <c r="AU287" i="5"/>
  <c r="AU397" i="5"/>
  <c r="AU519" i="5"/>
  <c r="AT193" i="5"/>
  <c r="AU515" i="5"/>
  <c r="AT400" i="5"/>
  <c r="AT203" i="5"/>
  <c r="AT194" i="5"/>
  <c r="AU525" i="5"/>
  <c r="AU95" i="5"/>
  <c r="AT411" i="5"/>
  <c r="AT240" i="5"/>
  <c r="AU138" i="5"/>
  <c r="AU266" i="5"/>
  <c r="AU189" i="5"/>
  <c r="AQ11" i="5"/>
  <c r="AT89" i="5"/>
  <c r="AT549" i="5"/>
  <c r="AU437" i="5"/>
  <c r="AU347" i="5"/>
  <c r="AU73" i="5"/>
  <c r="AU83" i="5"/>
  <c r="AT522" i="5"/>
  <c r="AU483" i="5"/>
  <c r="AU351" i="5"/>
  <c r="AU342" i="5"/>
  <c r="AU346" i="5"/>
  <c r="AT107" i="5"/>
  <c r="AU492" i="5"/>
  <c r="AU403" i="5"/>
  <c r="AT394" i="5"/>
  <c r="AU530" i="5"/>
  <c r="AT388" i="5"/>
  <c r="AT190" i="5"/>
  <c r="AT482" i="5"/>
  <c r="AU90" i="5"/>
  <c r="AU154" i="5"/>
  <c r="AT257" i="5"/>
  <c r="AT196" i="5"/>
  <c r="AU94" i="5"/>
  <c r="AU156" i="5"/>
  <c r="AU423" i="5"/>
  <c r="AU176" i="5"/>
  <c r="AU503" i="5"/>
  <c r="AT292" i="5"/>
  <c r="AU410" i="5"/>
  <c r="AU421" i="5"/>
  <c r="AU170" i="5"/>
  <c r="AT435" i="5"/>
  <c r="AU39" i="5"/>
  <c r="AU47" i="5"/>
  <c r="AU296" i="5"/>
  <c r="AU420" i="5"/>
  <c r="AT354" i="5"/>
  <c r="AU355" i="5"/>
  <c r="AU536" i="5"/>
  <c r="AU326" i="5"/>
  <c r="AT383" i="5"/>
  <c r="AU545" i="5"/>
  <c r="AT75" i="5"/>
  <c r="AT239" i="5"/>
  <c r="AT246" i="5"/>
  <c r="AU532" i="5"/>
  <c r="AU114" i="5"/>
  <c r="AT273" i="5"/>
  <c r="AT97" i="5"/>
  <c r="AT452" i="5"/>
  <c r="AT544" i="5"/>
  <c r="AT86" i="5"/>
  <c r="AU444" i="5"/>
  <c r="AU166" i="5"/>
  <c r="AU407" i="5"/>
  <c r="AT67" i="5"/>
  <c r="AU68" i="5"/>
  <c r="AU79" i="5"/>
  <c r="AT429" i="5"/>
  <c r="AT212" i="5"/>
  <c r="AU127" i="5"/>
  <c r="AT191" i="5"/>
  <c r="AU370" i="5"/>
  <c r="AU335" i="5"/>
  <c r="AU518" i="5"/>
  <c r="AU334" i="5"/>
  <c r="AT371" i="5"/>
  <c r="AU244" i="5"/>
  <c r="AT111" i="5"/>
  <c r="AU496" i="5"/>
  <c r="AU226" i="5"/>
  <c r="AT210" i="5"/>
  <c r="AT546" i="5"/>
  <c r="AU271" i="5"/>
  <c r="AU235" i="5"/>
  <c r="AT293" i="5"/>
  <c r="AU259" i="5"/>
  <c r="AT268" i="5"/>
  <c r="AT380" i="5"/>
  <c r="AT547" i="5"/>
  <c r="AU199" i="5"/>
  <c r="AU284" i="5"/>
  <c r="AU533" i="5"/>
  <c r="AU336" i="5"/>
  <c r="AU300" i="5"/>
  <c r="AT514" i="5"/>
  <c r="AU348" i="5"/>
  <c r="AU426" i="5"/>
  <c r="AT472" i="5"/>
  <c r="AU500" i="5"/>
  <c r="AU172" i="5"/>
  <c r="AU324" i="5"/>
  <c r="AU102" i="5"/>
  <c r="AT552" i="5"/>
  <c r="AU250" i="5"/>
  <c r="AT542" i="5"/>
  <c r="AT149" i="5"/>
  <c r="AU278" i="5"/>
  <c r="AU463" i="5"/>
  <c r="AT378" i="5"/>
  <c r="AU368" i="5"/>
  <c r="AU143" i="5"/>
  <c r="AU432" i="5"/>
  <c r="AU35" i="5"/>
  <c r="AT417" i="5"/>
  <c r="AT367" i="5"/>
  <c r="AU313" i="5"/>
  <c r="AU285" i="5"/>
  <c r="AT26" i="5"/>
  <c r="AU262" i="5"/>
  <c r="AU459" i="5"/>
  <c r="AT464" i="5"/>
  <c r="AT379" i="5"/>
  <c r="AU330" i="5"/>
  <c r="AT416" i="5"/>
  <c r="AT318" i="5"/>
  <c r="AT486" i="5"/>
  <c r="AU198" i="5"/>
  <c r="AT460" i="5"/>
  <c r="AT381" i="5"/>
  <c r="AU53" i="5"/>
  <c r="AT219" i="5"/>
  <c r="AT175" i="5"/>
  <c r="AT123" i="5"/>
  <c r="AU535" i="5"/>
  <c r="AT303" i="5"/>
  <c r="AU230" i="5"/>
  <c r="AU165" i="5"/>
  <c r="AU414" i="5"/>
  <c r="AU133" i="5"/>
  <c r="AT382" i="5"/>
  <c r="AU391" i="5"/>
  <c r="AU441" i="5"/>
  <c r="AT369" i="5"/>
  <c r="AU477" i="5"/>
  <c r="AT455" i="5"/>
  <c r="AU456" i="5"/>
  <c r="AU221" i="5"/>
  <c r="AT356" i="5"/>
  <c r="AT521" i="5"/>
  <c r="AD11" i="5"/>
  <c r="AU242" i="5"/>
  <c r="AT106" i="5"/>
  <c r="AT325" i="5"/>
  <c r="AT405" i="5"/>
  <c r="AS11" i="5"/>
  <c r="AT11" i="5" s="1"/>
  <c r="AU153" i="5"/>
  <c r="AT443" i="5"/>
  <c r="AT419" i="5"/>
  <c r="AU99" i="5"/>
  <c r="AT560" i="5"/>
  <c r="AU263" i="5"/>
  <c r="AU180" i="5"/>
  <c r="AU270" i="5"/>
  <c r="AU436" i="5"/>
  <c r="AT554" i="5"/>
  <c r="AT449" i="5"/>
  <c r="AT474" i="5"/>
  <c r="AU387" i="5"/>
  <c r="AU120" i="5"/>
  <c r="AU23" i="5"/>
  <c r="AT29" i="5"/>
  <c r="AT236" i="5"/>
  <c r="AT129" i="5"/>
  <c r="AT333" i="5"/>
  <c r="AT255" i="5"/>
  <c r="AU314" i="5"/>
  <c r="AU415" i="5"/>
  <c r="AU228" i="5"/>
  <c r="AT87" i="5"/>
  <c r="AU92" i="5"/>
  <c r="AT76" i="5"/>
  <c r="AU331" i="5"/>
  <c r="AT431" i="5"/>
  <c r="AU302" i="5"/>
  <c r="AU507" i="5"/>
  <c r="AU439" i="5"/>
  <c r="AT264" i="5"/>
  <c r="AU349" i="5"/>
  <c r="AU385" i="5"/>
  <c r="AU254" i="5"/>
  <c r="AT261" i="5"/>
  <c r="AU491" i="5"/>
  <c r="AU168" i="5"/>
  <c r="AU211" i="5"/>
  <c r="AU31" i="5"/>
  <c r="AT131" i="5"/>
  <c r="AT272" i="5"/>
  <c r="AT243" i="5"/>
  <c r="AT155" i="5"/>
  <c r="AT40" i="5"/>
  <c r="AT41" i="5"/>
  <c r="AT485" i="5"/>
  <c r="AU12" i="5"/>
  <c r="AU340" i="5"/>
  <c r="AT310" i="5"/>
  <c r="AU24" i="5"/>
  <c r="AT101" i="5"/>
  <c r="AT28" i="5"/>
  <c r="AU209" i="5"/>
  <c r="AT428" i="5"/>
  <c r="AU91" i="5"/>
  <c r="AU103" i="5"/>
  <c r="AU469" i="5"/>
  <c r="AT524" i="5"/>
  <c r="AU38" i="5"/>
  <c r="AU345" i="5"/>
  <c r="AU225" i="5"/>
  <c r="AU93" i="5"/>
  <c r="AT161" i="5"/>
  <c r="AU490" i="5"/>
  <c r="AU50" i="5"/>
  <c r="AU531" i="5"/>
  <c r="AU321" i="5"/>
  <c r="AU222" i="5"/>
  <c r="AU233" i="5"/>
  <c r="AU159" i="5"/>
  <c r="AT85" i="5"/>
  <c r="AT25" i="5"/>
  <c r="AU307" i="5"/>
  <c r="AU511" i="5"/>
  <c r="AT220" i="5"/>
  <c r="AU396" i="5"/>
  <c r="AU516" i="5"/>
  <c r="AT298" i="5"/>
  <c r="AU224" i="5"/>
  <c r="AU139" i="5"/>
  <c r="AT390" i="5"/>
  <c r="AT361" i="5"/>
  <c r="AU237" i="5"/>
  <c r="AU377" i="5"/>
  <c r="AT494" i="5"/>
  <c r="AT438" i="5"/>
  <c r="AU328" i="5"/>
  <c r="AT185" i="5"/>
  <c r="AU320" i="5"/>
  <c r="AT473" i="5"/>
  <c r="AU10" i="5"/>
  <c r="AT427" i="5"/>
  <c r="AU269" i="5"/>
  <c r="AT312" i="5"/>
  <c r="AT167" i="5"/>
  <c r="AU358" i="5"/>
  <c r="AU558" i="5"/>
  <c r="AT119" i="5"/>
  <c r="AT48" i="5"/>
  <c r="AT359" i="5"/>
  <c r="AT163" i="5"/>
  <c r="AU140" i="5"/>
  <c r="AU304" i="5"/>
  <c r="AU208" i="5"/>
  <c r="AU551" i="5"/>
  <c r="AU488" i="5"/>
  <c r="AU425" i="5"/>
  <c r="AT478" i="5"/>
  <c r="AU135" i="5"/>
  <c r="AU132" i="5"/>
  <c r="AT282" i="5"/>
  <c r="AU406" i="5"/>
  <c r="AU402" i="5"/>
  <c r="AU457" i="5"/>
  <c r="AU555" i="5"/>
  <c r="AU276" i="5"/>
  <c r="AU343" i="5"/>
  <c r="AT195" i="5"/>
  <c r="AT82" i="5"/>
  <c r="AT295" i="5"/>
  <c r="AT327" i="5"/>
  <c r="AU401" i="5"/>
  <c r="AU294" i="5"/>
  <c r="AT130" i="5"/>
  <c r="AU505" i="5"/>
  <c r="AU158" i="5"/>
  <c r="AT20" i="5"/>
  <c r="AU559" i="5"/>
  <c r="AU291" i="5"/>
  <c r="AT376" i="5"/>
  <c r="AT56" i="5"/>
  <c r="AU55" i="5"/>
  <c r="AT537" i="5"/>
  <c r="AU164" i="5"/>
  <c r="AT9" i="5"/>
  <c r="AU197" i="5"/>
  <c r="AT409" i="5"/>
  <c r="AD56" i="4"/>
  <c r="AD55" i="4"/>
  <c r="AD57" i="4"/>
  <c r="AD58" i="4"/>
  <c r="AD33" i="4"/>
  <c r="AD29" i="4"/>
  <c r="AD25" i="4"/>
  <c r="AD45" i="4"/>
  <c r="AD31" i="4"/>
  <c r="AD41" i="4"/>
  <c r="AD37" i="4"/>
  <c r="AJ7" i="4"/>
  <c r="BY7" i="4" s="1"/>
  <c r="F88" i="1"/>
  <c r="AQ157" i="4" l="1"/>
  <c r="AR157" i="4" s="1"/>
  <c r="AS157" i="4" s="1"/>
  <c r="AQ133" i="4"/>
  <c r="AR133" i="4" s="1"/>
  <c r="AQ126" i="4"/>
  <c r="AR126" i="4" s="1"/>
  <c r="AS126" i="4" s="1"/>
  <c r="AN150" i="4"/>
  <c r="AS150" i="4" s="1"/>
  <c r="AQ152" i="4"/>
  <c r="AR152" i="4" s="1"/>
  <c r="AS152" i="4" s="1"/>
  <c r="AR131" i="4"/>
  <c r="AS131" i="4" s="1"/>
  <c r="AR127" i="4"/>
  <c r="AS127" i="4" s="1"/>
  <c r="AN122" i="4"/>
  <c r="AS122" i="4" s="1"/>
  <c r="AN154" i="4"/>
  <c r="AS154" i="4" s="1"/>
  <c r="AR155" i="4"/>
  <c r="AS155" i="4" s="1"/>
  <c r="AS121" i="4"/>
  <c r="BX8" i="4"/>
  <c r="AS15" i="4"/>
  <c r="BZ7" i="4"/>
  <c r="AS17" i="4"/>
  <c r="AS93" i="4"/>
  <c r="AS31" i="4"/>
  <c r="AS144" i="4"/>
  <c r="AS94" i="4"/>
  <c r="AS89" i="4"/>
  <c r="AS80" i="4"/>
  <c r="AD113" i="4"/>
  <c r="AE113" i="4" s="1"/>
  <c r="BX113" i="4" s="1"/>
  <c r="AH113" i="4"/>
  <c r="AJ113" i="4" s="1"/>
  <c r="AD104" i="4"/>
  <c r="AE104" i="4" s="1"/>
  <c r="BX104" i="4" s="1"/>
  <c r="AH104" i="4"/>
  <c r="AJ104" i="4" s="1"/>
  <c r="AD137" i="4"/>
  <c r="AE137" i="4" s="1"/>
  <c r="BX137" i="4" s="1"/>
  <c r="AH137" i="4"/>
  <c r="AJ137" i="4" s="1"/>
  <c r="AD65" i="4"/>
  <c r="AE65" i="4" s="1"/>
  <c r="BX65" i="4" s="1"/>
  <c r="AH65" i="4"/>
  <c r="AJ65" i="4" s="1"/>
  <c r="AD32" i="4"/>
  <c r="AE32" i="4" s="1"/>
  <c r="BX32" i="4" s="1"/>
  <c r="AH32" i="4"/>
  <c r="AJ32" i="4" s="1"/>
  <c r="AD106" i="4"/>
  <c r="AE106" i="4" s="1"/>
  <c r="BX106" i="4" s="1"/>
  <c r="AH106" i="4"/>
  <c r="AJ106" i="4" s="1"/>
  <c r="AD54" i="4"/>
  <c r="AE54" i="4" s="1"/>
  <c r="BX54" i="4" s="1"/>
  <c r="AH54" i="4"/>
  <c r="AJ54" i="4" s="1"/>
  <c r="AD148" i="4"/>
  <c r="AE148" i="4" s="1"/>
  <c r="BX148" i="4" s="1"/>
  <c r="AH148" i="4"/>
  <c r="AJ148" i="4" s="1"/>
  <c r="AD124" i="4"/>
  <c r="AE124" i="4" s="1"/>
  <c r="BX124" i="4" s="1"/>
  <c r="AH124" i="4"/>
  <c r="AJ124" i="4" s="1"/>
  <c r="AD82" i="4"/>
  <c r="AE82" i="4" s="1"/>
  <c r="BX82" i="4" s="1"/>
  <c r="AH82" i="4"/>
  <c r="AJ82" i="4" s="1"/>
  <c r="AD111" i="4"/>
  <c r="AE111" i="4" s="1"/>
  <c r="BX111" i="4" s="1"/>
  <c r="AH111" i="4"/>
  <c r="AJ111" i="4" s="1"/>
  <c r="AD47" i="4"/>
  <c r="AE47" i="4" s="1"/>
  <c r="BX47" i="4" s="1"/>
  <c r="AH47" i="4"/>
  <c r="AJ47" i="4" s="1"/>
  <c r="AD64" i="4"/>
  <c r="AE64" i="4" s="1"/>
  <c r="BX64" i="4" s="1"/>
  <c r="AH64" i="4"/>
  <c r="AJ64" i="4" s="1"/>
  <c r="AD146" i="4"/>
  <c r="AE146" i="4" s="1"/>
  <c r="BX146" i="4" s="1"/>
  <c r="AH146" i="4"/>
  <c r="AJ146" i="4" s="1"/>
  <c r="AD21" i="4"/>
  <c r="AE21" i="4" s="1"/>
  <c r="BX21" i="4" s="1"/>
  <c r="AH21" i="4"/>
  <c r="AJ21" i="4" s="1"/>
  <c r="AD79" i="4"/>
  <c r="AE79" i="4" s="1"/>
  <c r="BX79" i="4" s="1"/>
  <c r="AH79" i="4"/>
  <c r="AJ79" i="4" s="1"/>
  <c r="AD46" i="4"/>
  <c r="AE46" i="4" s="1"/>
  <c r="BX46" i="4" s="1"/>
  <c r="AH46" i="4"/>
  <c r="AJ46" i="4" s="1"/>
  <c r="AD117" i="4"/>
  <c r="AE117" i="4" s="1"/>
  <c r="BX117" i="4" s="1"/>
  <c r="AH117" i="4"/>
  <c r="AJ117" i="4" s="1"/>
  <c r="AD157" i="4"/>
  <c r="AE157" i="4" s="1"/>
  <c r="BX157" i="4" s="1"/>
  <c r="AH157" i="4"/>
  <c r="AJ157" i="4" s="1"/>
  <c r="AD143" i="4"/>
  <c r="AE143" i="4" s="1"/>
  <c r="BX143" i="4" s="1"/>
  <c r="AH143" i="4"/>
  <c r="AJ143" i="4" s="1"/>
  <c r="AD122" i="4"/>
  <c r="AE122" i="4" s="1"/>
  <c r="BX122" i="4" s="1"/>
  <c r="AH122" i="4"/>
  <c r="AJ122" i="4" s="1"/>
  <c r="AD59" i="4"/>
  <c r="AE59" i="4" s="1"/>
  <c r="BX59" i="4" s="1"/>
  <c r="AH59" i="4"/>
  <c r="AJ59" i="4" s="1"/>
  <c r="AD140" i="4"/>
  <c r="AE140" i="4" s="1"/>
  <c r="BX140" i="4" s="1"/>
  <c r="AH140" i="4"/>
  <c r="AJ140" i="4" s="1"/>
  <c r="AD24" i="4"/>
  <c r="AE24" i="4" s="1"/>
  <c r="BX24" i="4" s="1"/>
  <c r="AH24" i="4"/>
  <c r="AJ24" i="4" s="1"/>
  <c r="AD136" i="4"/>
  <c r="AE136" i="4" s="1"/>
  <c r="BX136" i="4" s="1"/>
  <c r="AH136" i="4"/>
  <c r="AJ136" i="4" s="1"/>
  <c r="AD49" i="4"/>
  <c r="AE49" i="4" s="1"/>
  <c r="BX49" i="4" s="1"/>
  <c r="AH49" i="4"/>
  <c r="AJ49" i="4" s="1"/>
  <c r="AD48" i="4"/>
  <c r="AE48" i="4" s="1"/>
  <c r="BX48" i="4" s="1"/>
  <c r="AH48" i="4"/>
  <c r="AJ48" i="4" s="1"/>
  <c r="AD94" i="4"/>
  <c r="AE94" i="4" s="1"/>
  <c r="BX94" i="4" s="1"/>
  <c r="AH94" i="4"/>
  <c r="AJ94" i="4" s="1"/>
  <c r="AD102" i="4"/>
  <c r="AE102" i="4" s="1"/>
  <c r="BX102" i="4" s="1"/>
  <c r="AH102" i="4"/>
  <c r="AJ102" i="4" s="1"/>
  <c r="AD39" i="4"/>
  <c r="AE39" i="4" s="1"/>
  <c r="BX39" i="4" s="1"/>
  <c r="AH39" i="4"/>
  <c r="AJ39" i="4" s="1"/>
  <c r="AD81" i="4"/>
  <c r="AE81" i="4" s="1"/>
  <c r="BX81" i="4" s="1"/>
  <c r="AH81" i="4"/>
  <c r="AJ81" i="4" s="1"/>
  <c r="AD118" i="4"/>
  <c r="AE118" i="4" s="1"/>
  <c r="BX118" i="4" s="1"/>
  <c r="AH118" i="4"/>
  <c r="AJ118" i="4" s="1"/>
  <c r="AD149" i="4"/>
  <c r="AE149" i="4" s="1"/>
  <c r="BX149" i="4" s="1"/>
  <c r="AH149" i="4"/>
  <c r="AJ149" i="4" s="1"/>
  <c r="AD26" i="4"/>
  <c r="AE26" i="4" s="1"/>
  <c r="BX26" i="4" s="1"/>
  <c r="AH26" i="4"/>
  <c r="AJ26" i="4" s="1"/>
  <c r="AD110" i="4"/>
  <c r="AE110" i="4" s="1"/>
  <c r="BX110" i="4" s="1"/>
  <c r="AH110" i="4"/>
  <c r="AJ110" i="4" s="1"/>
  <c r="AD19" i="4"/>
  <c r="AE19" i="4" s="1"/>
  <c r="BX19" i="4" s="1"/>
  <c r="AH19" i="4"/>
  <c r="AJ19" i="4" s="1"/>
  <c r="AD156" i="4"/>
  <c r="AE156" i="4" s="1"/>
  <c r="BX156" i="4" s="1"/>
  <c r="AH156" i="4"/>
  <c r="AJ156" i="4" s="1"/>
  <c r="AD126" i="4"/>
  <c r="AE126" i="4" s="1"/>
  <c r="BX126" i="4" s="1"/>
  <c r="AH126" i="4"/>
  <c r="AJ126" i="4" s="1"/>
  <c r="AS57" i="4"/>
  <c r="AS39" i="4"/>
  <c r="AS27" i="4"/>
  <c r="AS70" i="4"/>
  <c r="AS53" i="4"/>
  <c r="AS43" i="4"/>
  <c r="AS73" i="4"/>
  <c r="AS58" i="4"/>
  <c r="AS133" i="4"/>
  <c r="AJ97" i="4"/>
  <c r="AS88" i="4"/>
  <c r="AS103" i="4"/>
  <c r="AS25" i="4"/>
  <c r="AS50" i="4"/>
  <c r="AS97" i="4"/>
  <c r="AS61" i="4"/>
  <c r="AS151" i="4"/>
  <c r="AS76" i="4"/>
  <c r="AS12" i="4"/>
  <c r="AS16" i="4"/>
  <c r="AJ90" i="4"/>
  <c r="AS67" i="4"/>
  <c r="AS109" i="4"/>
  <c r="AN24" i="4"/>
  <c r="AS51" i="4"/>
  <c r="AS69" i="4"/>
  <c r="AS141" i="4"/>
  <c r="AS30" i="4"/>
  <c r="AS8" i="4"/>
  <c r="AN65" i="4"/>
  <c r="AS52" i="4"/>
  <c r="AS82" i="4"/>
  <c r="AN81" i="4"/>
  <c r="AS81" i="4" s="1"/>
  <c r="AS90" i="4"/>
  <c r="AS119" i="4"/>
  <c r="AS41" i="4"/>
  <c r="AS38" i="4"/>
  <c r="AE25" i="4"/>
  <c r="BX25" i="4" s="1"/>
  <c r="AE89" i="4"/>
  <c r="BX89" i="4" s="1"/>
  <c r="AQ145" i="4"/>
  <c r="AR145" i="4" s="1"/>
  <c r="AE41" i="4"/>
  <c r="BX41" i="4" s="1"/>
  <c r="AE55" i="4"/>
  <c r="BX55" i="4" s="1"/>
  <c r="AE31" i="4"/>
  <c r="BX31" i="4" s="1"/>
  <c r="AE33" i="4"/>
  <c r="BX33" i="4" s="1"/>
  <c r="AE56" i="4"/>
  <c r="BX56" i="4" s="1"/>
  <c r="AE37" i="4"/>
  <c r="BX37" i="4" s="1"/>
  <c r="AE45" i="4"/>
  <c r="BX45" i="4" s="1"/>
  <c r="AE58" i="4"/>
  <c r="BX58" i="4" s="1"/>
  <c r="AE130" i="4"/>
  <c r="BX130" i="4" s="1"/>
  <c r="AE109" i="4"/>
  <c r="BX109" i="4" s="1"/>
  <c r="AE34" i="4"/>
  <c r="BX34" i="4" s="1"/>
  <c r="AQ65" i="4"/>
  <c r="AR65" i="4" s="1"/>
  <c r="AQ19" i="4"/>
  <c r="AR19" i="4" s="1"/>
  <c r="AS19" i="4" s="1"/>
  <c r="AS75" i="4"/>
  <c r="AN149" i="4"/>
  <c r="AQ108" i="4"/>
  <c r="AR108" i="4" s="1"/>
  <c r="AQ143" i="4"/>
  <c r="AR143" i="4" s="1"/>
  <c r="AQ146" i="4"/>
  <c r="AR146" i="4" s="1"/>
  <c r="AN156" i="4"/>
  <c r="AN110" i="4"/>
  <c r="AS29" i="4"/>
  <c r="AN116" i="4"/>
  <c r="AS23" i="4"/>
  <c r="AE105" i="4"/>
  <c r="BX105" i="4" s="1"/>
  <c r="AE17" i="4"/>
  <c r="BX17" i="4" s="1"/>
  <c r="AE29" i="4"/>
  <c r="BX29" i="4" s="1"/>
  <c r="AE135" i="4"/>
  <c r="BX135" i="4" s="1"/>
  <c r="AE99" i="4"/>
  <c r="BX99" i="4" s="1"/>
  <c r="AE95" i="4"/>
  <c r="BX95" i="4" s="1"/>
  <c r="AQ24" i="4"/>
  <c r="AR24" i="4" s="1"/>
  <c r="AQ49" i="4"/>
  <c r="AR49" i="4" s="1"/>
  <c r="AS49" i="4" s="1"/>
  <c r="AN124" i="4"/>
  <c r="AN136" i="4"/>
  <c r="AS136" i="4" s="1"/>
  <c r="AQ137" i="4"/>
  <c r="AQ21" i="4"/>
  <c r="AR21" i="4" s="1"/>
  <c r="AE57" i="4"/>
  <c r="BX57" i="4" s="1"/>
  <c r="AE87" i="4"/>
  <c r="BX87" i="4" s="1"/>
  <c r="AE116" i="4"/>
  <c r="BX116" i="4" s="1"/>
  <c r="AE91" i="4"/>
  <c r="BX91" i="4" s="1"/>
  <c r="AE10" i="4"/>
  <c r="BX10" i="4" s="1"/>
  <c r="AN145" i="4"/>
  <c r="AQ54" i="4"/>
  <c r="AR54" i="4" s="1"/>
  <c r="AN117" i="4"/>
  <c r="AS117" i="4" s="1"/>
  <c r="AQ113" i="4"/>
  <c r="AR113" i="4" s="1"/>
  <c r="AN148" i="4"/>
  <c r="AS148" i="4" s="1"/>
  <c r="AS34" i="4"/>
  <c r="AS63" i="4"/>
  <c r="AQ130" i="4"/>
  <c r="AR130" i="4" s="1"/>
  <c r="AS130" i="4" s="1"/>
  <c r="BT8" i="4"/>
  <c r="AQ110" i="4"/>
  <c r="AR110" i="4" s="1"/>
  <c r="AN146" i="4"/>
  <c r="AN54" i="4"/>
  <c r="AQ116" i="4"/>
  <c r="AR116" i="4" s="1"/>
  <c r="AQ124" i="4"/>
  <c r="AR124" i="4" s="1"/>
  <c r="AJ52" i="4"/>
  <c r="AN21" i="4"/>
  <c r="AN108" i="4"/>
  <c r="AN143" i="4"/>
  <c r="AN142" i="4"/>
  <c r="AQ142" i="4"/>
  <c r="AR142" i="4" s="1"/>
  <c r="AN113" i="4"/>
  <c r="AN137" i="4"/>
  <c r="AQ149" i="4"/>
  <c r="AR149" i="4" s="1"/>
  <c r="AQ156" i="4"/>
  <c r="AR156" i="4" s="1"/>
  <c r="AN140" i="4"/>
  <c r="AQ140" i="4"/>
  <c r="AR140" i="4" s="1"/>
  <c r="AQ123" i="4"/>
  <c r="AN123" i="4"/>
  <c r="AJ123" i="4"/>
  <c r="AJ108" i="4"/>
  <c r="AS132" i="4"/>
  <c r="AS44" i="4"/>
  <c r="AS114" i="4"/>
  <c r="AS32" i="4"/>
  <c r="AS92" i="4"/>
  <c r="AS112" i="4"/>
  <c r="AS106" i="4"/>
  <c r="AS96" i="4"/>
  <c r="AS26" i="4"/>
  <c r="AS100" i="4"/>
  <c r="AS64" i="4"/>
  <c r="AS48" i="4"/>
  <c r="AS79" i="4"/>
  <c r="AS128" i="4"/>
  <c r="AS134" i="4"/>
  <c r="AQ118" i="4"/>
  <c r="AR118" i="4" s="1"/>
  <c r="AN118" i="4"/>
  <c r="AQ46" i="4"/>
  <c r="AR46" i="4" s="1"/>
  <c r="AN46" i="4"/>
  <c r="AN104" i="4"/>
  <c r="AQ104" i="4"/>
  <c r="AR104" i="4" s="1"/>
  <c r="AN47" i="4"/>
  <c r="AQ47" i="4"/>
  <c r="AR47" i="4" s="1"/>
  <c r="AJ16" i="4"/>
  <c r="AX11" i="10"/>
  <c r="AU11" i="5"/>
  <c r="AJ120" i="4"/>
  <c r="AJ95" i="4"/>
  <c r="AJ41" i="4"/>
  <c r="AJ87" i="4"/>
  <c r="AJ37" i="4"/>
  <c r="AJ133" i="4"/>
  <c r="AJ33" i="4"/>
  <c r="AJ25" i="4"/>
  <c r="AJ152" i="4"/>
  <c r="AJ57" i="4"/>
  <c r="AJ107" i="4"/>
  <c r="BY107" i="4" s="1"/>
  <c r="BZ107" i="4" s="1"/>
  <c r="AJ105" i="4"/>
  <c r="AJ55" i="4"/>
  <c r="AJ155" i="4"/>
  <c r="AJ83" i="4"/>
  <c r="AJ89" i="4"/>
  <c r="AJ62" i="4"/>
  <c r="AJ69" i="4"/>
  <c r="AJ29" i="4"/>
  <c r="AJ99" i="4"/>
  <c r="AJ75" i="4"/>
  <c r="AJ142" i="4"/>
  <c r="AJ116" i="4"/>
  <c r="AJ109" i="4"/>
  <c r="AJ76" i="4"/>
  <c r="AJ45" i="4"/>
  <c r="AJ58" i="4"/>
  <c r="AJ31" i="4"/>
  <c r="AJ56" i="4"/>
  <c r="AJ150" i="4"/>
  <c r="AJ130" i="4"/>
  <c r="AJ91" i="4"/>
  <c r="AJ135" i="4"/>
  <c r="AJ72" i="4"/>
  <c r="BY139" i="4" l="1"/>
  <c r="BZ139" i="4" s="1"/>
  <c r="BY121" i="4"/>
  <c r="BZ121" i="4" s="1"/>
  <c r="BY153" i="4"/>
  <c r="BZ153" i="4" s="1"/>
  <c r="AR123" i="4"/>
  <c r="AS123" i="4" s="1"/>
  <c r="AR137" i="4"/>
  <c r="AS137" i="4" s="1"/>
  <c r="BY151" i="4"/>
  <c r="BZ151" i="4" s="1"/>
  <c r="BY15" i="4"/>
  <c r="BZ15" i="4" s="1"/>
  <c r="BY93" i="4"/>
  <c r="BZ93" i="4" s="1"/>
  <c r="BY53" i="4"/>
  <c r="BZ53" i="4" s="1"/>
  <c r="BY17" i="4"/>
  <c r="BZ17" i="4" s="1"/>
  <c r="BY39" i="4"/>
  <c r="BZ39" i="4" s="1"/>
  <c r="BY66" i="4"/>
  <c r="BZ66" i="4" s="1"/>
  <c r="BY98" i="4"/>
  <c r="BZ98" i="4" s="1"/>
  <c r="BY11" i="4"/>
  <c r="BZ11" i="4" s="1"/>
  <c r="BY78" i="4"/>
  <c r="BZ78" i="4" s="1"/>
  <c r="BY115" i="4"/>
  <c r="BZ115" i="4" s="1"/>
  <c r="BY129" i="4"/>
  <c r="BZ129" i="4" s="1"/>
  <c r="BY85" i="4"/>
  <c r="BZ85" i="4" s="1"/>
  <c r="BY36" i="4"/>
  <c r="BZ36" i="4" s="1"/>
  <c r="BY60" i="4"/>
  <c r="BZ60" i="4" s="1"/>
  <c r="BY35" i="4"/>
  <c r="BZ35" i="4" s="1"/>
  <c r="BY42" i="4"/>
  <c r="BZ42" i="4" s="1"/>
  <c r="BY105" i="4"/>
  <c r="BZ105" i="4" s="1"/>
  <c r="BY138" i="4"/>
  <c r="BZ138" i="4" s="1"/>
  <c r="BY9" i="4"/>
  <c r="BZ9" i="4" s="1"/>
  <c r="BY111" i="4"/>
  <c r="BZ111" i="4" s="1"/>
  <c r="BY40" i="4"/>
  <c r="BZ40" i="4" s="1"/>
  <c r="BY68" i="4"/>
  <c r="BZ68" i="4" s="1"/>
  <c r="BY20" i="4"/>
  <c r="BZ20" i="4" s="1"/>
  <c r="BY74" i="4"/>
  <c r="BZ74" i="4" s="1"/>
  <c r="BY99" i="4"/>
  <c r="BZ99" i="4" s="1"/>
  <c r="BY86" i="4"/>
  <c r="BZ86" i="4" s="1"/>
  <c r="BY71" i="4"/>
  <c r="BZ71" i="4" s="1"/>
  <c r="BY147" i="4"/>
  <c r="BZ147" i="4" s="1"/>
  <c r="BY14" i="4"/>
  <c r="BZ14" i="4" s="1"/>
  <c r="BY77" i="4"/>
  <c r="BZ77" i="4" s="1"/>
  <c r="BY22" i="4"/>
  <c r="BZ22" i="4" s="1"/>
  <c r="BY18" i="4"/>
  <c r="BZ18" i="4" s="1"/>
  <c r="BY125" i="4"/>
  <c r="BZ125" i="4" s="1"/>
  <c r="BY59" i="4"/>
  <c r="BZ59" i="4" s="1"/>
  <c r="BY87" i="4"/>
  <c r="BZ87" i="4" s="1"/>
  <c r="BY102" i="4"/>
  <c r="BZ102" i="4" s="1"/>
  <c r="BY91" i="4"/>
  <c r="BZ91" i="4" s="1"/>
  <c r="BY135" i="4"/>
  <c r="BZ135" i="4" s="1"/>
  <c r="BY95" i="4"/>
  <c r="BZ95" i="4" s="1"/>
  <c r="BY45" i="4"/>
  <c r="BZ45" i="4" s="1"/>
  <c r="BY55" i="4"/>
  <c r="BZ55" i="4" s="1"/>
  <c r="BY33" i="4"/>
  <c r="BZ33" i="4" s="1"/>
  <c r="BY37" i="4"/>
  <c r="BZ37" i="4" s="1"/>
  <c r="BY56" i="4"/>
  <c r="BZ56" i="4" s="1"/>
  <c r="BY10" i="4"/>
  <c r="BZ10" i="4" s="1"/>
  <c r="BY83" i="4"/>
  <c r="BZ83" i="4" s="1"/>
  <c r="BY120" i="4"/>
  <c r="BZ120" i="4" s="1"/>
  <c r="BY62" i="4"/>
  <c r="BZ62" i="4" s="1"/>
  <c r="BY72" i="4"/>
  <c r="BZ72" i="4" s="1"/>
  <c r="BY84" i="4"/>
  <c r="BZ84" i="4" s="1"/>
  <c r="BY13" i="4"/>
  <c r="BZ13" i="4" s="1"/>
  <c r="BY101" i="4"/>
  <c r="BZ101" i="4" s="1"/>
  <c r="BY28" i="4"/>
  <c r="BZ28" i="4" s="1"/>
  <c r="BY16" i="4"/>
  <c r="BY70" i="4"/>
  <c r="BY31" i="4"/>
  <c r="BZ31" i="4" s="1"/>
  <c r="BY97" i="4"/>
  <c r="BY94" i="4"/>
  <c r="BZ94" i="4" s="1"/>
  <c r="BY89" i="4"/>
  <c r="BZ89" i="4" s="1"/>
  <c r="BY90" i="4"/>
  <c r="BZ90" i="4" s="1"/>
  <c r="BY80" i="4"/>
  <c r="BZ80" i="4" s="1"/>
  <c r="BY52" i="4"/>
  <c r="BY73" i="4"/>
  <c r="BZ73" i="4" s="1"/>
  <c r="BY12" i="4"/>
  <c r="BZ12" i="4" s="1"/>
  <c r="BY109" i="4"/>
  <c r="BZ109" i="4" s="1"/>
  <c r="AS65" i="4"/>
  <c r="BY27" i="4"/>
  <c r="BZ27" i="4" s="1"/>
  <c r="BY119" i="4"/>
  <c r="BY133" i="4"/>
  <c r="BZ133" i="4" s="1"/>
  <c r="BY43" i="4"/>
  <c r="BZ43" i="4" s="1"/>
  <c r="BY25" i="4"/>
  <c r="BZ25" i="4" s="1"/>
  <c r="BY58" i="4"/>
  <c r="BZ58" i="4" s="1"/>
  <c r="BY103" i="4"/>
  <c r="BZ103" i="4" s="1"/>
  <c r="AS124" i="4"/>
  <c r="BY61" i="4"/>
  <c r="BZ61" i="4" s="1"/>
  <c r="BY150" i="4"/>
  <c r="BZ150" i="4" s="1"/>
  <c r="AS24" i="4"/>
  <c r="BY69" i="4"/>
  <c r="BZ69" i="4" s="1"/>
  <c r="BY50" i="4"/>
  <c r="BZ50" i="4" s="1"/>
  <c r="AS113" i="4"/>
  <c r="AS116" i="4"/>
  <c r="BY76" i="4"/>
  <c r="BZ76" i="4" s="1"/>
  <c r="BY41" i="4"/>
  <c r="BZ41" i="4" s="1"/>
  <c r="AS156" i="4"/>
  <c r="AS21" i="4"/>
  <c r="AS54" i="4"/>
  <c r="BY34" i="4"/>
  <c r="BZ34" i="4" s="1"/>
  <c r="AY8" i="4"/>
  <c r="AV8" i="4"/>
  <c r="BY23" i="4"/>
  <c r="BZ23" i="4" s="1"/>
  <c r="AS143" i="4"/>
  <c r="AS145" i="4"/>
  <c r="AS110" i="4"/>
  <c r="AS146" i="4"/>
  <c r="BY63" i="4"/>
  <c r="BZ63" i="4" s="1"/>
  <c r="BY29" i="4"/>
  <c r="BZ29" i="4" s="1"/>
  <c r="AS108" i="4"/>
  <c r="AS149" i="4"/>
  <c r="AS140" i="4"/>
  <c r="AS142" i="4"/>
  <c r="AS46" i="4"/>
  <c r="AS47" i="4"/>
  <c r="AS104" i="4"/>
  <c r="AS118" i="4"/>
  <c r="BY152" i="4" l="1"/>
  <c r="BZ152" i="4" s="1"/>
  <c r="BY155" i="4"/>
  <c r="BZ155" i="4" s="1"/>
  <c r="BY127" i="4"/>
  <c r="BZ127" i="4" s="1"/>
  <c r="BY131" i="4"/>
  <c r="BZ131" i="4" s="1"/>
  <c r="BY154" i="4"/>
  <c r="BZ154" i="4" s="1"/>
  <c r="BY8" i="4"/>
  <c r="BZ8" i="4" s="1"/>
  <c r="BY126" i="4"/>
  <c r="BZ126" i="4" s="1"/>
  <c r="BY128" i="4"/>
  <c r="BZ128" i="4" s="1"/>
  <c r="BY96" i="4"/>
  <c r="BZ96" i="4" s="1"/>
  <c r="BY44" i="4"/>
  <c r="BZ44" i="4" s="1"/>
  <c r="BY26" i="4"/>
  <c r="BZ26" i="4" s="1"/>
  <c r="BY48" i="4"/>
  <c r="BZ48" i="4" s="1"/>
  <c r="BY19" i="4"/>
  <c r="BZ19" i="4" s="1"/>
  <c r="BY79" i="4"/>
  <c r="BZ79" i="4" s="1"/>
  <c r="BY112" i="4"/>
  <c r="BZ112" i="4" s="1"/>
  <c r="BY134" i="4"/>
  <c r="BZ134" i="4" s="1"/>
  <c r="BY49" i="4"/>
  <c r="BZ49" i="4" s="1"/>
  <c r="BY144" i="4"/>
  <c r="BZ144" i="4" s="1"/>
  <c r="BY141" i="4"/>
  <c r="BZ141" i="4" s="1"/>
  <c r="BY117" i="4"/>
  <c r="BZ117" i="4" s="1"/>
  <c r="BZ70" i="4"/>
  <c r="BY30" i="4"/>
  <c r="BZ30" i="4" s="1"/>
  <c r="BY67" i="4"/>
  <c r="BZ67" i="4" s="1"/>
  <c r="BZ52" i="4"/>
  <c r="BY88" i="4"/>
  <c r="BZ88" i="4" s="1"/>
  <c r="BY38" i="4"/>
  <c r="BZ38" i="4" s="1"/>
  <c r="BY57" i="4"/>
  <c r="BZ57" i="4" s="1"/>
  <c r="BY75" i="4"/>
  <c r="BZ75" i="4" s="1"/>
  <c r="BY92" i="4"/>
  <c r="BZ92" i="4" s="1"/>
  <c r="BY81" i="4"/>
  <c r="BZ81" i="4" s="1"/>
  <c r="BY122" i="4"/>
  <c r="BZ122" i="4" s="1"/>
  <c r="BY132" i="4"/>
  <c r="BZ132" i="4" s="1"/>
  <c r="BY32" i="4"/>
  <c r="BZ32" i="4" s="1"/>
  <c r="BY64" i="4"/>
  <c r="BZ64" i="4" s="1"/>
  <c r="BY114" i="4"/>
  <c r="BZ114" i="4" s="1"/>
  <c r="BY136" i="4"/>
  <c r="BZ136" i="4" s="1"/>
  <c r="BY130" i="4"/>
  <c r="BZ130" i="4" s="1"/>
  <c r="BY100" i="4"/>
  <c r="BZ100" i="4" s="1"/>
  <c r="BY106" i="4"/>
  <c r="BZ106" i="4" s="1"/>
  <c r="BY157" i="4"/>
  <c r="BZ157" i="4" s="1"/>
  <c r="BZ119" i="4"/>
  <c r="BZ97" i="4"/>
  <c r="BZ16" i="4"/>
  <c r="BY51" i="4"/>
  <c r="BZ51" i="4" s="1"/>
  <c r="BY82" i="4"/>
  <c r="BZ82" i="4" s="1"/>
  <c r="BY148" i="4"/>
  <c r="BZ148" i="4" s="1"/>
  <c r="BY21" i="4"/>
  <c r="BZ21" i="4" s="1"/>
  <c r="BY65" i="4"/>
  <c r="BZ65" i="4" s="1"/>
  <c r="BY116" i="4"/>
  <c r="BZ116" i="4" s="1"/>
  <c r="BY54" i="4"/>
  <c r="BY108" i="4"/>
  <c r="BZ108" i="4" s="1"/>
  <c r="BY156" i="4"/>
  <c r="BZ156" i="4" s="1"/>
  <c r="BY110" i="4"/>
  <c r="BZ110" i="4" s="1"/>
  <c r="BY149" i="4"/>
  <c r="BZ149" i="4" s="1"/>
  <c r="BY123" i="4"/>
  <c r="BY146" i="4" l="1"/>
  <c r="BZ146" i="4" s="1"/>
  <c r="BY142" i="4"/>
  <c r="BZ142" i="4" s="1"/>
  <c r="BY46" i="4"/>
  <c r="BZ46" i="4" s="1"/>
  <c r="BY47" i="4"/>
  <c r="BZ47" i="4" s="1"/>
  <c r="BY113" i="4"/>
  <c r="BZ113" i="4" s="1"/>
  <c r="BY140" i="4"/>
  <c r="BZ140" i="4" s="1"/>
  <c r="BY124" i="4"/>
  <c r="BZ124" i="4" s="1"/>
  <c r="BY143" i="4"/>
  <c r="BZ143" i="4" s="1"/>
  <c r="BY104" i="4"/>
  <c r="BZ104" i="4" s="1"/>
  <c r="BY118" i="4"/>
  <c r="BZ118" i="4" s="1"/>
  <c r="BZ123" i="4"/>
  <c r="BY145" i="4"/>
  <c r="BZ145" i="4" s="1"/>
  <c r="BZ54" i="4"/>
  <c r="BY24" i="4"/>
  <c r="BZ24" i="4" s="1"/>
  <c r="BY137" i="4"/>
  <c r="BZ13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A3" authorId="0" shapeId="0" xr:uid="{00000000-0006-0000-0000-000001000000}">
      <text>
        <r>
          <rPr>
            <b/>
            <sz val="11"/>
            <color indexed="10"/>
            <rFont val="Tahoma"/>
            <family val="2"/>
          </rPr>
          <t>Welcome to the LM5155/56 Design Tool</t>
        </r>
        <r>
          <rPr>
            <sz val="9"/>
            <color indexed="81"/>
            <rFont val="Tahoma"/>
            <family val="2"/>
          </rPr>
          <t xml:space="preserve">
This stand-alone tool facilitates and assists the power supply engineer with design of a DC-DC boost converter based on the LM5155/56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
</t>
        </r>
      </text>
    </comment>
    <comment ref="H7" authorId="0" shapeId="0" xr:uid="{2E6E75BD-C0D2-45A5-BEB5-8AAEA45E9FD0}">
      <text>
        <r>
          <rPr>
            <b/>
            <sz val="9"/>
            <color indexed="81"/>
            <rFont val="Tahoma"/>
            <family val="2"/>
          </rPr>
          <t xml:space="preserve">Minimum Input Voltage:
</t>
        </r>
        <r>
          <rPr>
            <sz val="9"/>
            <color indexed="81"/>
            <rFont val="Tahoma"/>
            <family val="2"/>
          </rPr>
          <t>Enter the minimum operating input voltage.
The LM5155 BIAS pin voltage operating range is 3.5V to 45V.
The LM5156 BIAS pin voltage operating range is 3.5V to 60V.
If low voltage operation is required the BIAS pin can be supplied with V</t>
        </r>
        <r>
          <rPr>
            <vertAlign val="subscript"/>
            <sz val="9"/>
            <color indexed="81"/>
            <rFont val="Tahoma"/>
            <family val="2"/>
          </rPr>
          <t>OUT</t>
        </r>
        <r>
          <rPr>
            <sz val="9"/>
            <color indexed="81"/>
            <rFont val="Tahoma"/>
            <family val="2"/>
          </rPr>
          <t xml:space="preserve"> extending operation to 1.5V</t>
        </r>
        <r>
          <rPr>
            <b/>
            <sz val="9"/>
            <color indexed="81"/>
            <rFont val="Tahoma"/>
            <family val="2"/>
          </rPr>
          <t xml:space="preserve">
</t>
        </r>
        <r>
          <rPr>
            <b/>
            <sz val="9"/>
            <color indexed="52"/>
            <rFont val="Tahoma"/>
            <family val="2"/>
          </rPr>
          <t>The text in the cell is flagged orange if:</t>
        </r>
        <r>
          <rPr>
            <b/>
            <sz val="9"/>
            <color indexed="81"/>
            <rFont val="Tahoma"/>
            <family val="2"/>
          </rPr>
          <t xml:space="preserve">
</t>
        </r>
        <r>
          <rPr>
            <sz val="9"/>
            <color indexed="81"/>
            <rFont val="Tahoma"/>
            <family val="2"/>
          </rPr>
          <t>-The input voltage is above 45V</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60V
-The input voltage is below 1.5V</t>
        </r>
      </text>
    </comment>
    <comment ref="N7" authorId="0" shapeId="0" xr:uid="{00000000-0006-0000-0000-000004000000}">
      <text>
        <r>
          <rPr>
            <b/>
            <sz val="11"/>
            <color indexed="81"/>
            <rFont val="Tahoma"/>
            <family val="2"/>
          </rPr>
          <t>Output Voltage Load 1:</t>
        </r>
        <r>
          <rPr>
            <b/>
            <sz val="9"/>
            <color indexed="81"/>
            <rFont val="Tahoma"/>
            <family val="2"/>
          </rPr>
          <t xml:space="preserve">
</t>
        </r>
        <r>
          <rPr>
            <sz val="10"/>
            <color indexed="81"/>
            <rFont val="Tahoma"/>
            <family val="2"/>
          </rPr>
          <t xml:space="preserve">Selected the desired voltage of load 1.
</t>
        </r>
        <r>
          <rPr>
            <b/>
            <sz val="10"/>
            <color indexed="10"/>
            <rFont val="Tahoma"/>
            <family val="2"/>
          </rPr>
          <t>Load 1 voltage should be entered as the regulated load regardless of the feedback type</t>
        </r>
        <r>
          <rPr>
            <sz val="9"/>
            <color indexed="81"/>
            <rFont val="Tahoma"/>
            <family val="2"/>
          </rPr>
          <t xml:space="preserve">
</t>
        </r>
      </text>
    </comment>
    <comment ref="H8" authorId="0" shapeId="0" xr:uid="{A6C3AFD2-6488-45FB-8704-49B373F744E0}">
      <text>
        <r>
          <rPr>
            <b/>
            <sz val="9"/>
            <color indexed="81"/>
            <rFont val="Tahoma"/>
            <family val="2"/>
          </rPr>
          <t xml:space="preserve">Nominal Input Voltage:
</t>
        </r>
        <r>
          <rPr>
            <sz val="9"/>
            <color indexed="81"/>
            <rFont val="Tahoma"/>
            <family val="2"/>
          </rPr>
          <t>Enter the nominal operating input voltage.
The LM5155 input voltage operating range is 1.5V to 45V.</t>
        </r>
        <r>
          <rPr>
            <b/>
            <sz val="9"/>
            <color indexed="81"/>
            <rFont val="Tahoma"/>
            <family val="2"/>
          </rPr>
          <t xml:space="preserve">
</t>
        </r>
        <r>
          <rPr>
            <sz val="9"/>
            <color indexed="81"/>
            <rFont val="Tahoma"/>
            <family val="2"/>
          </rPr>
          <t xml:space="preserve">The LM5156 input voltage operating range is 1.5V to 60V.
</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V</t>
        </r>
        <r>
          <rPr>
            <vertAlign val="subscript"/>
            <sz val="9"/>
            <color indexed="81"/>
            <rFont val="Tahoma"/>
            <family val="2"/>
          </rPr>
          <t>SUPPLY</t>
        </r>
        <r>
          <rPr>
            <sz val="9"/>
            <color indexed="81"/>
            <rFont val="Tahoma"/>
            <family val="2"/>
          </rPr>
          <t>(max)
-The input voltage is below V</t>
        </r>
        <r>
          <rPr>
            <vertAlign val="subscript"/>
            <sz val="9"/>
            <color indexed="81"/>
            <rFont val="Tahoma"/>
            <family val="2"/>
          </rPr>
          <t>SUPPLY</t>
        </r>
        <r>
          <rPr>
            <sz val="9"/>
            <color indexed="81"/>
            <rFont val="Tahoma"/>
            <family val="2"/>
          </rPr>
          <t>(min)</t>
        </r>
      </text>
    </comment>
    <comment ref="H9" authorId="0" shapeId="0" xr:uid="{56DD16C7-B95F-462F-94AB-5E68A4E70794}">
      <text>
        <r>
          <rPr>
            <b/>
            <sz val="9"/>
            <color indexed="81"/>
            <rFont val="Tahoma"/>
            <family val="2"/>
          </rPr>
          <t>Maximum Input Voltage:</t>
        </r>
        <r>
          <rPr>
            <sz val="9"/>
            <color indexed="81"/>
            <rFont val="Tahoma"/>
            <family val="2"/>
          </rPr>
          <t xml:space="preserve">
Enter the maximum operating input voltage.
The LM5155 input voltage operating range is 1.5V to 45V.
The LM5156 input voltage operating range is 1.5V to 60V.
</t>
        </r>
        <r>
          <rPr>
            <b/>
            <sz val="9"/>
            <color indexed="10"/>
            <rFont val="Tahoma"/>
            <family val="2"/>
          </rPr>
          <t xml:space="preserve">
</t>
        </r>
        <r>
          <rPr>
            <b/>
            <sz val="9"/>
            <color indexed="52"/>
            <rFont val="Tahoma"/>
            <family val="2"/>
          </rPr>
          <t>The text in the cell is flagged orange if:</t>
        </r>
        <r>
          <rPr>
            <b/>
            <sz val="9"/>
            <color indexed="10"/>
            <rFont val="Tahoma"/>
            <family val="2"/>
          </rPr>
          <t xml:space="preserve">
</t>
        </r>
        <r>
          <rPr>
            <sz val="9"/>
            <color indexed="81"/>
            <rFont val="Tahoma"/>
            <family val="2"/>
          </rPr>
          <t>-The input voltage is above 45V</t>
        </r>
        <r>
          <rPr>
            <b/>
            <sz val="9"/>
            <color indexed="10"/>
            <rFont val="Tahoma"/>
            <family val="2"/>
          </rPr>
          <t xml:space="preserve">
The text in the cell is flagged red if:</t>
        </r>
        <r>
          <rPr>
            <sz val="9"/>
            <color indexed="81"/>
            <rFont val="Tahoma"/>
            <family val="2"/>
          </rPr>
          <t xml:space="preserve">
-The input voltage is above 60V
-The input voltage is below 1.5V
</t>
        </r>
      </text>
    </comment>
    <comment ref="N10" authorId="0" shapeId="0" xr:uid="{00000000-0006-0000-0000-000007000000}">
      <text>
        <r>
          <rPr>
            <b/>
            <u/>
            <sz val="9"/>
            <color indexed="81"/>
            <rFont val="Tahoma"/>
            <family val="2"/>
          </rPr>
          <t>Load 1 Turns Ratio</t>
        </r>
        <r>
          <rPr>
            <sz val="9"/>
            <color indexed="81"/>
            <rFont val="Tahoma"/>
            <family val="2"/>
          </rPr>
          <t xml:space="preserve">
The turns ratio on the secondary winding of load 1. 
</t>
        </r>
        <r>
          <rPr>
            <b/>
            <sz val="9"/>
            <color indexed="10"/>
            <rFont val="Tahoma"/>
            <family val="2"/>
          </rPr>
          <t>The primary turns ratio (Np) is assumed to be 1</t>
        </r>
      </text>
    </comment>
    <comment ref="N11" authorId="0" shapeId="0" xr:uid="{00000000-0006-0000-0000-000008000000}">
      <text>
        <r>
          <rPr>
            <b/>
            <u/>
            <sz val="9"/>
            <color indexed="81"/>
            <rFont val="Tahoma"/>
            <family val="2"/>
          </rPr>
          <t>DC Resistance of Load 1 Winding</t>
        </r>
        <r>
          <rPr>
            <sz val="9"/>
            <color indexed="81"/>
            <rFont val="Tahoma"/>
            <family val="2"/>
          </rPr>
          <t xml:space="preserve">
Resistance of load 1 winding. For high current outputs this value should be minimized</t>
        </r>
      </text>
    </comment>
    <comment ref="H14" authorId="0" shapeId="0" xr:uid="{00000000-0006-0000-0000-000009000000}">
      <text>
        <r>
          <rPr>
            <b/>
            <u/>
            <sz val="11"/>
            <color indexed="81"/>
            <rFont val="Tahoma"/>
            <family val="2"/>
          </rPr>
          <t>Operating Frequency Set by RT</t>
        </r>
        <r>
          <rPr>
            <b/>
            <sz val="9"/>
            <color indexed="81"/>
            <rFont val="Tahoma"/>
            <family val="2"/>
          </rPr>
          <t xml:space="preserve">
</t>
        </r>
        <r>
          <rPr>
            <sz val="10"/>
            <color indexed="81"/>
            <rFont val="Tahoma"/>
            <family val="2"/>
          </rPr>
          <t>This cell defines the free running switching frequency</t>
        </r>
        <r>
          <rPr>
            <b/>
            <sz val="9"/>
            <color indexed="81"/>
            <rFont val="Tahoma"/>
            <family val="2"/>
          </rPr>
          <t xml:space="preserve">
Text turns red if:
</t>
        </r>
        <r>
          <rPr>
            <sz val="10"/>
            <color indexed="81"/>
            <rFont val="Tahoma"/>
            <family val="2"/>
          </rPr>
          <t xml:space="preserve">Frequency is set below: </t>
        </r>
        <r>
          <rPr>
            <sz val="10"/>
            <color indexed="10"/>
            <rFont val="Tahoma"/>
            <family val="2"/>
          </rPr>
          <t>50kHz</t>
        </r>
        <r>
          <rPr>
            <sz val="10"/>
            <color indexed="81"/>
            <rFont val="Tahoma"/>
            <family val="2"/>
          </rPr>
          <t xml:space="preserve">
Frequenyc is set above: </t>
        </r>
        <r>
          <rPr>
            <sz val="10"/>
            <color indexed="10"/>
            <rFont val="Tahoma"/>
            <family val="2"/>
          </rPr>
          <t>2.2MHz</t>
        </r>
        <r>
          <rPr>
            <sz val="9"/>
            <color indexed="81"/>
            <rFont val="Tahoma"/>
            <family val="2"/>
          </rPr>
          <t xml:space="preserve">
</t>
        </r>
      </text>
    </comment>
    <comment ref="H17" authorId="0" shapeId="0" xr:uid="{00000000-0006-0000-0000-00000A000000}">
      <text>
        <r>
          <rPr>
            <b/>
            <u/>
            <sz val="10"/>
            <color indexed="81"/>
            <rFont val="Tahoma"/>
            <family val="2"/>
          </rPr>
          <t xml:space="preserve">Maximum duty cycle </t>
        </r>
        <r>
          <rPr>
            <sz val="9"/>
            <color indexed="81"/>
            <rFont val="Tahoma"/>
            <family val="2"/>
          </rPr>
          <t xml:space="preserve">
</t>
        </r>
        <r>
          <rPr>
            <sz val="10"/>
            <color indexed="81"/>
            <rFont val="Tahoma"/>
            <family val="2"/>
          </rPr>
          <t>Desired maximum duty cycle of the regulator. If the duty cycle the is set less than 50% the need for external slope compensation is removed. 
Typically between 30% to 70% is  a good starting point.</t>
        </r>
        <r>
          <rPr>
            <sz val="9"/>
            <color indexed="81"/>
            <rFont val="Tahoma"/>
            <family val="2"/>
          </rPr>
          <t xml:space="preserve">
</t>
        </r>
      </text>
    </comment>
    <comment ref="H22" authorId="0" shapeId="0" xr:uid="{00000000-0006-0000-0000-00000B000000}">
      <text>
        <r>
          <rPr>
            <b/>
            <u/>
            <sz val="9"/>
            <color indexed="81"/>
            <rFont val="Tahoma"/>
            <family val="2"/>
          </rPr>
          <t>Primary winding current ripple ratio</t>
        </r>
        <r>
          <rPr>
            <b/>
            <sz val="9"/>
            <color indexed="81"/>
            <rFont val="Tahoma"/>
            <family val="2"/>
          </rPr>
          <t xml:space="preserve">
</t>
        </r>
        <r>
          <rPr>
            <sz val="9"/>
            <color indexed="81"/>
            <rFont val="Tahoma"/>
            <family val="2"/>
          </rPr>
          <t>The ratio between the ripple current vs the average current in the primary winding
30% to 70% ripple is a good starting point.</t>
        </r>
      </text>
    </comment>
    <comment ref="H24" authorId="0" shapeId="0" xr:uid="{00000000-0006-0000-0000-00000C000000}">
      <text>
        <r>
          <rPr>
            <b/>
            <sz val="9"/>
            <color indexed="81"/>
            <rFont val="Tahoma"/>
            <family val="2"/>
          </rPr>
          <t>Primary Winding Inductance</t>
        </r>
        <r>
          <rPr>
            <sz val="9"/>
            <color indexed="81"/>
            <rFont val="Tahoma"/>
            <family val="2"/>
          </rPr>
          <t xml:space="preserve">
Enter the primary winding magnetizing inductance here.
This cell will</t>
        </r>
      </text>
    </comment>
    <comment ref="H25" authorId="0" shapeId="0" xr:uid="{00000000-0006-0000-0000-00000D000000}">
      <text>
        <r>
          <rPr>
            <b/>
            <u/>
            <sz val="9"/>
            <color indexed="81"/>
            <rFont val="Tahoma"/>
            <family val="2"/>
          </rPr>
          <t>DC Resistance of Primary Winding</t>
        </r>
        <r>
          <rPr>
            <b/>
            <sz val="9"/>
            <color indexed="81"/>
            <rFont val="Tahoma"/>
            <family val="2"/>
          </rPr>
          <t xml:space="preserve">
</t>
        </r>
        <r>
          <rPr>
            <sz val="9"/>
            <color indexed="81"/>
            <rFont val="Tahoma"/>
            <family val="2"/>
          </rPr>
          <t xml:space="preserve">Resistance of Primary winding. For high power applications this value should be minimized
</t>
        </r>
      </text>
    </comment>
    <comment ref="H26" authorId="0" shapeId="0" xr:uid="{00000000-0006-0000-0000-00000E000000}">
      <text>
        <r>
          <rPr>
            <b/>
            <u/>
            <sz val="9"/>
            <color indexed="81"/>
            <rFont val="Tahoma"/>
            <family val="2"/>
          </rPr>
          <t>Primary Winding Peak Current:</t>
        </r>
        <r>
          <rPr>
            <b/>
            <sz val="9"/>
            <color indexed="81"/>
            <rFont val="Tahoma"/>
            <family val="2"/>
          </rPr>
          <t xml:space="preserve">
</t>
        </r>
        <r>
          <rPr>
            <sz val="9"/>
            <color indexed="81"/>
            <rFont val="Tahoma"/>
            <family val="2"/>
          </rPr>
          <t xml:space="preserve">Peak current in the primary winding at full output power.
</t>
        </r>
      </text>
    </comment>
    <comment ref="H30" authorId="0" shapeId="0" xr:uid="{00000000-0006-0000-0000-00000F000000}">
      <text>
        <r>
          <rPr>
            <b/>
            <u/>
            <sz val="9"/>
            <color indexed="81"/>
            <rFont val="Tahoma"/>
            <family val="2"/>
          </rPr>
          <t>Peak current Limit Margin</t>
        </r>
        <r>
          <rPr>
            <b/>
            <sz val="9"/>
            <color indexed="81"/>
            <rFont val="Tahoma"/>
            <family val="2"/>
          </rPr>
          <t xml:space="preserve">
</t>
        </r>
        <r>
          <rPr>
            <sz val="9"/>
            <color indexed="81"/>
            <rFont val="Tahoma"/>
            <family val="2"/>
          </rPr>
          <t xml:space="preserve">Percentage above the calculate maximum peak current in the primimary winding. This value sets the required peak current limit
</t>
        </r>
        <r>
          <rPr>
            <sz val="9"/>
            <color indexed="10"/>
            <rFont val="Tahoma"/>
            <family val="2"/>
          </rPr>
          <t>Typically this value should be above 20%, allowing for component tolerances and efficiency</t>
        </r>
        <r>
          <rPr>
            <sz val="9"/>
            <color indexed="81"/>
            <rFont val="Tahoma"/>
            <family val="2"/>
          </rPr>
          <t xml:space="preserve">
</t>
        </r>
      </text>
    </comment>
    <comment ref="H32" authorId="0" shapeId="0" xr:uid="{00000000-0006-0000-0000-000010000000}">
      <text>
        <r>
          <rPr>
            <b/>
            <u/>
            <sz val="9"/>
            <color indexed="81"/>
            <rFont val="Tahoma"/>
            <family val="2"/>
          </rPr>
          <t>Recommended Current Sense Resistor (R</t>
        </r>
        <r>
          <rPr>
            <b/>
            <u/>
            <vertAlign val="subscript"/>
            <sz val="9"/>
            <color indexed="81"/>
            <rFont val="Tahoma"/>
            <family val="2"/>
          </rPr>
          <t>S</t>
        </r>
        <r>
          <rPr>
            <b/>
            <u/>
            <sz val="9"/>
            <color indexed="81"/>
            <rFont val="Tahoma"/>
            <family val="2"/>
          </rPr>
          <t>)</t>
        </r>
        <r>
          <rPr>
            <sz val="9"/>
            <color indexed="81"/>
            <rFont val="Tahoma"/>
            <family val="2"/>
          </rPr>
          <t xml:space="preserve">
Use this resistor to sense current and set the peak overcurrent protection. As such, the calculation takes the required current limit setpoint and the primary winding ripple current amplitude to calculate R</t>
        </r>
        <r>
          <rPr>
            <vertAlign val="subscript"/>
            <sz val="9"/>
            <color indexed="81"/>
            <rFont val="Tahoma"/>
            <family val="2"/>
          </rPr>
          <t>S</t>
        </r>
        <r>
          <rPr>
            <sz val="9"/>
            <color indexed="81"/>
            <rFont val="Tahoma"/>
            <family val="2"/>
          </rPr>
          <t xml:space="preserve">.
The current limit threshold voltage is 100mV with ±10% tolerance.
</t>
        </r>
      </text>
    </comment>
    <comment ref="H33" authorId="0" shapeId="0" xr:uid="{00000000-0006-0000-0000-000011000000}">
      <text>
        <r>
          <rPr>
            <b/>
            <u/>
            <sz val="9"/>
            <color indexed="81"/>
            <rFont val="Tahoma"/>
            <family val="2"/>
          </rPr>
          <t>Recommended External Slope Compensation (R</t>
        </r>
        <r>
          <rPr>
            <b/>
            <u/>
            <vertAlign val="subscript"/>
            <sz val="9"/>
            <color indexed="81"/>
            <rFont val="Tahoma"/>
            <family val="2"/>
          </rPr>
          <t>SL</t>
        </r>
        <r>
          <rPr>
            <b/>
            <u/>
            <sz val="9"/>
            <color indexed="81"/>
            <rFont val="Tahoma"/>
            <family val="2"/>
          </rPr>
          <t>)</t>
        </r>
        <r>
          <rPr>
            <sz val="9"/>
            <color indexed="81"/>
            <rFont val="Tahoma"/>
            <family val="2"/>
          </rPr>
          <t xml:space="preserve">
External Slope compensation. This is only required when operting in CCM mode.</t>
        </r>
      </text>
    </comment>
    <comment ref="H36" authorId="0" shapeId="0" xr:uid="{00000000-0006-0000-0000-000012000000}">
      <text>
        <r>
          <rPr>
            <b/>
            <u/>
            <sz val="9"/>
            <color indexed="81"/>
            <rFont val="Tahoma"/>
            <family val="2"/>
          </rPr>
          <t>Transformer Primary Winding peak current limit</t>
        </r>
        <r>
          <rPr>
            <b/>
            <sz val="9"/>
            <color indexed="81"/>
            <rFont val="Tahoma"/>
            <family val="2"/>
          </rPr>
          <t xml:space="preserve">
</t>
        </r>
        <r>
          <rPr>
            <sz val="9"/>
            <color indexed="81"/>
            <rFont val="Tahoma"/>
            <family val="2"/>
          </rPr>
          <t>Maximum current in the inductor usually occurs at VIN(min). The result is corresponds to onset of current limit and is intended as a guide to transformer selection as it relates to saturation current</t>
        </r>
        <r>
          <rPr>
            <b/>
            <sz val="9"/>
            <color indexed="81"/>
            <rFont val="Tahoma"/>
            <family val="2"/>
          </rPr>
          <t>.</t>
        </r>
      </text>
    </comment>
    <comment ref="H40" authorId="0" shapeId="0" xr:uid="{00000000-0006-0000-0000-000013000000}">
      <text>
        <r>
          <rPr>
            <b/>
            <u/>
            <sz val="9"/>
            <color indexed="81"/>
            <rFont val="Tahoma"/>
            <family val="2"/>
          </rPr>
          <t>Load 1 Load Transient Voltage Ripple</t>
        </r>
        <r>
          <rPr>
            <sz val="9"/>
            <color indexed="81"/>
            <rFont val="Tahoma"/>
            <family val="2"/>
          </rPr>
          <t xml:space="preserve">
Desired output voltage transient for 50% load to 100% load step.
</t>
        </r>
      </text>
    </comment>
    <comment ref="H42" authorId="0" shapeId="0" xr:uid="{00000000-0006-0000-0000-000014000000}">
      <text>
        <r>
          <rPr>
            <b/>
            <u/>
            <sz val="9"/>
            <color indexed="81"/>
            <rFont val="Tahoma"/>
            <family val="2"/>
          </rPr>
          <t>Load 1 Output Capacitance:</t>
        </r>
        <r>
          <rPr>
            <b/>
            <sz val="9"/>
            <color indexed="81"/>
            <rFont val="Tahoma"/>
            <family val="2"/>
          </rPr>
          <t xml:space="preserve">
</t>
        </r>
        <r>
          <rPr>
            <sz val="9"/>
            <color indexed="81"/>
            <rFont val="Tahoma"/>
            <family val="2"/>
          </rPr>
          <t xml:space="preserve">Enter the output capacitance here based on the minimum calculated result. Make sure that the nominal capacitance is appropriately derated for applied voltage, particularly with ceramics.
</t>
        </r>
      </text>
    </comment>
    <comment ref="G47" authorId="0" shapeId="0" xr:uid="{00000000-0006-0000-0000-000015000000}">
      <text>
        <r>
          <rPr>
            <b/>
            <u/>
            <sz val="9"/>
            <color indexed="81"/>
            <rFont val="Tahoma"/>
            <family val="2"/>
          </rPr>
          <t>Soft-start Capacitor</t>
        </r>
        <r>
          <rPr>
            <sz val="9"/>
            <color indexed="81"/>
            <rFont val="Tahoma"/>
            <family val="2"/>
          </rPr>
          <t xml:space="preserve">
If the feedback is selected to be isolated a secondary side soft-start cirucuit should be implemented.</t>
        </r>
      </text>
    </comment>
    <comment ref="H52" authorId="0" shapeId="0" xr:uid="{00000000-0006-0000-0000-000016000000}">
      <text>
        <r>
          <rPr>
            <b/>
            <u/>
            <sz val="9"/>
            <color indexed="81"/>
            <rFont val="Tahoma"/>
            <family val="2"/>
          </rPr>
          <t>UVLO On Voltage</t>
        </r>
        <r>
          <rPr>
            <sz val="9"/>
            <color indexed="81"/>
            <rFont val="Tahoma"/>
            <family val="2"/>
          </rPr>
          <t xml:space="preserve">
Input voltage when LM5155 starts switching. Assuming the UVLO resistor divider is connected to the input rail. This value should be greater than the V</t>
        </r>
        <r>
          <rPr>
            <vertAlign val="subscript"/>
            <sz val="9"/>
            <color indexed="81"/>
            <rFont val="Tahoma"/>
            <family val="2"/>
          </rPr>
          <t xml:space="preserve">UVLO_OFF  </t>
        </r>
        <r>
          <rPr>
            <sz val="9"/>
            <color indexed="81"/>
            <rFont val="Tahoma"/>
            <family val="2"/>
          </rPr>
          <t>voltage
If more hystersis between V</t>
        </r>
        <r>
          <rPr>
            <vertAlign val="subscript"/>
            <sz val="9"/>
            <color indexed="81"/>
            <rFont val="Tahoma"/>
            <family val="2"/>
          </rPr>
          <t>UVLO_ON</t>
        </r>
        <r>
          <rPr>
            <sz val="9"/>
            <color indexed="81"/>
            <rFont val="Tahoma"/>
            <family val="2"/>
          </rPr>
          <t xml:space="preserve"> and V</t>
        </r>
        <r>
          <rPr>
            <vertAlign val="subscript"/>
            <sz val="9"/>
            <color indexed="81"/>
            <rFont val="Tahoma"/>
            <family val="2"/>
          </rPr>
          <t>UVLO_OFF</t>
        </r>
        <r>
          <rPr>
            <sz val="9"/>
            <color indexed="81"/>
            <rFont val="Tahoma"/>
            <family val="2"/>
          </rPr>
          <t xml:space="preserve"> see the datasheet.
</t>
        </r>
      </text>
    </comment>
    <comment ref="H53" authorId="0" shapeId="0" xr:uid="{00000000-0006-0000-0000-000017000000}">
      <text>
        <r>
          <rPr>
            <b/>
            <u/>
            <sz val="9"/>
            <color indexed="81"/>
            <rFont val="Tahoma"/>
            <family val="2"/>
          </rPr>
          <t xml:space="preserve">UVLO Off Voltage
</t>
        </r>
        <r>
          <rPr>
            <sz val="9"/>
            <color indexed="81"/>
            <rFont val="Tahoma"/>
            <family val="2"/>
          </rPr>
          <t xml:space="preserve">
Input voltage when LM5155 stops switching. Assuming the UVLO resistor divider is connected to the input rail. This value should be less than the V</t>
        </r>
        <r>
          <rPr>
            <vertAlign val="subscript"/>
            <sz val="9"/>
            <color indexed="81"/>
            <rFont val="Tahoma"/>
            <family val="2"/>
          </rPr>
          <t>UVLO_ON</t>
        </r>
        <r>
          <rPr>
            <sz val="9"/>
            <color indexed="81"/>
            <rFont val="Tahoma"/>
            <family val="2"/>
          </rPr>
          <t xml:space="preserve">  voltage.
If more hystersis between V</t>
        </r>
        <r>
          <rPr>
            <vertAlign val="subscript"/>
            <sz val="9"/>
            <color indexed="81"/>
            <rFont val="Tahoma"/>
            <family val="2"/>
          </rPr>
          <t>UVLO_ON</t>
        </r>
        <r>
          <rPr>
            <sz val="9"/>
            <color indexed="81"/>
            <rFont val="Tahoma"/>
            <family val="2"/>
          </rPr>
          <t xml:space="preserve"> and V</t>
        </r>
        <r>
          <rPr>
            <vertAlign val="subscript"/>
            <sz val="9"/>
            <color indexed="81"/>
            <rFont val="Tahoma"/>
            <family val="2"/>
          </rPr>
          <t>UVLO_OFF</t>
        </r>
        <r>
          <rPr>
            <sz val="9"/>
            <color indexed="81"/>
            <rFont val="Tahoma"/>
            <family val="2"/>
          </rPr>
          <t xml:space="preserve"> see the datasheet.</t>
        </r>
      </text>
    </comment>
    <comment ref="H62" authorId="0" shapeId="0" xr:uid="{00000000-0006-0000-0000-000018000000}">
      <text>
        <r>
          <rPr>
            <b/>
            <u/>
            <sz val="9"/>
            <color indexed="81"/>
            <rFont val="Tahoma"/>
            <family val="2"/>
          </rPr>
          <t xml:space="preserve">External Reference Voltage
</t>
        </r>
        <r>
          <rPr>
            <sz val="9"/>
            <color indexed="81"/>
            <rFont val="Tahoma"/>
            <family val="2"/>
          </rPr>
          <t xml:space="preserve">Isolated feedback requires the use of an external voltage reference on the secondary side. This is the voltage of the external shunt voltage reference. 
For low ouput voltages (&lt;5V) it is recommended to select a reference voltage of ~1.24V to help simplify the loop compensation design.
</t>
        </r>
      </text>
    </comment>
    <comment ref="H68" authorId="0" shapeId="0" xr:uid="{00000000-0006-0000-0000-000019000000}">
      <text>
        <r>
          <rPr>
            <b/>
            <u/>
            <sz val="10"/>
            <color indexed="81"/>
            <rFont val="Tahoma"/>
            <family val="2"/>
          </rPr>
          <t>Minimum Current Transfer Ratio</t>
        </r>
        <r>
          <rPr>
            <sz val="9"/>
            <color indexed="81"/>
            <rFont val="Tahoma"/>
            <family val="2"/>
          </rPr>
          <t xml:space="preserve">
</t>
        </r>
        <r>
          <rPr>
            <sz val="10"/>
            <color indexed="81"/>
            <rFont val="Tahoma"/>
            <family val="2"/>
          </rPr>
          <t xml:space="preserve">Minimum specified current transfer ratio (CTR) of the selected optocoupler. This is the gain of the optocoupler and is the ratio of the phototransistor collector current to the diode forward current.
As the minimum CTR and the maximum CTR become closer the easier the loop compensation becomes. </t>
        </r>
      </text>
    </comment>
    <comment ref="H69" authorId="0" shapeId="0" xr:uid="{00000000-0006-0000-0000-00001A000000}">
      <text>
        <r>
          <rPr>
            <b/>
            <sz val="9"/>
            <color indexed="81"/>
            <rFont val="Tahoma"/>
            <family val="2"/>
          </rPr>
          <t xml:space="preserve">Minimum Current Transfer Ratio
</t>
        </r>
        <r>
          <rPr>
            <sz val="9"/>
            <color indexed="81"/>
            <rFont val="Tahoma"/>
            <family val="2"/>
          </rPr>
          <t>Minimum specified current transfer ratio (CTR) of the selected optocoupler. This is the gain of the optocoupler and is the ratio of the phototransistor collector current to the diode forward current.
As the minimum CTR and the maximum CTR become closer the easier the loop compensation becomes.</t>
        </r>
        <r>
          <rPr>
            <b/>
            <sz val="9"/>
            <color indexed="81"/>
            <rFont val="Tahoma"/>
            <family val="2"/>
          </rPr>
          <t xml:space="preserve"> </t>
        </r>
        <r>
          <rPr>
            <sz val="9"/>
            <color indexed="81"/>
            <rFont val="Tahoma"/>
            <family val="2"/>
          </rPr>
          <t xml:space="preserve">
</t>
        </r>
      </text>
    </comment>
    <comment ref="H70" authorId="0" shapeId="0" xr:uid="{00000000-0006-0000-0000-00001B000000}">
      <text>
        <r>
          <rPr>
            <b/>
            <u/>
            <sz val="9"/>
            <color indexed="81"/>
            <rFont val="Tahoma"/>
            <family val="2"/>
          </rPr>
          <t>Optocoupler Diode Forward Voltage Drop</t>
        </r>
        <r>
          <rPr>
            <sz val="9"/>
            <color indexed="81"/>
            <rFont val="Tahoma"/>
            <family val="2"/>
          </rPr>
          <t xml:space="preserve">
Use the specified voltage diode voltage drop from the optocoupler datasheet. Typically this is specified with a couple milliamperes (mA) of forward current</t>
        </r>
      </text>
    </comment>
    <comment ref="H71" authorId="0" shapeId="0" xr:uid="{00000000-0006-0000-0000-00001C000000}">
      <text>
        <r>
          <rPr>
            <b/>
            <u/>
            <sz val="9"/>
            <color indexed="81"/>
            <rFont val="Tahoma"/>
            <family val="2"/>
          </rPr>
          <t xml:space="preserve">Phototransistor Collector Capacitance
</t>
        </r>
        <r>
          <rPr>
            <sz val="9"/>
            <color indexed="81"/>
            <rFont val="Tahoma"/>
            <family val="2"/>
          </rPr>
          <t>The capacitance of the phototransistor collector. This sets the high frequency pole in the error amplifier frequency response. This can be estimated by using the frequency response of the optocoupler from the datasheet and the pull-up resistor value.
C</t>
        </r>
        <r>
          <rPr>
            <vertAlign val="subscript"/>
            <sz val="9"/>
            <color indexed="81"/>
            <rFont val="Tahoma"/>
            <family val="2"/>
          </rPr>
          <t>OPTO</t>
        </r>
        <r>
          <rPr>
            <sz val="9"/>
            <color indexed="81"/>
            <rFont val="Tahoma"/>
            <family val="2"/>
          </rPr>
          <t xml:space="preserve"> = 1/(2</t>
        </r>
        <r>
          <rPr>
            <sz val="9"/>
            <color indexed="81"/>
            <rFont val="Calibri"/>
            <family val="2"/>
          </rPr>
          <t>π</t>
        </r>
        <r>
          <rPr>
            <sz val="9"/>
            <color indexed="81"/>
            <rFont val="Tahoma"/>
            <family val="2"/>
          </rPr>
          <t>*R</t>
        </r>
        <r>
          <rPr>
            <vertAlign val="subscript"/>
            <sz val="9"/>
            <color indexed="81"/>
            <rFont val="Tahoma"/>
            <family val="2"/>
          </rPr>
          <t>PULLUP</t>
        </r>
        <r>
          <rPr>
            <sz val="9"/>
            <color indexed="81"/>
            <rFont val="Tahoma"/>
            <family val="2"/>
          </rPr>
          <t>*f</t>
        </r>
        <r>
          <rPr>
            <vertAlign val="subscript"/>
            <sz val="9"/>
            <color indexed="81"/>
            <rFont val="Tahoma"/>
            <family val="2"/>
          </rPr>
          <t>CUTOFF</t>
        </r>
        <r>
          <rPr>
            <sz val="9"/>
            <color indexed="81"/>
            <rFont val="Tahoma"/>
            <family val="2"/>
          </rPr>
          <t>)
A capacitor can be added in parallel to the phototransistor to lower the pole frequency as needed.</t>
        </r>
      </text>
    </comment>
    <comment ref="H72" authorId="0" shapeId="0" xr:uid="{00000000-0006-0000-0000-00001D000000}">
      <text>
        <r>
          <rPr>
            <b/>
            <u/>
            <sz val="9"/>
            <color indexed="81"/>
            <rFont val="Tahoma"/>
            <family val="2"/>
          </rPr>
          <t xml:space="preserve">Phototransistor Saturation voltage
</t>
        </r>
        <r>
          <rPr>
            <sz val="9"/>
            <color indexed="81"/>
            <rFont val="Tahoma"/>
            <family val="2"/>
          </rPr>
          <t>Saturation voltage of the phototransistor as specified in the optocoupler datasheet.</t>
        </r>
      </text>
    </comment>
    <comment ref="H75" authorId="0" shapeId="0" xr:uid="{00000000-0006-0000-0000-00001E000000}">
      <text>
        <r>
          <rPr>
            <b/>
            <u/>
            <sz val="9"/>
            <color indexed="81"/>
            <rFont val="Tahoma"/>
            <family val="2"/>
          </rPr>
          <t>Pull up voltage (V</t>
        </r>
        <r>
          <rPr>
            <b/>
            <u/>
            <vertAlign val="subscript"/>
            <sz val="9"/>
            <color indexed="81"/>
            <rFont val="Tahoma"/>
            <family val="2"/>
          </rPr>
          <t>PULLUP</t>
        </r>
        <r>
          <rPr>
            <b/>
            <u/>
            <sz val="9"/>
            <color indexed="81"/>
            <rFont val="Tahoma"/>
            <family val="2"/>
          </rPr>
          <t>)</t>
        </r>
        <r>
          <rPr>
            <sz val="9"/>
            <color indexed="81"/>
            <rFont val="Tahoma"/>
            <family val="2"/>
          </rPr>
          <t xml:space="preserve">
This can be the VCC voltage of the LM5155/56 or can be supplied by an auxillary winding on the primary side. This value will affect the selection of the pull up resistor.</t>
        </r>
      </text>
    </comment>
    <comment ref="H77" authorId="0" shapeId="0" xr:uid="{00000000-0006-0000-0000-00001F000000}">
      <text>
        <r>
          <rPr>
            <b/>
            <u/>
            <sz val="9"/>
            <color indexed="81"/>
            <rFont val="Tahoma"/>
            <family val="2"/>
          </rPr>
          <t>Pullup Resistor Value</t>
        </r>
        <r>
          <rPr>
            <sz val="9"/>
            <color indexed="81"/>
            <rFont val="Tahoma"/>
            <family val="2"/>
          </rPr>
          <t xml:space="preserve">
Resistor between VPULLUP and the collector of the phototransistor of the  optocoupler. This resistor selection directly affects the mid-band gain of the error amplifier bandwidth</t>
        </r>
      </text>
    </comment>
    <comment ref="H79" authorId="0" shapeId="0" xr:uid="{00000000-0006-0000-0000-000020000000}">
      <text>
        <r>
          <rPr>
            <b/>
            <u/>
            <sz val="9"/>
            <color indexed="81"/>
            <rFont val="Tahoma"/>
            <family val="2"/>
          </rPr>
          <t>LED Resistor (R</t>
        </r>
        <r>
          <rPr>
            <b/>
            <u/>
            <vertAlign val="subscript"/>
            <sz val="9"/>
            <color indexed="81"/>
            <rFont val="Tahoma"/>
            <family val="2"/>
          </rPr>
          <t>LED</t>
        </r>
        <r>
          <rPr>
            <b/>
            <u/>
            <sz val="9"/>
            <color indexed="81"/>
            <rFont val="Tahoma"/>
            <family val="2"/>
          </rPr>
          <t>)</t>
        </r>
        <r>
          <rPr>
            <sz val="9"/>
            <color indexed="81"/>
            <rFont val="Tahoma"/>
            <family val="2"/>
          </rPr>
          <t xml:space="preserve">
Resistor connected between the output voltage and the anode of optocoupler diode. This value should be less than the calculated R</t>
        </r>
        <r>
          <rPr>
            <vertAlign val="subscript"/>
            <sz val="9"/>
            <color indexed="81"/>
            <rFont val="Tahoma"/>
            <family val="2"/>
          </rPr>
          <t>LED_max</t>
        </r>
        <r>
          <rPr>
            <sz val="9"/>
            <color indexed="81"/>
            <rFont val="Tahoma"/>
            <family val="2"/>
          </rPr>
          <t xml:space="preserve"> value above.</t>
        </r>
      </text>
    </comment>
    <comment ref="H83" authorId="0" shapeId="0" xr:uid="{00000000-0006-0000-0000-000021000000}">
      <text>
        <r>
          <rPr>
            <b/>
            <u/>
            <sz val="9"/>
            <color indexed="81"/>
            <rFont val="Tahoma"/>
            <family val="2"/>
          </rPr>
          <t>Selected Loop Crossover Frequency</t>
        </r>
        <r>
          <rPr>
            <sz val="9"/>
            <color indexed="81"/>
            <rFont val="Tahoma"/>
            <family val="2"/>
          </rPr>
          <t xml:space="preserve">
Selected crossover frequency of the control loop. It is recommend to select this value to be less than the cell above.</t>
        </r>
      </text>
    </comment>
    <comment ref="H86" authorId="0" shapeId="0" xr:uid="{00000000-0006-0000-0000-000022000000}">
      <text>
        <r>
          <rPr>
            <b/>
            <u/>
            <sz val="9"/>
            <color indexed="81"/>
            <rFont val="Tahoma"/>
            <family val="2"/>
          </rPr>
          <t>Compensation Resistor Selection (R</t>
        </r>
        <r>
          <rPr>
            <b/>
            <u/>
            <vertAlign val="subscript"/>
            <sz val="9"/>
            <color indexed="81"/>
            <rFont val="Tahoma"/>
            <family val="2"/>
          </rPr>
          <t>COMP</t>
        </r>
        <r>
          <rPr>
            <b/>
            <u/>
            <sz val="9"/>
            <color indexed="81"/>
            <rFont val="Tahoma"/>
            <family val="2"/>
          </rPr>
          <t>)</t>
        </r>
        <r>
          <rPr>
            <b/>
            <sz val="9"/>
            <color indexed="81"/>
            <rFont val="Tahoma"/>
            <family val="2"/>
          </rPr>
          <t xml:space="preserve">
</t>
        </r>
        <r>
          <rPr>
            <sz val="9"/>
            <color indexed="81"/>
            <rFont val="Tahoma"/>
            <family val="2"/>
          </rPr>
          <t>Directly affects the location for the compensation zero and the mid-band gain.
Increasing this value will increase the cross over frequency but decrease the phase margin.</t>
        </r>
      </text>
    </comment>
    <comment ref="H87" authorId="0" shapeId="0" xr:uid="{00000000-0006-0000-0000-000023000000}">
      <text>
        <r>
          <rPr>
            <b/>
            <u/>
            <sz val="9"/>
            <color indexed="81"/>
            <rFont val="Tahoma"/>
            <family val="2"/>
          </rPr>
          <t>Compensation Resistor Selection (C</t>
        </r>
        <r>
          <rPr>
            <b/>
            <u/>
            <vertAlign val="subscript"/>
            <sz val="9"/>
            <color indexed="81"/>
            <rFont val="Tahoma"/>
            <family val="2"/>
          </rPr>
          <t>COMP</t>
        </r>
        <r>
          <rPr>
            <b/>
            <u/>
            <sz val="9"/>
            <color indexed="81"/>
            <rFont val="Tahoma"/>
            <family val="2"/>
          </rPr>
          <t>)</t>
        </r>
        <r>
          <rPr>
            <b/>
            <sz val="9"/>
            <color indexed="81"/>
            <rFont val="Tahoma"/>
            <family val="2"/>
          </rPr>
          <t xml:space="preserve">
</t>
        </r>
        <r>
          <rPr>
            <sz val="9"/>
            <color indexed="81"/>
            <rFont val="Tahoma"/>
            <family val="2"/>
          </rPr>
          <t>Directly affects the location for the compensation zero. Increasing this value will decrease compensation zero location and increase the phase margin</t>
        </r>
        <r>
          <rPr>
            <b/>
            <sz val="9"/>
            <color indexed="81"/>
            <rFont val="Tahoma"/>
            <family val="2"/>
          </rPr>
          <t>.</t>
        </r>
        <r>
          <rPr>
            <sz val="9"/>
            <color indexed="81"/>
            <rFont val="Tahoma"/>
            <family val="2"/>
          </rPr>
          <t xml:space="preserve">
</t>
        </r>
      </text>
    </comment>
    <comment ref="H88" authorId="0" shapeId="0" xr:uid="{00000000-0006-0000-0000-000024000000}">
      <text>
        <r>
          <rPr>
            <b/>
            <u/>
            <sz val="9"/>
            <color indexed="81"/>
            <rFont val="Tahoma"/>
            <family val="2"/>
          </rPr>
          <t>Compensation Capacitor Selection (C</t>
        </r>
        <r>
          <rPr>
            <b/>
            <u/>
            <vertAlign val="subscript"/>
            <sz val="9"/>
            <color indexed="81"/>
            <rFont val="Tahoma"/>
            <family val="2"/>
          </rPr>
          <t>HF</t>
        </r>
        <r>
          <rPr>
            <b/>
            <u/>
            <sz val="9"/>
            <color indexed="81"/>
            <rFont val="Tahoma"/>
            <family val="2"/>
          </rPr>
          <t xml:space="preserve">)
</t>
        </r>
        <r>
          <rPr>
            <sz val="9"/>
            <color indexed="81"/>
            <rFont val="Tahoma"/>
            <family val="2"/>
          </rPr>
          <t xml:space="preserve">
Directly affects the location for the compensation pole. Increasing this value will decrease compensation zero frequency.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112" authorId="0" shapeId="0" xr:uid="{00000000-0006-0000-0100-000001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113" authorId="0" shapeId="0" xr:uid="{00000000-0006-0000-0100-000002000000}">
      <text>
        <r>
          <rPr>
            <sz val="9"/>
            <color indexed="81"/>
            <rFont val="Tahoma"/>
            <family val="2"/>
          </rPr>
          <t xml:space="preserve">Tripped if the current sense resistor results in a lower current limit
</t>
        </r>
      </text>
    </comment>
    <comment ref="B129" authorId="0" shapeId="0" xr:uid="{00000000-0006-0000-0100-000003000000}">
      <text>
        <r>
          <rPr>
            <b/>
            <sz val="9"/>
            <color indexed="81"/>
            <rFont val="Tahoma"/>
            <family val="2"/>
          </rPr>
          <t>BMC-BCS:</t>
        </r>
        <r>
          <rPr>
            <sz val="9"/>
            <color indexed="81"/>
            <rFont val="Tahoma"/>
            <family val="2"/>
          </rPr>
          <t xml:space="preserve">
Needs to be updated for flyback configuration
</t>
        </r>
      </text>
    </comment>
    <comment ref="B137" authorId="0" shapeId="0" xr:uid="{00000000-0006-0000-0100-000004000000}">
      <text>
        <r>
          <rPr>
            <b/>
            <sz val="9"/>
            <color indexed="81"/>
            <rFont val="Tahoma"/>
            <family val="2"/>
          </rPr>
          <t>BMC-BCS:</t>
        </r>
        <r>
          <rPr>
            <sz val="9"/>
            <color indexed="81"/>
            <rFont val="Tahoma"/>
            <family val="2"/>
          </rPr>
          <t xml:space="preserve">
Needs to be updated for flyback configuration
</t>
        </r>
      </text>
    </comment>
    <comment ref="B145" authorId="0" shapeId="0" xr:uid="{00000000-0006-0000-0100-000005000000}">
      <text>
        <r>
          <rPr>
            <b/>
            <sz val="9"/>
            <color indexed="81"/>
            <rFont val="Tahoma"/>
            <family val="2"/>
          </rPr>
          <t>BMC-BCS:</t>
        </r>
        <r>
          <rPr>
            <sz val="9"/>
            <color indexed="81"/>
            <rFont val="Tahoma"/>
            <family val="2"/>
          </rPr>
          <t xml:space="preserve">
Needs to be updated for flyback configuration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N13" authorId="0" shapeId="0" xr:uid="{00000000-0006-0000-0200-000001000000}">
      <text>
        <r>
          <rPr>
            <b/>
            <sz val="9"/>
            <color indexed="81"/>
            <rFont val="Tahoma"/>
            <family val="2"/>
          </rPr>
          <t>BMC-BCS:</t>
        </r>
        <r>
          <rPr>
            <sz val="9"/>
            <color indexed="81"/>
            <rFont val="Tahoma"/>
            <family val="2"/>
          </rPr>
          <t xml:space="preserve">
Ignore this for the design, Pole is based on optocoupler capacitance</t>
        </r>
      </text>
    </comment>
    <comment ref="O18" authorId="0" shapeId="0" xr:uid="{00000000-0006-0000-0200-000002000000}">
      <text>
        <r>
          <rPr>
            <b/>
            <sz val="9"/>
            <color indexed="81"/>
            <rFont val="Tahoma"/>
            <family val="2"/>
          </rPr>
          <t>BMC-BCS:</t>
        </r>
        <r>
          <rPr>
            <sz val="9"/>
            <color indexed="81"/>
            <rFont val="Tahoma"/>
            <family val="2"/>
          </rPr>
          <t xml:space="preserve">
Need to make this log not linear at some 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AF5" authorId="0" shapeId="0" xr:uid="{00000000-0006-0000-0400-000001000000}">
      <text>
        <r>
          <rPr>
            <b/>
            <sz val="9"/>
            <color indexed="81"/>
            <rFont val="Tahoma"/>
            <family val="2"/>
          </rPr>
          <t>BMC-BCS:</t>
        </r>
        <r>
          <rPr>
            <sz val="9"/>
            <color indexed="81"/>
            <rFont val="Tahoma"/>
            <family val="2"/>
          </rPr>
          <t xml:space="preserve">
To simplify the design just assme a fixed loss for the snubber and leakage
</t>
        </r>
      </text>
    </comment>
    <comment ref="U6" authorId="0" shapeId="0" xr:uid="{00000000-0006-0000-0400-000002000000}">
      <text>
        <r>
          <rPr>
            <b/>
            <sz val="9"/>
            <color indexed="81"/>
            <rFont val="Tahoma"/>
            <family val="2"/>
          </rPr>
          <t xml:space="preserve">1 = DCM operation
2 = CCM operation
</t>
        </r>
      </text>
    </comment>
    <comment ref="V6" authorId="0" shapeId="0" xr:uid="{00000000-0006-0000-0400-000003000000}">
      <text>
        <r>
          <rPr>
            <b/>
            <sz val="9"/>
            <color indexed="81"/>
            <rFont val="Tahoma"/>
            <family val="2"/>
          </rPr>
          <t>BMC-BCS:</t>
        </r>
        <r>
          <rPr>
            <sz val="9"/>
            <color indexed="81"/>
            <rFont val="Tahoma"/>
            <family val="2"/>
          </rPr>
          <t xml:space="preserve">
To make the calculations simple the diode is assumed to be idela in CCM operation
</t>
        </r>
      </text>
    </comment>
    <comment ref="AT6" authorId="0" shapeId="0" xr:uid="{00000000-0006-0000-0400-000004000000}">
      <text>
        <r>
          <rPr>
            <b/>
            <sz val="9"/>
            <color indexed="81"/>
            <rFont val="Tahoma"/>
            <family val="2"/>
          </rPr>
          <t>BMC-BCS:</t>
        </r>
        <r>
          <rPr>
            <sz val="9"/>
            <color indexed="81"/>
            <rFont val="Tahoma"/>
            <family val="2"/>
          </rPr>
          <t xml:space="preserve">
Should calculate later
</t>
        </r>
      </text>
    </comment>
    <comment ref="BC6" authorId="0" shapeId="0" xr:uid="{00000000-0006-0000-0400-000005000000}">
      <text>
        <r>
          <rPr>
            <sz val="9"/>
            <color indexed="81"/>
            <rFont val="Tahoma"/>
            <family val="2"/>
          </rPr>
          <t xml:space="preserve">Just use the average current for the approximations
</t>
        </r>
      </text>
    </comment>
    <comment ref="BN6" authorId="0" shapeId="0" xr:uid="{00000000-0006-0000-0400-000006000000}">
      <text>
        <r>
          <rPr>
            <sz val="9"/>
            <color indexed="81"/>
            <rFont val="Tahoma"/>
            <family val="2"/>
          </rPr>
          <t xml:space="preserve">Just use the average current for the approximations
</t>
        </r>
      </text>
    </comment>
  </commentList>
</comments>
</file>

<file path=xl/sharedStrings.xml><?xml version="1.0" encoding="utf-8"?>
<sst xmlns="http://schemas.openxmlformats.org/spreadsheetml/2006/main" count="1394" uniqueCount="711">
  <si>
    <t>TERMS OF USE</t>
  </si>
  <si>
    <t>ABOUT</t>
  </si>
  <si>
    <t>=Input Box</t>
  </si>
  <si>
    <t>Rev 1</t>
  </si>
  <si>
    <t>Step 1: Design Specifications</t>
  </si>
  <si>
    <r>
      <t>Minimum Input Supply Voltage , V</t>
    </r>
    <r>
      <rPr>
        <vertAlign val="subscript"/>
        <sz val="10"/>
        <color theme="1"/>
        <rFont val="Calibri"/>
        <family val="2"/>
        <scheme val="minor"/>
      </rPr>
      <t>SUPPLY(min)</t>
    </r>
    <r>
      <rPr>
        <sz val="10"/>
        <color theme="1"/>
        <rFont val="Calibri"/>
        <family val="2"/>
        <scheme val="minor"/>
      </rPr>
      <t xml:space="preserve"> </t>
    </r>
  </si>
  <si>
    <r>
      <t>Typical Input Supply Voltage, V</t>
    </r>
    <r>
      <rPr>
        <vertAlign val="subscript"/>
        <sz val="10"/>
        <color theme="1"/>
        <rFont val="Calibri"/>
        <family val="2"/>
        <scheme val="minor"/>
      </rPr>
      <t>SUPPLY(typ)</t>
    </r>
    <r>
      <rPr>
        <sz val="10"/>
        <color theme="1"/>
        <rFont val="Calibri"/>
        <family val="2"/>
        <scheme val="minor"/>
      </rPr>
      <t xml:space="preserve"> </t>
    </r>
  </si>
  <si>
    <r>
      <t>Maximum Input Supply Voltage , V</t>
    </r>
    <r>
      <rPr>
        <vertAlign val="subscript"/>
        <sz val="10"/>
        <color theme="1"/>
        <rFont val="Calibri"/>
        <family val="2"/>
        <scheme val="minor"/>
      </rPr>
      <t>SUPPLY(max)</t>
    </r>
    <r>
      <rPr>
        <sz val="10"/>
        <color theme="1"/>
        <rFont val="Calibri"/>
        <family val="2"/>
        <scheme val="minor"/>
      </rPr>
      <t xml:space="preserve"> </t>
    </r>
  </si>
  <si>
    <r>
      <t>Output Target Voltage, V</t>
    </r>
    <r>
      <rPr>
        <vertAlign val="subscript"/>
        <sz val="10"/>
        <color theme="1"/>
        <rFont val="Calibri"/>
        <family val="2"/>
        <scheme val="minor"/>
      </rPr>
      <t>LOAD</t>
    </r>
    <r>
      <rPr>
        <sz val="10"/>
        <color theme="1"/>
        <rFont val="Calibri"/>
        <family val="2"/>
        <scheme val="minor"/>
      </rPr>
      <t xml:space="preserve"> </t>
    </r>
  </si>
  <si>
    <r>
      <t>Maximum Output Current , I</t>
    </r>
    <r>
      <rPr>
        <vertAlign val="subscript"/>
        <sz val="10"/>
        <color theme="1"/>
        <rFont val="Calibri"/>
        <family val="2"/>
        <scheme val="minor"/>
      </rPr>
      <t>LOAD</t>
    </r>
    <r>
      <rPr>
        <sz val="10"/>
        <color theme="1"/>
        <rFont val="Calibri"/>
        <family val="2"/>
        <scheme val="minor"/>
      </rPr>
      <t xml:space="preserve"> </t>
    </r>
  </si>
  <si>
    <r>
      <t>Free Running Switching Frequency, F</t>
    </r>
    <r>
      <rPr>
        <vertAlign val="subscript"/>
        <sz val="10"/>
        <color theme="1"/>
        <rFont val="Calibri"/>
        <family val="2"/>
        <scheme val="minor"/>
      </rPr>
      <t>SW</t>
    </r>
  </si>
  <si>
    <t>V</t>
  </si>
  <si>
    <t>A</t>
  </si>
  <si>
    <t>kHz</t>
  </si>
  <si>
    <t>%</t>
  </si>
  <si>
    <r>
      <t>Output Power, P</t>
    </r>
    <r>
      <rPr>
        <vertAlign val="subscript"/>
        <sz val="10"/>
        <color theme="1"/>
        <rFont val="Calibri"/>
        <family val="2"/>
        <scheme val="minor"/>
      </rPr>
      <t>OUT</t>
    </r>
    <r>
      <rPr>
        <sz val="10"/>
        <color theme="1"/>
        <rFont val="Calibri"/>
        <family val="2"/>
        <scheme val="minor"/>
      </rPr>
      <t xml:space="preserve"> </t>
    </r>
  </si>
  <si>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</si>
  <si>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</si>
  <si>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</si>
  <si>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</si>
  <si>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</si>
  <si>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</si>
  <si>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</si>
  <si>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</si>
  <si>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</si>
  <si>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</si>
  <si>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</si>
  <si>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</si>
  <si>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</si>
  <si>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</si>
  <si>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</si>
  <si>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</si>
  <si>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</si>
  <si>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IOUT</t>
  </si>
  <si>
    <t>Maximum Output current</t>
  </si>
  <si>
    <t>Ω</t>
  </si>
  <si>
    <t>W</t>
  </si>
  <si>
    <t>EFF_est</t>
  </si>
  <si>
    <t>Total output power</t>
  </si>
  <si>
    <t>Minimum load resistance</t>
  </si>
  <si>
    <t>D_2p2_min</t>
  </si>
  <si>
    <t>D_2p2_nom</t>
  </si>
  <si>
    <t>D_2p2_max</t>
  </si>
  <si>
    <t>Minimum max duty cycle at 2p2MHZ operation</t>
  </si>
  <si>
    <t>t_off_max</t>
  </si>
  <si>
    <t>T_off_nom</t>
  </si>
  <si>
    <t>T_off_min</t>
  </si>
  <si>
    <t>s</t>
  </si>
  <si>
    <t>Minimum forced off time</t>
  </si>
  <si>
    <t>nominal forced off time</t>
  </si>
  <si>
    <t>Maximum forced off time</t>
  </si>
  <si>
    <t xml:space="preserve">IC Duty Cycle Limitation: </t>
  </si>
  <si>
    <t>D_limit_min</t>
  </si>
  <si>
    <t>D_limit_nom</t>
  </si>
  <si>
    <t>D_limit_max</t>
  </si>
  <si>
    <t>Nomminal max duty cycle at low frequency</t>
  </si>
  <si>
    <t>Spec conditions</t>
  </si>
  <si>
    <t>Min max duty cycle at low frequency</t>
  </si>
  <si>
    <t>Maximum max duty cycle at low frequency</t>
  </si>
  <si>
    <t>Nominal right now</t>
  </si>
  <si>
    <t>Fsw</t>
  </si>
  <si>
    <t>Hz</t>
  </si>
  <si>
    <t xml:space="preserve">Switching frequnecy </t>
  </si>
  <si>
    <t>Flag</t>
  </si>
  <si>
    <t>Forced off time limit? [2 True, 1 False]</t>
  </si>
  <si>
    <t>RT</t>
  </si>
  <si>
    <t>Oscillator Set resistor. Based on the datasheet equation</t>
  </si>
  <si>
    <r>
      <t>Free running Oscillator Set Resistor, R</t>
    </r>
    <r>
      <rPr>
        <vertAlign val="subscript"/>
        <sz val="10"/>
        <color theme="1"/>
        <rFont val="Calibri"/>
        <family val="2"/>
        <scheme val="minor"/>
      </rPr>
      <t>T</t>
    </r>
  </si>
  <si>
    <r>
      <t>k</t>
    </r>
    <r>
      <rPr>
        <sz val="11"/>
        <color theme="1"/>
        <rFont val="Calibri"/>
        <family val="2"/>
      </rPr>
      <t>Ω</t>
    </r>
  </si>
  <si>
    <t>Dc_Limit</t>
  </si>
  <si>
    <t>Max duty cycle of LM5155 at Fsw</t>
  </si>
  <si>
    <t>EXCEL Constants / Values / IC Limits</t>
  </si>
  <si>
    <t>ton_min</t>
  </si>
  <si>
    <t>Typical Ton minimum value</t>
  </si>
  <si>
    <t>Lcalc_VIN_min</t>
  </si>
  <si>
    <t>H</t>
  </si>
  <si>
    <t>ILrip</t>
  </si>
  <si>
    <t>Lm</t>
  </si>
  <si>
    <t>Selected filter inductor</t>
  </si>
  <si>
    <t>uH</t>
  </si>
  <si>
    <t>Rdcr</t>
  </si>
  <si>
    <r>
      <t>m</t>
    </r>
    <r>
      <rPr>
        <sz val="11"/>
        <color theme="1"/>
        <rFont val="Calibri"/>
        <family val="2"/>
      </rPr>
      <t>Ω</t>
    </r>
  </si>
  <si>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</si>
  <si>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</si>
  <si>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</si>
  <si>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</si>
  <si>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</si>
  <si>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</si>
  <si>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</si>
  <si>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</si>
  <si>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</si>
  <si>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</si>
  <si>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</si>
  <si>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</si>
  <si>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</si>
  <si>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</si>
  <si>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</si>
  <si>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Step 3: Current Sense Resistor Selection</t>
  </si>
  <si>
    <t>Ipk_margin</t>
  </si>
  <si>
    <t>Peak current limit margin. 20% is a typical value</t>
  </si>
  <si>
    <t>Ipk_selected</t>
  </si>
  <si>
    <t>Selected peak current limit based on margin selection</t>
  </si>
  <si>
    <t>Filter inductor DCR</t>
  </si>
  <si>
    <t>Ltol</t>
  </si>
  <si>
    <t>Assumed inductor tolerance. Constant to help simplify the user experience</t>
  </si>
  <si>
    <t>Rcs_max</t>
  </si>
  <si>
    <t>Maximum Rcs based on internal slope compensation. Assuming slope ratio of 1/2</t>
  </si>
  <si>
    <t>Rcs_sl_ratio</t>
  </si>
  <si>
    <t>ratio of down slope to slope compensation. This can be updated to give more margin</t>
  </si>
  <si>
    <t>Isl</t>
  </si>
  <si>
    <t>Internal slope compensation ramp</t>
  </si>
  <si>
    <t>Rsl_int</t>
  </si>
  <si>
    <t>Internal Slope compensation resistor</t>
  </si>
  <si>
    <t>Rcs_wo_sl</t>
  </si>
  <si>
    <t>Current sense resistor without slope compensation</t>
  </si>
  <si>
    <t>Vcl</t>
  </si>
  <si>
    <t>Current Limit Value. See datsheet for Parameters</t>
  </si>
  <si>
    <t>Flag_ext_sl</t>
  </si>
  <si>
    <t>Rcs_w_sl</t>
  </si>
  <si>
    <t>Rcs_ext_sl_ratio</t>
  </si>
  <si>
    <t>External Slope compensation ratio. Constant</t>
  </si>
  <si>
    <t>R_sl_ext</t>
  </si>
  <si>
    <t>R_cs_calc</t>
  </si>
  <si>
    <t>R_sl_calc</t>
  </si>
  <si>
    <t>R_cs</t>
  </si>
  <si>
    <t>R_sl</t>
  </si>
  <si>
    <t>Current Sense Resistor calculated</t>
  </si>
  <si>
    <t>External slope compensation resistor</t>
  </si>
  <si>
    <t>Calculated external slope compensation resistor</t>
  </si>
  <si>
    <t>Calculated current sense resistor with slope compensation included</t>
  </si>
  <si>
    <r>
      <t>Recommended external slope compensation Resistor (R</t>
    </r>
    <r>
      <rPr>
        <vertAlign val="subscript"/>
        <sz val="11"/>
        <color theme="1"/>
        <rFont val="Calibri"/>
        <family val="2"/>
        <scheme val="minor"/>
      </rPr>
      <t>SL</t>
    </r>
    <r>
      <rPr>
        <sz val="11"/>
        <color theme="1"/>
        <rFont val="Calibri"/>
        <family val="2"/>
        <scheme val="minor"/>
      </rPr>
      <t>)</t>
    </r>
  </si>
  <si>
    <t>Selected current sense Resistor</t>
  </si>
  <si>
    <t>Selected external slope compensation</t>
  </si>
  <si>
    <r>
      <t>Selected external slope compensation Resistor (R</t>
    </r>
    <r>
      <rPr>
        <vertAlign val="subscript"/>
        <sz val="11"/>
        <color theme="1"/>
        <rFont val="Calibri"/>
        <family val="2"/>
        <scheme val="minor"/>
      </rPr>
      <t>SL</t>
    </r>
    <r>
      <rPr>
        <sz val="11"/>
        <color theme="1"/>
        <rFont val="Calibri"/>
        <family val="2"/>
        <scheme val="minor"/>
      </rPr>
      <t>)</t>
    </r>
  </si>
  <si>
    <t>Check to make sure that slope compensation is high enough at the minimum input voltage</t>
  </si>
  <si>
    <t>Slope Compensation</t>
  </si>
  <si>
    <t>sl_vin_min</t>
  </si>
  <si>
    <t>Actual inductor peak current limit</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</si>
  <si>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</si>
  <si>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</si>
  <si>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</si>
  <si>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</si>
  <si>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</si>
  <si>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</si>
  <si>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</si>
  <si>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COMP voltage Limit checks</t>
  </si>
  <si>
    <t>Step 4: Output Capacitor Selection</t>
  </si>
  <si>
    <t>mV</t>
  </si>
  <si>
    <t>uF</t>
  </si>
  <si>
    <r>
      <t>Selected Output Capacitance (C</t>
    </r>
    <r>
      <rPr>
        <vertAlign val="subscript"/>
        <sz val="11"/>
        <color theme="1"/>
        <rFont val="Calibri"/>
        <family val="2"/>
        <scheme val="minor"/>
      </rPr>
      <t>OUT</t>
    </r>
    <r>
      <rPr>
        <sz val="11"/>
        <color theme="1"/>
        <rFont val="Calibri"/>
        <family val="2"/>
        <scheme val="minor"/>
      </rPr>
      <t>)</t>
    </r>
  </si>
  <si>
    <t>Desired output ripple</t>
  </si>
  <si>
    <t>F</t>
  </si>
  <si>
    <t>Calculate minimum capacitance based simply on the capacitive ripple</t>
  </si>
  <si>
    <t>IRMS_COUT</t>
  </si>
  <si>
    <t>RMS current of the output capacitor at VIN min IOUT max. RMS current rating should be larger than this.</t>
  </si>
  <si>
    <r>
      <t>Equivalent  COUT ESR (R</t>
    </r>
    <r>
      <rPr>
        <vertAlign val="subscript"/>
        <sz val="11"/>
        <color theme="1"/>
        <rFont val="Calibri"/>
        <family val="2"/>
        <scheme val="minor"/>
      </rPr>
      <t>ESR</t>
    </r>
    <r>
      <rPr>
        <sz val="11"/>
        <color theme="1"/>
        <rFont val="Calibri"/>
        <family val="2"/>
        <scheme val="minor"/>
      </rPr>
      <t>)</t>
    </r>
  </si>
  <si>
    <t>Selected Output Capacitance</t>
  </si>
  <si>
    <t>Selected output capacitance ESR</t>
  </si>
  <si>
    <r>
      <t>Selected Peak Current limit(IL</t>
    </r>
    <r>
      <rPr>
        <vertAlign val="subscript"/>
        <sz val="11"/>
        <color theme="1"/>
        <rFont val="Calibri"/>
        <family val="2"/>
        <scheme val="minor"/>
      </rPr>
      <t>PK_select</t>
    </r>
    <r>
      <rPr>
        <sz val="11"/>
        <color theme="1"/>
        <rFont val="Calibri"/>
        <family val="2"/>
        <scheme val="minor"/>
      </rPr>
      <t>)</t>
    </r>
  </si>
  <si>
    <t>Input Parameters</t>
  </si>
  <si>
    <t>Output Voltage</t>
  </si>
  <si>
    <t>Component Selection</t>
  </si>
  <si>
    <t>LM</t>
  </si>
  <si>
    <t>filter Inductor</t>
  </si>
  <si>
    <t>Current sense resi</t>
  </si>
  <si>
    <t>External Slope Compensation Resistor</t>
  </si>
  <si>
    <t>Interanl Slope Compesnation Resistor</t>
  </si>
  <si>
    <t>Interanl Slope Compesnation current</t>
  </si>
  <si>
    <t>RCOMP</t>
  </si>
  <si>
    <t>kΩ</t>
  </si>
  <si>
    <t>Feedback Resistor Selection</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</si>
  <si>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</si>
  <si>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</si>
  <si>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</si>
  <si>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</si>
  <si>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</si>
  <si>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</si>
  <si>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</si>
  <si>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</si>
  <si>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</si>
  <si>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</si>
  <si>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</si>
  <si>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</si>
  <si>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</si>
  <si>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</si>
  <si>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</si>
  <si>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</si>
  <si>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</si>
  <si>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</si>
  <si>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</si>
  <si>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</si>
  <si>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</si>
  <si>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</si>
  <si>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</si>
  <si>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</si>
  <si>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</si>
  <si>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</si>
  <si>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</si>
  <si>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</si>
  <si>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</si>
  <si>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</si>
  <si>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</si>
  <si>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</si>
  <si>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</si>
  <si>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</si>
  <si>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</si>
  <si>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</si>
  <si>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</si>
  <si>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</si>
  <si>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</si>
  <si>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</si>
  <si>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</si>
  <si>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</si>
  <si>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</si>
  <si>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Plant Transfer Function</t>
  </si>
  <si>
    <t>Error Amplifier</t>
  </si>
  <si>
    <t>Plant Parameters</t>
  </si>
  <si>
    <t>wz_ea</t>
  </si>
  <si>
    <t>Adc_ea</t>
  </si>
  <si>
    <t>gm_ea</t>
  </si>
  <si>
    <t>Error Amplifier Gain</t>
  </si>
  <si>
    <t>A/V</t>
  </si>
  <si>
    <t>wp0_ea</t>
  </si>
  <si>
    <t>wp1_ea</t>
  </si>
  <si>
    <t>ADC_ea</t>
  </si>
  <si>
    <t xml:space="preserve">Gain </t>
  </si>
  <si>
    <t>Open Loop Response</t>
  </si>
  <si>
    <t>COMPLEX</t>
  </si>
  <si>
    <t>dB</t>
  </si>
  <si>
    <t>Selected by user. Feedback resistor should be &gt;100uA to help reject noise</t>
  </si>
  <si>
    <t>Error Amplifier Zero</t>
  </si>
  <si>
    <t>Error Amplifier pole at the origin</t>
  </si>
  <si>
    <t>Error Amplifier pole at high frequencies</t>
  </si>
  <si>
    <t>RFBB_CALC</t>
  </si>
  <si>
    <t>Vref</t>
  </si>
  <si>
    <t>Reference voltage</t>
  </si>
  <si>
    <t>Estimated bottom feedback resistor</t>
  </si>
  <si>
    <t>Selected botton feedback resistor</t>
  </si>
  <si>
    <t>Ifb</t>
  </si>
  <si>
    <t>Current Drawn from the feedback resistors (Typically higher than 100uA to help w/ noise)</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</si>
  <si>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</si>
  <si>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</si>
  <si>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</si>
  <si>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</si>
  <si>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</si>
  <si>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t>Fcross_est</t>
  </si>
  <si>
    <r>
      <t>Calculated bottom feedback resistor (R</t>
    </r>
    <r>
      <rPr>
        <vertAlign val="subscript"/>
        <sz val="11"/>
        <color theme="1"/>
        <rFont val="Calibri"/>
        <family val="2"/>
        <scheme val="minor"/>
      </rPr>
      <t>FBB_cala</t>
    </r>
    <r>
      <rPr>
        <sz val="11"/>
        <color theme="1"/>
        <rFont val="Calibri"/>
        <family val="2"/>
        <scheme val="minor"/>
      </rPr>
      <t>)</t>
    </r>
  </si>
  <si>
    <t>fcross</t>
  </si>
  <si>
    <t>Desired Crossover frequency</t>
  </si>
  <si>
    <t>1/10 the swictching frequency</t>
  </si>
  <si>
    <t>Conservative. Set Fcross to be 1/5th the RHP zero frequency or 1/10th SW: whichever is lower</t>
  </si>
  <si>
    <t>Select the lower crossover frequency</t>
  </si>
  <si>
    <t>Gplant_fc</t>
  </si>
  <si>
    <t>Gain of the plant at the desired crossover frequency</t>
  </si>
  <si>
    <t>Fcross</t>
  </si>
  <si>
    <t>wz_RHP</t>
  </si>
  <si>
    <t>Gplant_fc_dB</t>
  </si>
  <si>
    <t>Plant gain at crossover frequency (dB)</t>
  </si>
  <si>
    <t>Gea_mid_calc</t>
  </si>
  <si>
    <t>Error Amplifier Mid-band gain to set cross over frequency correctly</t>
  </si>
  <si>
    <t>Rcomp_Calc</t>
  </si>
  <si>
    <t>Calculate on based on the desired Mid-band gain needed to set the crossover frequency</t>
  </si>
  <si>
    <t>fz_ea_est</t>
  </si>
  <si>
    <t>Set the fz_ea 1/10th the cross over frequency (Common approach)</t>
  </si>
  <si>
    <t>Set the fz_ea geometerically inbetween crossover and the wp_lf</t>
  </si>
  <si>
    <t>Fz_ea_1</t>
  </si>
  <si>
    <t>Fz_ea_2</t>
  </si>
  <si>
    <t>CCOMP_calc</t>
  </si>
  <si>
    <t>CHF_Calc</t>
  </si>
  <si>
    <t>fp_ea_est</t>
  </si>
  <si>
    <r>
      <t>Select a top feedback resistor(R</t>
    </r>
    <r>
      <rPr>
        <vertAlign val="subscript"/>
        <sz val="11"/>
        <color theme="1"/>
        <rFont val="Calibri"/>
        <family val="2"/>
        <scheme val="minor"/>
      </rPr>
      <t>FBT</t>
    </r>
    <r>
      <rPr>
        <sz val="11"/>
        <color theme="1"/>
        <rFont val="Calibri"/>
        <family val="2"/>
        <scheme val="minor"/>
      </rPr>
      <t>)</t>
    </r>
  </si>
  <si>
    <r>
      <t>Select a bottomresistor based on calculated balue(R</t>
    </r>
    <r>
      <rPr>
        <vertAlign val="subscript"/>
        <sz val="11"/>
        <color theme="1"/>
        <rFont val="Calibri"/>
        <family val="2"/>
        <scheme val="minor"/>
      </rPr>
      <t>FBB</t>
    </r>
    <r>
      <rPr>
        <sz val="11"/>
        <color theme="1"/>
        <rFont val="Calibri"/>
        <family val="2"/>
        <scheme val="minor"/>
      </rPr>
      <t>)</t>
    </r>
  </si>
  <si>
    <t>Step 5: Soft-Start Capacitor Selection</t>
  </si>
  <si>
    <t>Step 6: UVLO Resistor Divider Selection</t>
  </si>
  <si>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</si>
  <si>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</si>
  <si>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</si>
  <si>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</si>
  <si>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</si>
  <si>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</si>
  <si>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</si>
  <si>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</si>
  <si>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</si>
  <si>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</si>
  <si>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Icrms_min</t>
  </si>
  <si>
    <t>Minimum required RMS current rating for the output capacitor bank</t>
  </si>
  <si>
    <t>Soft-Start</t>
  </si>
  <si>
    <t>Iss</t>
  </si>
  <si>
    <t>Soft-start capacitor charge current</t>
  </si>
  <si>
    <t>Soft-Start Charge current</t>
  </si>
  <si>
    <t>Css_min</t>
  </si>
  <si>
    <t>Suggested minimum SS capacitor to minize the over shoot.</t>
  </si>
  <si>
    <t>tss</t>
  </si>
  <si>
    <t>Desired Soft-Start Capacitor</t>
  </si>
  <si>
    <r>
      <t>Suggested minimum soft-start capacitor (C</t>
    </r>
    <r>
      <rPr>
        <vertAlign val="subscript"/>
        <sz val="11"/>
        <color theme="1"/>
        <rFont val="Calibri"/>
        <family val="2"/>
        <scheme val="minor"/>
      </rPr>
      <t>SS_MIN</t>
    </r>
    <r>
      <rPr>
        <sz val="11"/>
        <color theme="1"/>
        <rFont val="Calibri"/>
        <family val="2"/>
        <scheme val="minor"/>
      </rPr>
      <t>)</t>
    </r>
  </si>
  <si>
    <t>ms</t>
  </si>
  <si>
    <t>Css_calc</t>
  </si>
  <si>
    <t>Calcualted Soft-start capacitor</t>
  </si>
  <si>
    <r>
      <t>Calculated soft-start capacitor (C</t>
    </r>
    <r>
      <rPr>
        <vertAlign val="subscript"/>
        <sz val="11"/>
        <color theme="1"/>
        <rFont val="Calibri"/>
        <family val="2"/>
        <scheme val="minor"/>
      </rPr>
      <t>SS</t>
    </r>
    <r>
      <rPr>
        <sz val="11"/>
        <color theme="1"/>
        <rFont val="Calibri"/>
        <family val="2"/>
        <scheme val="minor"/>
      </rPr>
      <t>)</t>
    </r>
  </si>
  <si>
    <r>
      <t>Desied soft-start time at minimum input voltage (T</t>
    </r>
    <r>
      <rPr>
        <vertAlign val="subscript"/>
        <sz val="11"/>
        <color theme="1"/>
        <rFont val="Calibri"/>
        <family val="2"/>
        <scheme val="minor"/>
      </rPr>
      <t>SS</t>
    </r>
    <r>
      <rPr>
        <sz val="11"/>
        <color theme="1"/>
        <rFont val="Calibri"/>
        <family val="2"/>
        <scheme val="minor"/>
      </rPr>
      <t>)</t>
    </r>
  </si>
  <si>
    <r>
      <t>Desired voltage OFF (V</t>
    </r>
    <r>
      <rPr>
        <vertAlign val="subscript"/>
        <sz val="11"/>
        <color theme="1"/>
        <rFont val="Calibri"/>
        <family val="2"/>
        <scheme val="minor"/>
      </rPr>
      <t>UVLO_OFF</t>
    </r>
    <r>
      <rPr>
        <sz val="11"/>
        <color theme="1"/>
        <rFont val="Calibri"/>
        <family val="2"/>
        <scheme val="minor"/>
      </rPr>
      <t>)</t>
    </r>
  </si>
  <si>
    <r>
      <t>Desired voltage On (V</t>
    </r>
    <r>
      <rPr>
        <vertAlign val="subscript"/>
        <sz val="11"/>
        <color theme="1"/>
        <rFont val="Calibri"/>
        <family val="2"/>
        <scheme val="minor"/>
      </rPr>
      <t>UVLO_ON</t>
    </r>
    <r>
      <rPr>
        <sz val="11"/>
        <color theme="1"/>
        <rFont val="Calibri"/>
        <family val="2"/>
        <scheme val="minor"/>
      </rPr>
      <t>)</t>
    </r>
  </si>
  <si>
    <t>Step 6: UVLO Resistor Selection</t>
  </si>
  <si>
    <t>Step 5: Soft-start Capacitor selection</t>
  </si>
  <si>
    <t>Vuvlo_on</t>
  </si>
  <si>
    <t>Vuvlo_off</t>
  </si>
  <si>
    <t>Desired turn on voltage</t>
  </si>
  <si>
    <t>Desired turn off voltage</t>
  </si>
  <si>
    <t>UVLO Thresholds</t>
  </si>
  <si>
    <t>UV_rise</t>
  </si>
  <si>
    <t>UV_fall</t>
  </si>
  <si>
    <t>Falling threshold (See datasheet for more details)</t>
  </si>
  <si>
    <t>Rising Threshold (See datasheet for more details)</t>
  </si>
  <si>
    <t>Rising UV threshold</t>
  </si>
  <si>
    <t>Falling  UV threshold</t>
  </si>
  <si>
    <t>UV_I_hyst</t>
  </si>
  <si>
    <t>UVLO current hysteresis</t>
  </si>
  <si>
    <t>UVLO circuit current hysteresis</t>
  </si>
  <si>
    <t>Ruvlo_top_calc</t>
  </si>
  <si>
    <t>Ruvlo_bottom_calc</t>
  </si>
  <si>
    <t>Vuvlo_on_act</t>
  </si>
  <si>
    <t>Vuvlo_off_act</t>
  </si>
  <si>
    <t>Actual turn on voltage</t>
  </si>
  <si>
    <t>Actual turn off voltage</t>
  </si>
  <si>
    <t>Step  7: Loop Compensation</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</si>
  <si>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</si>
  <si>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</si>
  <si>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</si>
  <si>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</si>
  <si>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</si>
  <si>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Step 7: Component Selection</t>
  </si>
  <si>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</si>
  <si>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</si>
  <si>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</si>
  <si>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</si>
  <si>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</si>
  <si>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</si>
  <si>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</si>
  <si>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</si>
  <si>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</si>
  <si>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</si>
  <si>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</si>
  <si>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</si>
  <si>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</si>
  <si>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MOSFET parameters</t>
  </si>
  <si>
    <t>MOSFET Parameters</t>
  </si>
  <si>
    <t>Qg_tot</t>
  </si>
  <si>
    <t>Qgs</t>
  </si>
  <si>
    <t>Qgd</t>
  </si>
  <si>
    <t>Rgate</t>
  </si>
  <si>
    <t>gfs</t>
  </si>
  <si>
    <t>Vth</t>
  </si>
  <si>
    <t>C</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</si>
  <si>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</si>
  <si>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</si>
  <si>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</si>
  <si>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</si>
  <si>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</si>
  <si>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</si>
  <si>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</si>
  <si>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</si>
  <si>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</si>
  <si>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</si>
  <si>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</si>
  <si>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</si>
  <si>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</si>
  <si>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</si>
  <si>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</si>
  <si>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</si>
  <si>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</si>
  <si>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</si>
  <si>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</si>
  <si>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</si>
  <si>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</si>
  <si>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</si>
  <si>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</si>
  <si>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</si>
  <si>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</si>
  <si>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</si>
  <si>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r>
      <t>C</t>
    </r>
    <r>
      <rPr>
        <vertAlign val="subscript"/>
        <sz val="11"/>
        <color theme="1"/>
        <rFont val="Calibri"/>
        <family val="2"/>
        <scheme val="minor"/>
      </rPr>
      <t>COMP</t>
    </r>
  </si>
  <si>
    <r>
      <t>C</t>
    </r>
    <r>
      <rPr>
        <vertAlign val="subscript"/>
        <sz val="11"/>
        <color theme="1"/>
        <rFont val="Calibri"/>
        <family val="2"/>
        <scheme val="minor"/>
      </rPr>
      <t>HF</t>
    </r>
  </si>
  <si>
    <t>RHP_zero location based on the minimum input voltage</t>
  </si>
  <si>
    <t>Low frequency pole based on the minimum input voltage</t>
  </si>
  <si>
    <t>rad</t>
  </si>
  <si>
    <t>raf</t>
  </si>
  <si>
    <t>ESR zero based on the minimum input voltage</t>
  </si>
  <si>
    <t>This is based on the minimum input voltage. T</t>
  </si>
  <si>
    <t>Input Voltage</t>
  </si>
  <si>
    <r>
      <t>Selected band width (F</t>
    </r>
    <r>
      <rPr>
        <vertAlign val="subscript"/>
        <sz val="11"/>
        <color theme="1"/>
        <rFont val="Calibri"/>
        <family val="2"/>
        <scheme val="minor"/>
      </rPr>
      <t>CO</t>
    </r>
    <r>
      <rPr>
        <sz val="11"/>
        <color theme="1"/>
        <rFont val="Calibri"/>
        <family val="2"/>
        <scheme val="minor"/>
      </rPr>
      <t>)</t>
    </r>
  </si>
  <si>
    <r>
      <t>Calculated top UVLO resistor value (R</t>
    </r>
    <r>
      <rPr>
        <vertAlign val="subscript"/>
        <sz val="11"/>
        <color theme="1"/>
        <rFont val="Calibri"/>
        <family val="2"/>
        <scheme val="minor"/>
      </rPr>
      <t>UVT_CALC</t>
    </r>
    <r>
      <rPr>
        <sz val="11"/>
        <color theme="1"/>
        <rFont val="Calibri"/>
        <family val="2"/>
        <scheme val="minor"/>
      </rPr>
      <t>)</t>
    </r>
  </si>
  <si>
    <r>
      <t>Selected top UVLO resistor value (R</t>
    </r>
    <r>
      <rPr>
        <vertAlign val="subscript"/>
        <sz val="11"/>
        <color theme="1"/>
        <rFont val="Calibri"/>
        <family val="2"/>
        <scheme val="minor"/>
      </rPr>
      <t>UVT</t>
    </r>
    <r>
      <rPr>
        <sz val="11"/>
        <color theme="1"/>
        <rFont val="Calibri"/>
        <family val="2"/>
        <scheme val="minor"/>
      </rPr>
      <t>)</t>
    </r>
  </si>
  <si>
    <r>
      <t>Bottom UVLO Resistor (R</t>
    </r>
    <r>
      <rPr>
        <vertAlign val="subscript"/>
        <sz val="11"/>
        <color theme="1"/>
        <rFont val="Calibri"/>
        <family val="2"/>
        <scheme val="minor"/>
      </rPr>
      <t>UVB</t>
    </r>
    <r>
      <rPr>
        <sz val="11"/>
        <color theme="1"/>
        <rFont val="Calibri"/>
        <family val="2"/>
        <scheme val="minor"/>
      </rPr>
      <t>)</t>
    </r>
  </si>
  <si>
    <t>Calcualted top UVLO resistor</t>
  </si>
  <si>
    <t>Selected top UVLO resistor</t>
  </si>
  <si>
    <t>Calcualted Bottom UBLO Resistor</t>
  </si>
  <si>
    <t>Frcoss (VIN)min</t>
  </si>
  <si>
    <t>ADC_VINmin</t>
  </si>
  <si>
    <t>wp_lf_VINmin</t>
  </si>
  <si>
    <t>fp_lf_VINmin</t>
  </si>
  <si>
    <t>wz_esr_VINmin</t>
  </si>
  <si>
    <t>fz_esr_VINmin</t>
  </si>
  <si>
    <t>wz_RHP_VINmin</t>
  </si>
  <si>
    <t>fz_rhp_VINmin</t>
  </si>
  <si>
    <t>Se_VINmin</t>
  </si>
  <si>
    <t>Sn_VINmin</t>
  </si>
  <si>
    <t>wsl_VINmin</t>
  </si>
  <si>
    <t>Q_VINmin</t>
  </si>
  <si>
    <t>Operation Raange</t>
  </si>
  <si>
    <t>Vin_op_min</t>
  </si>
  <si>
    <t>Minimum operating voltage</t>
  </si>
  <si>
    <t>Maximum BIAS pin operating voltage</t>
  </si>
  <si>
    <t>Vin_op_max</t>
  </si>
  <si>
    <r>
      <t>Desired Maximum Inductor Current Ripple Ratio (I</t>
    </r>
    <r>
      <rPr>
        <vertAlign val="subscript"/>
        <sz val="10"/>
        <color theme="1"/>
        <rFont val="Calibri"/>
        <family val="2"/>
        <scheme val="minor"/>
      </rPr>
      <t>RR_MAX</t>
    </r>
    <r>
      <rPr>
        <sz val="10"/>
        <color theme="1"/>
        <rFont val="Calibri"/>
        <family val="2"/>
        <scheme val="minor"/>
      </rPr>
      <t>)</t>
    </r>
  </si>
  <si>
    <t>Peak Current Limit Margin</t>
  </si>
  <si>
    <r>
      <t>Voltage selected (V</t>
    </r>
    <r>
      <rPr>
        <vertAlign val="subscript"/>
        <sz val="11"/>
        <rFont val="Calibri"/>
        <family val="2"/>
        <scheme val="minor"/>
      </rPr>
      <t>IN_VAR</t>
    </r>
    <r>
      <rPr>
        <sz val="11"/>
        <rFont val="Calibri"/>
        <family val="2"/>
        <scheme val="minor"/>
      </rPr>
      <t>)</t>
    </r>
  </si>
  <si>
    <t>This should be set at or near the lowest RHP zero Frequency</t>
  </si>
  <si>
    <t>Set between 1/2 fsw and the RHPz in the application note. This is aggressive</t>
  </si>
  <si>
    <r>
      <t>Recommended current sense Resistor (R</t>
    </r>
    <r>
      <rPr>
        <vertAlign val="subscript"/>
        <sz val="11"/>
        <color theme="1"/>
        <rFont val="Calibri"/>
        <family val="2"/>
        <scheme val="minor"/>
      </rPr>
      <t>S</t>
    </r>
    <r>
      <rPr>
        <sz val="11"/>
        <color theme="1"/>
        <rFont val="Calibri"/>
        <family val="2"/>
        <scheme val="minor"/>
      </rPr>
      <t>)</t>
    </r>
  </si>
  <si>
    <r>
      <t>Selected current sense Resistor (R</t>
    </r>
    <r>
      <rPr>
        <vertAlign val="subscript"/>
        <sz val="11"/>
        <color theme="1"/>
        <rFont val="Calibri"/>
        <family val="2"/>
        <scheme val="minor"/>
      </rPr>
      <t>S</t>
    </r>
    <r>
      <rPr>
        <sz val="11"/>
        <color theme="1"/>
        <rFont val="Calibri"/>
        <family val="2"/>
        <scheme val="minor"/>
      </rPr>
      <t>)</t>
    </r>
  </si>
  <si>
    <t>VOUT1</t>
  </si>
  <si>
    <t>IOUT1</t>
  </si>
  <si>
    <t>ROUT1</t>
  </si>
  <si>
    <t>POUT1</t>
  </si>
  <si>
    <t>VOUT2</t>
  </si>
  <si>
    <t>IOUT2</t>
  </si>
  <si>
    <t>ROUT2</t>
  </si>
  <si>
    <t>POUT2</t>
  </si>
  <si>
    <t>VOUT3</t>
  </si>
  <si>
    <t>IOUT3</t>
  </si>
  <si>
    <t>ROUT3</t>
  </si>
  <si>
    <t>POUT3</t>
  </si>
  <si>
    <t>POUT_Total</t>
  </si>
  <si>
    <t>Enable</t>
  </si>
  <si>
    <t>EN_OUT_3</t>
  </si>
  <si>
    <t>EN_OUT_2</t>
  </si>
  <si>
    <t>Enable the second output voltage</t>
  </si>
  <si>
    <t>Enable the third output voltage</t>
  </si>
  <si>
    <t>Target Output Voltage, First output voltage should always be the one regulated, and should be active</t>
  </si>
  <si>
    <t>Step 2: Transformer Specifications</t>
  </si>
  <si>
    <r>
      <t>Recommended Inductance Primary Inductance (L</t>
    </r>
    <r>
      <rPr>
        <vertAlign val="subscript"/>
        <sz val="10"/>
        <color theme="1"/>
        <rFont val="Calibri"/>
        <family val="2"/>
        <scheme val="minor"/>
      </rPr>
      <t>M_CALC</t>
    </r>
    <r>
      <rPr>
        <sz val="10"/>
        <color theme="1"/>
        <rFont val="Calibri"/>
        <family val="2"/>
        <scheme val="minor"/>
      </rPr>
      <t>)</t>
    </r>
  </si>
  <si>
    <r>
      <t>User Selected Primary Inductance, (L</t>
    </r>
    <r>
      <rPr>
        <vertAlign val="subscript"/>
        <sz val="10"/>
        <color theme="1"/>
        <rFont val="Calibri"/>
        <family val="2"/>
        <scheme val="minor"/>
      </rPr>
      <t>M</t>
    </r>
    <r>
      <rPr>
        <sz val="10"/>
        <color theme="1"/>
        <rFont val="Calibri"/>
        <family val="2"/>
        <scheme val="minor"/>
      </rPr>
      <t>)</t>
    </r>
  </si>
  <si>
    <t>Np</t>
  </si>
  <si>
    <t>Step 2: Transformer Specs</t>
  </si>
  <si>
    <t>The number of turns on the primary side. Can change to help ease calculations</t>
  </si>
  <si>
    <t>Maximum duty cycle for the design</t>
  </si>
  <si>
    <r>
      <t>Desired Maximum Duty Cycle (D</t>
    </r>
    <r>
      <rPr>
        <vertAlign val="subscript"/>
        <sz val="11"/>
        <color theme="1"/>
        <rFont val="Calibri"/>
        <family val="2"/>
        <scheme val="minor"/>
      </rPr>
      <t>MAX</t>
    </r>
    <r>
      <rPr>
        <sz val="11"/>
        <color theme="1"/>
        <rFont val="Calibri"/>
        <family val="2"/>
        <scheme val="minor"/>
      </rPr>
      <t>)</t>
    </r>
  </si>
  <si>
    <t>System Constants</t>
  </si>
  <si>
    <t>Vd</t>
  </si>
  <si>
    <t>This is just the standard voltage drop of a diode allows for some head room on duty cycle calculations</t>
  </si>
  <si>
    <t>Dmax_limit</t>
  </si>
  <si>
    <t>Calcualted secondary side (VOUT1) Turns Ratio (Assuming CCM operation)</t>
  </si>
  <si>
    <t>Selected Turns Ratio for regulated primary rail</t>
  </si>
  <si>
    <t>NS2_calc</t>
  </si>
  <si>
    <t>NS2</t>
  </si>
  <si>
    <t>Calcualted secondary side (VOUT2)</t>
  </si>
  <si>
    <t xml:space="preserve">Selected Turns Ratio for VOUT2 </t>
  </si>
  <si>
    <t>N1S_calc</t>
  </si>
  <si>
    <t>Ns1_</t>
  </si>
  <si>
    <t>Turns</t>
  </si>
  <si>
    <t>Target Output Voltage (Absolute Maximum)</t>
  </si>
  <si>
    <t>Target Output Voltage (Absolute Maximum Voltage)</t>
  </si>
  <si>
    <r>
      <t>Calculated Secondary Side turns (N</t>
    </r>
    <r>
      <rPr>
        <vertAlign val="subscript"/>
        <sz val="11"/>
        <color theme="1"/>
        <rFont val="Calibri"/>
        <family val="2"/>
        <scheme val="minor"/>
      </rPr>
      <t>Sx_calc</t>
    </r>
    <r>
      <rPr>
        <sz val="11"/>
        <color theme="1"/>
        <rFont val="Calibri"/>
        <family val="2"/>
        <scheme val="minor"/>
      </rPr>
      <t>)</t>
    </r>
  </si>
  <si>
    <r>
      <t>Selected Secondary Side turns (N</t>
    </r>
    <r>
      <rPr>
        <vertAlign val="subscript"/>
        <sz val="11"/>
        <color theme="1"/>
        <rFont val="Calibri"/>
        <family val="2"/>
        <scheme val="minor"/>
      </rPr>
      <t>Sx_</t>
    </r>
    <r>
      <rPr>
        <sz val="11"/>
        <color theme="1"/>
        <rFont val="Calibri"/>
        <family val="2"/>
        <scheme val="minor"/>
      </rPr>
      <t>)</t>
    </r>
  </si>
  <si>
    <t>Ns3_calc</t>
  </si>
  <si>
    <t>NS3_</t>
  </si>
  <si>
    <t>Calcualted secondary side (VOUT3)</t>
  </si>
  <si>
    <t xml:space="preserve">Selected Turns Ratio for VOUT3 </t>
  </si>
  <si>
    <r>
      <t>Adjusted output voltage (V</t>
    </r>
    <r>
      <rPr>
        <vertAlign val="subscript"/>
        <sz val="11"/>
        <color theme="1"/>
        <rFont val="Calibri"/>
        <family val="2"/>
        <scheme val="minor"/>
      </rPr>
      <t>LOADx</t>
    </r>
    <r>
      <rPr>
        <sz val="11"/>
        <color theme="1"/>
        <rFont val="Calibri"/>
        <family val="2"/>
        <scheme val="minor"/>
      </rPr>
      <t>)</t>
    </r>
  </si>
  <si>
    <t>VOUT2_act</t>
  </si>
  <si>
    <t>Actual Output voltage</t>
  </si>
  <si>
    <t>VOUT3_act</t>
  </si>
  <si>
    <t>Dmax_act</t>
  </si>
  <si>
    <r>
      <t>Approximate Maximum Duty Cycle (D</t>
    </r>
    <r>
      <rPr>
        <vertAlign val="subscript"/>
        <sz val="11"/>
        <color theme="1"/>
        <rFont val="Calibri"/>
        <family val="2"/>
        <scheme val="minor"/>
      </rPr>
      <t>MAX</t>
    </r>
    <r>
      <rPr>
        <sz val="11"/>
        <color theme="1"/>
        <rFont val="Calibri"/>
        <family val="2"/>
        <scheme val="minor"/>
      </rPr>
      <t>)</t>
    </r>
  </si>
  <si>
    <t>Occurs at the minimum input voltage</t>
  </si>
  <si>
    <t>VIN nom nominal Duty cycle</t>
  </si>
  <si>
    <t>VIN max nominal Duty cycle</t>
  </si>
  <si>
    <t>Estimated efficiency of the conveter. For right now need to just keep this 1</t>
  </si>
  <si>
    <t>Vreflect</t>
  </si>
  <si>
    <t>Inductor at Maximum input voltage (Includes the diode drop in the duty cycle calculation)</t>
  </si>
  <si>
    <t>IL_avg_VIN_min</t>
  </si>
  <si>
    <t>average input current</t>
  </si>
  <si>
    <t>Vout1_rip_sel</t>
  </si>
  <si>
    <t>Cout1_min</t>
  </si>
  <si>
    <t>Resr1</t>
  </si>
  <si>
    <t>Vout3_rip_sel</t>
  </si>
  <si>
    <t>Cout3_min</t>
  </si>
  <si>
    <t>Resr3</t>
  </si>
  <si>
    <t>Load 2</t>
  </si>
  <si>
    <t>Load 3</t>
  </si>
  <si>
    <t>Load 1</t>
  </si>
  <si>
    <t>Cout_total</t>
  </si>
  <si>
    <t>Resr_total</t>
  </si>
  <si>
    <t>Vout2_rip_sel</t>
  </si>
  <si>
    <t>Cout2_min</t>
  </si>
  <si>
    <t>Cout2</t>
  </si>
  <si>
    <t>Resr2</t>
  </si>
  <si>
    <t>Resr2_Trans</t>
  </si>
  <si>
    <t>ESR tranfered to the regualted winding of the transformer</t>
  </si>
  <si>
    <t>Total output cap ESR refered to the pregulated winding (VOUT1). Used for loop modeling</t>
  </si>
  <si>
    <t>Total output capacitance refered to the regulated winding (VOUT1). Used for loop modeling</t>
  </si>
  <si>
    <t>Need to finish updating from here</t>
  </si>
  <si>
    <t>POUT_Var</t>
  </si>
  <si>
    <t>Variable output Power (Need to add this in</t>
  </si>
  <si>
    <t>COUT_total</t>
  </si>
  <si>
    <t>CCM Model</t>
  </si>
  <si>
    <t>Dc</t>
  </si>
  <si>
    <t>Duty cycle at Vin_var</t>
  </si>
  <si>
    <t>mc</t>
  </si>
  <si>
    <r>
      <t>External voltage reference voltage (V</t>
    </r>
    <r>
      <rPr>
        <vertAlign val="subscript"/>
        <sz val="11"/>
        <color theme="1"/>
        <rFont val="Calibri"/>
        <family val="2"/>
        <scheme val="minor"/>
      </rPr>
      <t>ref_iso</t>
    </r>
    <r>
      <rPr>
        <sz val="11"/>
        <color theme="1"/>
        <rFont val="Calibri"/>
        <family val="2"/>
        <scheme val="minor"/>
      </rPr>
      <t>)</t>
    </r>
  </si>
  <si>
    <t>Otpocoupler selection Resistor Selection</t>
  </si>
  <si>
    <r>
      <t>Minimum current transfer Ratio (k</t>
    </r>
    <r>
      <rPr>
        <vertAlign val="subscript"/>
        <sz val="11"/>
        <color theme="1"/>
        <rFont val="Calibri"/>
        <family val="2"/>
        <scheme val="minor"/>
      </rPr>
      <t>OPTO_min</t>
    </r>
    <r>
      <rPr>
        <sz val="11"/>
        <color theme="1"/>
        <rFont val="Calibri"/>
        <family val="2"/>
        <scheme val="minor"/>
      </rPr>
      <t>)</t>
    </r>
  </si>
  <si>
    <r>
      <t>Maximum current transfer Ratio (k</t>
    </r>
    <r>
      <rPr>
        <vertAlign val="subscript"/>
        <sz val="11"/>
        <color theme="1"/>
        <rFont val="Calibri"/>
        <family val="2"/>
        <scheme val="minor"/>
      </rPr>
      <t>OPTO_max</t>
    </r>
    <r>
      <rPr>
        <sz val="11"/>
        <color theme="1"/>
        <rFont val="Calibri"/>
        <family val="2"/>
        <scheme val="minor"/>
      </rPr>
      <t>)</t>
    </r>
  </si>
  <si>
    <r>
      <t>Worst case diode voltage drop (V</t>
    </r>
    <r>
      <rPr>
        <vertAlign val="subscript"/>
        <sz val="11"/>
        <color theme="1"/>
        <rFont val="Calibri"/>
        <family val="2"/>
        <scheme val="minor"/>
      </rPr>
      <t>D_opto</t>
    </r>
    <r>
      <rPr>
        <sz val="11"/>
        <color theme="1"/>
        <rFont val="Calibri"/>
        <family val="2"/>
        <scheme val="minor"/>
      </rPr>
      <t>)</t>
    </r>
  </si>
  <si>
    <t>Select Feedback type</t>
  </si>
  <si>
    <t>Feedback type</t>
  </si>
  <si>
    <t>Isolated</t>
  </si>
  <si>
    <t>Non-isolated</t>
  </si>
  <si>
    <t>FB_type</t>
  </si>
  <si>
    <t>The type of feedback selected. 1 isolated feedback, 2 non-isolated feedback</t>
  </si>
  <si>
    <t>isolate Feedback calculations</t>
  </si>
  <si>
    <t>Vref_iso</t>
  </si>
  <si>
    <t>External reference voltage. This is needed for isolated feedback designs</t>
  </si>
  <si>
    <t>RFBT_iso</t>
  </si>
  <si>
    <t>RFBB_iso_calc</t>
  </si>
  <si>
    <t>RFBB_iso</t>
  </si>
  <si>
    <t>Calcualted bottom feedback resistor</t>
  </si>
  <si>
    <t>Selected top feedback resistor</t>
  </si>
  <si>
    <t>Selected bottom feedback resistor</t>
  </si>
  <si>
    <t>A/A</t>
  </si>
  <si>
    <r>
      <t>Minimum value for pullup resistor (R</t>
    </r>
    <r>
      <rPr>
        <vertAlign val="subscript"/>
        <sz val="11"/>
        <color theme="1"/>
        <rFont val="Calibri"/>
        <family val="2"/>
        <scheme val="minor"/>
      </rPr>
      <t>PULLUP_min</t>
    </r>
    <r>
      <rPr>
        <sz val="11"/>
        <color theme="1"/>
        <rFont val="Calibri"/>
        <family val="2"/>
        <scheme val="minor"/>
      </rPr>
      <t>)</t>
    </r>
  </si>
  <si>
    <t>Feedback resistors</t>
  </si>
  <si>
    <t>Opto coupler parameters</t>
  </si>
  <si>
    <t>Non-isolated feedback</t>
  </si>
  <si>
    <t>kopto_min</t>
  </si>
  <si>
    <t>kopto_max</t>
  </si>
  <si>
    <t>Minimum CTR of the optocoupler</t>
  </si>
  <si>
    <t>Maximum CTR of the optocoupler</t>
  </si>
  <si>
    <t>Vd_opto</t>
  </si>
  <si>
    <t>Should be the worst case diode drop to ensure feedback works properly over operating conditions</t>
  </si>
  <si>
    <t>Copto</t>
  </si>
  <si>
    <t>Vcomp_max</t>
  </si>
  <si>
    <t>Maximum voltage on the COMP pin</t>
  </si>
  <si>
    <t>Icomp_sink_max</t>
  </si>
  <si>
    <t>Maximum current the COMP pin can sink to keep voltage at 2.5V</t>
  </si>
  <si>
    <t>Rpullup_min</t>
  </si>
  <si>
    <r>
      <t>Pullup voltage (V</t>
    </r>
    <r>
      <rPr>
        <vertAlign val="subscript"/>
        <sz val="11"/>
        <color theme="1"/>
        <rFont val="Calibri"/>
        <family val="2"/>
        <scheme val="minor"/>
      </rPr>
      <t>PULLUP</t>
    </r>
    <r>
      <rPr>
        <sz val="11"/>
        <color theme="1"/>
        <rFont val="Calibri"/>
        <family val="2"/>
        <scheme val="minor"/>
      </rPr>
      <t>)</t>
    </r>
  </si>
  <si>
    <t>This can be selected once the pull up resistor is known. This value will change with Rpullup</t>
  </si>
  <si>
    <t>Vpullup</t>
  </si>
  <si>
    <t>voltage connected to the pullup resistor. This can be the auxwinding or the VCC voltage.</t>
  </si>
  <si>
    <r>
      <t>Selected Pullup Resistor (R</t>
    </r>
    <r>
      <rPr>
        <vertAlign val="subscript"/>
        <sz val="11"/>
        <color theme="1"/>
        <rFont val="Calibri"/>
        <family val="2"/>
        <scheme val="minor"/>
      </rPr>
      <t>PULLUP</t>
    </r>
    <r>
      <rPr>
        <sz val="11"/>
        <color theme="1"/>
        <rFont val="Calibri"/>
        <family val="2"/>
        <scheme val="minor"/>
      </rPr>
      <t>)</t>
    </r>
  </si>
  <si>
    <t>Rpullup</t>
  </si>
  <si>
    <t>Minimum pullup resistor value that will not damage the VCOMP clamp of the LM5155'</t>
  </si>
  <si>
    <t>Selected pullup resistor</t>
  </si>
  <si>
    <t>Bandwidth selection</t>
  </si>
  <si>
    <t>Compensation placement</t>
  </si>
  <si>
    <t>Suggest crossover frequency for the isolated loop. Should be less the 1/5 WzRHP and lower than optocoupler zero</t>
  </si>
  <si>
    <t>CCM Plant Model</t>
  </si>
  <si>
    <t>Step 5: Loop Compensation (CCM operation)</t>
  </si>
  <si>
    <t>RLED</t>
  </si>
  <si>
    <t>DC gain at the minimum input voltage</t>
  </si>
  <si>
    <t>1/5 f RHP</t>
  </si>
  <si>
    <t>fopto</t>
  </si>
  <si>
    <t>optocoupler pole.</t>
  </si>
  <si>
    <t xml:space="preserve">The pole set by the pull up resistor and the opto-coupler capcaitance. </t>
  </si>
  <si>
    <t>fcross_iso</t>
  </si>
  <si>
    <t>fcross_iso_est</t>
  </si>
  <si>
    <t>Selected crossover frequency for the isolated feedback design</t>
  </si>
  <si>
    <t>RLED_max</t>
  </si>
  <si>
    <t>Maximum LED resistor value</t>
  </si>
  <si>
    <r>
      <t>Pullup Resistor (R</t>
    </r>
    <r>
      <rPr>
        <b/>
        <vertAlign val="subscript"/>
        <sz val="11"/>
        <color theme="1"/>
        <rFont val="Calibri"/>
        <family val="2"/>
        <scheme val="minor"/>
      </rPr>
      <t>PULLUP</t>
    </r>
    <r>
      <rPr>
        <b/>
        <sz val="11"/>
        <color theme="1"/>
        <rFont val="Calibri"/>
        <family val="2"/>
        <scheme val="minor"/>
      </rPr>
      <t>) and LED Resistor (R</t>
    </r>
    <r>
      <rPr>
        <b/>
        <vertAlign val="subscript"/>
        <sz val="11"/>
        <color theme="1"/>
        <rFont val="Calibri"/>
        <family val="2"/>
        <scheme val="minor"/>
      </rPr>
      <t>LED</t>
    </r>
    <r>
      <rPr>
        <b/>
        <sz val="11"/>
        <color theme="1"/>
        <rFont val="Calibri"/>
        <family val="2"/>
        <scheme val="minor"/>
      </rPr>
      <t xml:space="preserve">) Selection </t>
    </r>
  </si>
  <si>
    <r>
      <t>Selected LED Resistor (R</t>
    </r>
    <r>
      <rPr>
        <vertAlign val="subscript"/>
        <sz val="11"/>
        <color theme="1"/>
        <rFont val="Calibri"/>
        <family val="2"/>
        <scheme val="minor"/>
      </rPr>
      <t>LED</t>
    </r>
    <r>
      <rPr>
        <sz val="11"/>
        <color theme="1"/>
        <rFont val="Calibri"/>
        <family val="2"/>
        <scheme val="minor"/>
      </rPr>
      <t>)</t>
    </r>
  </si>
  <si>
    <t>Selected LED resistor value</t>
  </si>
  <si>
    <t>RCOMP_iso_calc</t>
  </si>
  <si>
    <t>Rcomp_iso</t>
  </si>
  <si>
    <t>Selecte RCOMP value</t>
  </si>
  <si>
    <t>Ccomp_iso_calc</t>
  </si>
  <si>
    <t>Calcualted Compensation resistor value at the minimum input votlage. WzRHP is the lowest here</t>
  </si>
  <si>
    <t>Ccomp_iso</t>
  </si>
  <si>
    <t>wz_ea_1</t>
  </si>
  <si>
    <t>wz_ea_2</t>
  </si>
  <si>
    <t>wz2_ea</t>
  </si>
  <si>
    <t>wz1_ea</t>
  </si>
  <si>
    <t>Low frequency error complifier 0</t>
  </si>
  <si>
    <t>wpA_ea</t>
  </si>
  <si>
    <t>wpB_ea</t>
  </si>
  <si>
    <t>wpC_ea</t>
  </si>
  <si>
    <t>Pole Coefficients: A</t>
  </si>
  <si>
    <t>Pole Coefficients: C</t>
  </si>
  <si>
    <t>Pole Coefficients: B</t>
  </si>
  <si>
    <t>Suggested bandwidth maximum bandwidth</t>
  </si>
  <si>
    <r>
      <t>Desired Output  ripple voltage (</t>
    </r>
    <r>
      <rPr>
        <sz val="11"/>
        <color theme="1"/>
        <rFont val="Calibri"/>
        <family val="2"/>
      </rPr>
      <t>ΔV</t>
    </r>
    <r>
      <rPr>
        <vertAlign val="subscript"/>
        <sz val="11"/>
        <color theme="1"/>
        <rFont val="Calibri"/>
        <family val="2"/>
      </rPr>
      <t>OUT</t>
    </r>
    <r>
      <rPr>
        <sz val="11"/>
        <color theme="1"/>
        <rFont val="Calibri"/>
        <family val="2"/>
      </rPr>
      <t>)</t>
    </r>
  </si>
  <si>
    <r>
      <t>Maximum LED resistor (R</t>
    </r>
    <r>
      <rPr>
        <vertAlign val="subscript"/>
        <sz val="11"/>
        <color theme="1"/>
        <rFont val="Calibri"/>
        <family val="2"/>
        <scheme val="minor"/>
      </rPr>
      <t>LED_max</t>
    </r>
    <r>
      <rPr>
        <sz val="11"/>
        <color theme="1"/>
        <rFont val="Calibri"/>
        <family val="2"/>
        <scheme val="minor"/>
      </rPr>
      <t>)</t>
    </r>
  </si>
  <si>
    <t xml:space="preserve">POUT3 </t>
  </si>
  <si>
    <t>POUT1_step</t>
  </si>
  <si>
    <t>POUT2_step</t>
  </si>
  <si>
    <t>POUT3_step</t>
  </si>
  <si>
    <t>Primary Winding losses</t>
  </si>
  <si>
    <t>Ptotal</t>
  </si>
  <si>
    <t>ILAVG</t>
  </si>
  <si>
    <t>Primary Winding calculations</t>
  </si>
  <si>
    <t>Doff</t>
  </si>
  <si>
    <t>Ddead</t>
  </si>
  <si>
    <t>Ls1</t>
  </si>
  <si>
    <t>Secondary DCR</t>
  </si>
  <si>
    <t>Rdcr1</t>
  </si>
  <si>
    <t>LOAD1 secondary winding resistance</t>
  </si>
  <si>
    <t>Rdcr2</t>
  </si>
  <si>
    <t>Rdcr3</t>
  </si>
  <si>
    <t>ILAVG2</t>
  </si>
  <si>
    <t>ILAVG1</t>
  </si>
  <si>
    <t>(1-D)sec</t>
  </si>
  <si>
    <t xml:space="preserve">Iripple </t>
  </si>
  <si>
    <t>Ipeak</t>
  </si>
  <si>
    <t>ILRMS1</t>
  </si>
  <si>
    <t>VLOAD1 Power Losses</t>
  </si>
  <si>
    <t>Transformer Losses</t>
  </si>
  <si>
    <t>Diode Losses</t>
  </si>
  <si>
    <r>
      <t>P</t>
    </r>
    <r>
      <rPr>
        <vertAlign val="subscript"/>
        <sz val="11"/>
        <color theme="1"/>
        <rFont val="Calibri"/>
        <family val="2"/>
        <scheme val="minor"/>
      </rPr>
      <t>Qrr</t>
    </r>
    <r>
      <rPr>
        <sz val="11"/>
        <color theme="1"/>
        <rFont val="Calibri"/>
        <family val="2"/>
        <scheme val="minor"/>
      </rPr>
      <t xml:space="preserve"> (W)</t>
    </r>
  </si>
  <si>
    <r>
      <t>P</t>
    </r>
    <r>
      <rPr>
        <vertAlign val="subscript"/>
        <sz val="11"/>
        <color theme="1"/>
        <rFont val="Calibri"/>
        <family val="2"/>
        <scheme val="minor"/>
      </rPr>
      <t>CON</t>
    </r>
    <r>
      <rPr>
        <sz val="11"/>
        <color theme="1"/>
        <rFont val="Calibri"/>
        <family val="2"/>
        <scheme val="minor"/>
      </rPr>
      <t xml:space="preserve"> (W)</t>
    </r>
  </si>
  <si>
    <r>
      <t>PD1</t>
    </r>
    <r>
      <rPr>
        <vertAlign val="subscript"/>
        <sz val="11"/>
        <color theme="1"/>
        <rFont val="Calibri"/>
        <family val="2"/>
        <scheme val="minor"/>
      </rPr>
      <t>_tot</t>
    </r>
    <r>
      <rPr>
        <sz val="11"/>
        <color theme="1"/>
        <rFont val="Calibri"/>
        <family val="2"/>
        <scheme val="minor"/>
      </rPr>
      <t xml:space="preserve"> (W)</t>
    </r>
  </si>
  <si>
    <t>Vd1</t>
  </si>
  <si>
    <t>Qrr1</t>
  </si>
  <si>
    <t>Vd3</t>
  </si>
  <si>
    <t>Qrr3</t>
  </si>
  <si>
    <t>Vd2</t>
  </si>
  <si>
    <t>Qrr2</t>
  </si>
  <si>
    <t>ILAVG3</t>
  </si>
  <si>
    <t>LOAD3</t>
  </si>
  <si>
    <t>MOSFET Losses</t>
  </si>
  <si>
    <t>Leakage and Snubber</t>
  </si>
  <si>
    <t>Psnub</t>
  </si>
  <si>
    <t>Pleak</t>
  </si>
  <si>
    <t>Total Losses</t>
  </si>
  <si>
    <t>Transformer</t>
  </si>
  <si>
    <t>Number of output</t>
  </si>
  <si>
    <t xml:space="preserve">Single </t>
  </si>
  <si>
    <t xml:space="preserve">Double </t>
  </si>
  <si>
    <t>Triple</t>
  </si>
  <si>
    <r>
      <t>Calculated Secondary Side turns (N</t>
    </r>
    <r>
      <rPr>
        <vertAlign val="subscript"/>
        <sz val="11"/>
        <color theme="1"/>
        <rFont val="Calibri"/>
        <family val="2"/>
        <scheme val="minor"/>
      </rPr>
      <t>S2_calc</t>
    </r>
    <r>
      <rPr>
        <sz val="11"/>
        <color theme="1"/>
        <rFont val="Calibri"/>
        <family val="2"/>
        <scheme val="minor"/>
      </rPr>
      <t>)</t>
    </r>
  </si>
  <si>
    <r>
      <t>Maximum Output Current , I</t>
    </r>
    <r>
      <rPr>
        <vertAlign val="subscript"/>
        <sz val="10"/>
        <color theme="1"/>
        <rFont val="Calibri"/>
        <family val="2"/>
        <scheme val="minor"/>
      </rPr>
      <t>LOAD2</t>
    </r>
    <r>
      <rPr>
        <sz val="10"/>
        <color theme="1"/>
        <rFont val="Calibri"/>
        <family val="2"/>
        <scheme val="minor"/>
      </rPr>
      <t xml:space="preserve"> </t>
    </r>
  </si>
  <si>
    <r>
      <t>Output Target Voltage, V</t>
    </r>
    <r>
      <rPr>
        <vertAlign val="subscript"/>
        <sz val="10"/>
        <color theme="1"/>
        <rFont val="Calibri"/>
        <family val="2"/>
        <scheme val="minor"/>
      </rPr>
      <t>LOAD2</t>
    </r>
    <r>
      <rPr>
        <sz val="10"/>
        <color theme="1"/>
        <rFont val="Calibri"/>
        <family val="2"/>
        <scheme val="minor"/>
      </rPr>
      <t xml:space="preserve"> </t>
    </r>
  </si>
  <si>
    <r>
      <t>Selected Secondary Side turns (N</t>
    </r>
    <r>
      <rPr>
        <vertAlign val="subscript"/>
        <sz val="11"/>
        <color theme="1"/>
        <rFont val="Calibri"/>
        <family val="2"/>
        <scheme val="minor"/>
      </rPr>
      <t>S2_</t>
    </r>
    <r>
      <rPr>
        <sz val="11"/>
        <color theme="1"/>
        <rFont val="Calibri"/>
        <family val="2"/>
        <scheme val="minor"/>
      </rPr>
      <t>)</t>
    </r>
  </si>
  <si>
    <t>Number of output rails</t>
  </si>
  <si>
    <t>Load 2 Specificaitons</t>
  </si>
  <si>
    <t>Load 1 Specifications</t>
  </si>
  <si>
    <t>Load 3 Specifications</t>
  </si>
  <si>
    <t>fcross_est</t>
  </si>
  <si>
    <t>Estimated cross over frequency based on the primary winding. 1/5 the cross over frequency. Follows app note</t>
  </si>
  <si>
    <t>Iout1_step</t>
  </si>
  <si>
    <t>50% load step to calculate the output voltage transient.</t>
  </si>
  <si>
    <t>Variable input voltage to model the loop and efficiency calculations</t>
  </si>
  <si>
    <t>LOOP_ISO</t>
  </si>
  <si>
    <t>LOOP_nISO</t>
  </si>
  <si>
    <t xml:space="preserve">Will add this later. </t>
  </si>
  <si>
    <t>Updated</t>
  </si>
  <si>
    <t xml:space="preserve">Mode of operation: </t>
  </si>
  <si>
    <t>CCM</t>
  </si>
  <si>
    <t>Base Calculations of :</t>
  </si>
  <si>
    <t>Can base this value on the capacitve ripple of the output</t>
  </si>
  <si>
    <t xml:space="preserve">Can base this value on the capacitve output </t>
  </si>
  <si>
    <t>should inclued the total capacitance of this calculation</t>
  </si>
  <si>
    <t>50% load step</t>
  </si>
  <si>
    <t>Not Correct. Can just leave this one out for now.</t>
  </si>
  <si>
    <t>Assuming that the voltage drop of the diode is ideal</t>
  </si>
  <si>
    <t>External Compensation? (0-no, 1-yes) If DCM operation always no</t>
  </si>
  <si>
    <t>"Need to update this for isolated. A secondary soft-start should be used</t>
  </si>
  <si>
    <t>"Need to update this for being pulled up on the AUX winding</t>
  </si>
  <si>
    <t>*Need to find a good reference for this</t>
  </si>
  <si>
    <t>Conduction losses are just the average current</t>
  </si>
  <si>
    <r>
      <t>50 S to simplify equations Transconductance, g</t>
    </r>
    <r>
      <rPr>
        <vertAlign val="subscript"/>
        <sz val="10"/>
        <rFont val="Arial"/>
        <family val="2"/>
      </rPr>
      <t>FS,</t>
    </r>
  </si>
  <si>
    <t>LM5155/56  CCM Flyback Controller Design Tool</t>
  </si>
  <si>
    <t>Load 2 Capacitance</t>
  </si>
  <si>
    <r>
      <t>Peak Primary Winding current, IL</t>
    </r>
    <r>
      <rPr>
        <vertAlign val="subscript"/>
        <sz val="10"/>
        <color theme="1"/>
        <rFont val="Calibri"/>
        <family val="2"/>
        <scheme val="minor"/>
      </rPr>
      <t>PK</t>
    </r>
  </si>
  <si>
    <t>Load 1 Diode Specifications</t>
  </si>
  <si>
    <t>Load 2 Diode Specifications</t>
  </si>
  <si>
    <t>Load 3 Diode Specifications</t>
  </si>
  <si>
    <r>
      <t>Secondary (N</t>
    </r>
    <r>
      <rPr>
        <vertAlign val="subscript"/>
        <sz val="11"/>
        <color theme="1"/>
        <rFont val="Calibri"/>
        <family val="2"/>
        <scheme val="minor"/>
      </rPr>
      <t>S1</t>
    </r>
    <r>
      <rPr>
        <sz val="11"/>
        <color theme="1"/>
        <rFont val="Calibri"/>
        <family val="2"/>
        <scheme val="minor"/>
      </rPr>
      <t>) DCR</t>
    </r>
  </si>
  <si>
    <r>
      <t>Selected Secondary Side turns (N</t>
    </r>
    <r>
      <rPr>
        <vertAlign val="subscript"/>
        <sz val="11"/>
        <color theme="1"/>
        <rFont val="Calibri"/>
        <family val="2"/>
        <scheme val="minor"/>
      </rPr>
      <t>S1</t>
    </r>
    <r>
      <rPr>
        <sz val="11"/>
        <color theme="1"/>
        <rFont val="Calibri"/>
        <family val="2"/>
        <scheme val="minor"/>
      </rPr>
      <t>)</t>
    </r>
  </si>
  <si>
    <r>
      <t>Calculated Secondary Side turns (N</t>
    </r>
    <r>
      <rPr>
        <vertAlign val="subscript"/>
        <sz val="11"/>
        <color theme="1"/>
        <rFont val="Calibri"/>
        <family val="2"/>
        <scheme val="minor"/>
      </rPr>
      <t>S1_calc</t>
    </r>
    <r>
      <rPr>
        <sz val="11"/>
        <color theme="1"/>
        <rFont val="Calibri"/>
        <family val="2"/>
        <scheme val="minor"/>
      </rPr>
      <t>)</t>
    </r>
  </si>
  <si>
    <t>Load 3 Capacitance</t>
  </si>
  <si>
    <t xml:space="preserve">Minimum Load 1 output capacitance </t>
  </si>
  <si>
    <t xml:space="preserve">Minimum Load 2 output capacitance </t>
  </si>
  <si>
    <t xml:space="preserve">Minimum Load 3 output capacitance </t>
  </si>
  <si>
    <t>DCM_VIN_min</t>
  </si>
  <si>
    <t>Discontinous conduction mode at minimum input voltage</t>
  </si>
  <si>
    <t>DCM_VIN_nom</t>
  </si>
  <si>
    <t>DCM_VIN_max</t>
  </si>
  <si>
    <t>Discontinous conduction mode at nominal input voltage</t>
  </si>
  <si>
    <t>Discontinous conduction mode at maximum input voltage</t>
  </si>
  <si>
    <r>
      <t>Phototransistor output capacitance Capacitance (C</t>
    </r>
    <r>
      <rPr>
        <vertAlign val="subscript"/>
        <sz val="11"/>
        <color theme="1"/>
        <rFont val="Calibri"/>
        <family val="2"/>
        <scheme val="minor"/>
      </rPr>
      <t>OPTO</t>
    </r>
    <r>
      <rPr>
        <sz val="11"/>
        <color theme="1"/>
        <rFont val="Calibri"/>
        <family val="2"/>
        <scheme val="minor"/>
      </rPr>
      <t>)</t>
    </r>
  </si>
  <si>
    <r>
      <t>Phototransistor collector to emitter saturation votltage (V</t>
    </r>
    <r>
      <rPr>
        <vertAlign val="subscript"/>
        <sz val="11"/>
        <color theme="1"/>
        <rFont val="Calibri"/>
        <family val="2"/>
        <scheme val="minor"/>
      </rPr>
      <t>CE_sat</t>
    </r>
    <r>
      <rPr>
        <sz val="11"/>
        <color theme="1"/>
        <rFont val="Calibri"/>
        <family val="2"/>
        <scheme val="minor"/>
      </rPr>
      <t>)</t>
    </r>
  </si>
  <si>
    <r>
      <t>Reverse Recovery Charge (Q</t>
    </r>
    <r>
      <rPr>
        <vertAlign val="subscript"/>
        <sz val="11"/>
        <color theme="1"/>
        <rFont val="Calibri"/>
        <family val="2"/>
        <scheme val="minor"/>
      </rPr>
      <t>RR_3</t>
    </r>
    <r>
      <rPr>
        <sz val="11"/>
        <color theme="1"/>
        <rFont val="Calibri"/>
        <family val="2"/>
        <scheme val="minor"/>
      </rPr>
      <t>)</t>
    </r>
  </si>
  <si>
    <r>
      <t>Reverse Recovery Charge (Q</t>
    </r>
    <r>
      <rPr>
        <vertAlign val="subscript"/>
        <sz val="11"/>
        <color theme="1"/>
        <rFont val="Calibri"/>
        <family val="2"/>
        <scheme val="minor"/>
      </rPr>
      <t>RR_1</t>
    </r>
    <r>
      <rPr>
        <sz val="11"/>
        <color theme="1"/>
        <rFont val="Calibri"/>
        <family val="2"/>
        <scheme val="minor"/>
      </rPr>
      <t>)</t>
    </r>
  </si>
  <si>
    <r>
      <t>Reverse Recovery Charge (Q</t>
    </r>
    <r>
      <rPr>
        <vertAlign val="subscript"/>
        <sz val="11"/>
        <color theme="1"/>
        <rFont val="Calibri"/>
        <family val="2"/>
        <scheme val="minor"/>
      </rPr>
      <t>RR_2</t>
    </r>
    <r>
      <rPr>
        <sz val="11"/>
        <color theme="1"/>
        <rFont val="Calibri"/>
        <family val="2"/>
        <scheme val="minor"/>
      </rPr>
      <t>)</t>
    </r>
  </si>
  <si>
    <r>
      <t>Diode Forward Voltage drop (V</t>
    </r>
    <r>
      <rPr>
        <vertAlign val="subscript"/>
        <sz val="11"/>
        <color theme="1"/>
        <rFont val="Calibri"/>
        <family val="2"/>
        <scheme val="minor"/>
      </rPr>
      <t>D1</t>
    </r>
    <r>
      <rPr>
        <sz val="11"/>
        <color theme="1"/>
        <rFont val="Calibri"/>
        <family val="2"/>
        <scheme val="minor"/>
      </rPr>
      <t>)</t>
    </r>
  </si>
  <si>
    <r>
      <t>Diode Forward Voltage drop (V</t>
    </r>
    <r>
      <rPr>
        <vertAlign val="subscript"/>
        <sz val="11"/>
        <color theme="1"/>
        <rFont val="Calibri"/>
        <family val="2"/>
        <scheme val="minor"/>
      </rPr>
      <t>D2</t>
    </r>
    <r>
      <rPr>
        <sz val="11"/>
        <color theme="1"/>
        <rFont val="Calibri"/>
        <family val="2"/>
        <scheme val="minor"/>
      </rPr>
      <t>)</t>
    </r>
  </si>
  <si>
    <r>
      <t>Diode Forward Voltage drop (V</t>
    </r>
    <r>
      <rPr>
        <vertAlign val="subscript"/>
        <sz val="11"/>
        <color theme="1"/>
        <rFont val="Calibri"/>
        <family val="2"/>
        <scheme val="minor"/>
      </rPr>
      <t>D3</t>
    </r>
    <r>
      <rPr>
        <sz val="11"/>
        <color theme="1"/>
        <rFont val="Calibri"/>
        <family val="2"/>
        <scheme val="minor"/>
      </rPr>
      <t>)</t>
    </r>
  </si>
  <si>
    <r>
      <t>Primary Winding Resistance (R</t>
    </r>
    <r>
      <rPr>
        <vertAlign val="subscript"/>
        <sz val="10"/>
        <color theme="1"/>
        <rFont val="Calibri"/>
        <family val="2"/>
        <scheme val="minor"/>
      </rPr>
      <t>DCR</t>
    </r>
    <r>
      <rPr>
        <sz val="10"/>
        <color theme="1"/>
        <rFont val="Calibri"/>
        <family val="2"/>
        <scheme val="minor"/>
      </rPr>
      <t>)</t>
    </r>
  </si>
  <si>
    <t>Mar-2020</t>
  </si>
  <si>
    <t>Version Number</t>
  </si>
  <si>
    <t>Version History</t>
  </si>
  <si>
    <t>Version</t>
  </si>
  <si>
    <t>Change List Description</t>
  </si>
  <si>
    <t>1.0.0</t>
  </si>
  <si>
    <t>Initial Release</t>
  </si>
  <si>
    <t>1.0.1</t>
  </si>
  <si>
    <t>Rev 1.0.1</t>
  </si>
  <si>
    <t>VIN_op_max_56</t>
  </si>
  <si>
    <t>Maximum BIAS pin operating voltage LM5156</t>
  </si>
  <si>
    <t>Updated Schematics</t>
  </si>
  <si>
    <t>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</si>
</sst>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0"/>
    <numFmt numFmtId="166" formatCode="0.000E+00"/>
    <numFmt numFmtId="167" formatCode="0.0000"/>
    <numFmt numFmtId="168" formatCode="0.0000E+00"/>
    <numFmt numFmtId="169" formatCode="0.0"/>
    <numFmt numFmtId="170" formatCode="0.0000000E+00"/>
    <numFmt numFmtId="171" formatCode="0.00000000"/>
    <numFmt numFmtId="172" formatCode="0.0000000"/>
  </numFmts>
  <fonts count="59"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vertAlign val="subscript"/>
      <sz val="11"/>
      <color theme="1"/>
      <name val="Calibri"/>
      <family val="2"/>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sz val="18"/>
      <color theme="0"/>
      <name val="Calibri"/>
      <family val="2"/>
      <scheme val="minor"/>
    </font>
    <font>
      <vertAlign val="subscript"/>
      <sz val="10"/>
      <name val="Arial"/>
      <family val="2"/>
    </font>
    <font>
      <vertAlign val="subscript"/>
      <sz val="11"/>
      <name val="Calibri"/>
      <family val="2"/>
      <scheme val="minor"/>
    </font>
    <font>
      <sz val="11"/>
      <color rgb="FFFF0000"/>
      <name val="Calibri"/>
      <family val="2"/>
      <scheme val="minor"/>
    </font>
    <font>
      <b/>
      <vertAlign val="subscript"/>
      <sz val="11"/>
      <color theme="1"/>
      <name val="Calibri"/>
      <family val="2"/>
      <scheme val="minor"/>
    </font>
    <font>
      <b/>
      <sz val="11"/>
      <name val="Calibri"/>
      <family val="2"/>
      <scheme val="minor"/>
    </font>
    <font>
      <u/>
      <sz val="10"/>
      <name val="Calibri"/>
      <family val="2"/>
      <scheme val="minor"/>
    </font>
    <font>
      <b/>
      <sz val="12"/>
      <color rgb="FF0070C0"/>
      <name val="Calibri"/>
      <family val="2"/>
      <scheme val="minor"/>
    </font>
    <font>
      <sz val="11"/>
      <color rgb="FF0070C0"/>
      <name val="Calibri"/>
      <family val="2"/>
      <scheme val="minor"/>
    </font>
    <font>
      <sz val="14"/>
      <color theme="1"/>
      <name val="Calibri"/>
      <family val="2"/>
      <scheme val="minor"/>
    </font>
    <font>
      <b/>
      <sz val="14"/>
      <color rgb="FF0070C0"/>
      <name val="Calibri"/>
      <family val="2"/>
      <scheme val="minor"/>
    </font>
    <font>
      <b/>
      <sz val="14"/>
      <color theme="4"/>
      <name val="Calibri"/>
      <family val="2"/>
      <scheme val="minor"/>
    </font>
    <font>
      <b/>
      <u/>
      <sz val="9"/>
      <color indexed="81"/>
      <name val="Tahoma"/>
      <family val="2"/>
    </font>
    <font>
      <sz val="9"/>
      <color indexed="10"/>
      <name val="Tahoma"/>
      <family val="2"/>
    </font>
    <font>
      <b/>
      <u/>
      <sz val="11"/>
      <color indexed="81"/>
      <name val="Tahoma"/>
      <family val="2"/>
    </font>
    <font>
      <sz val="10"/>
      <color indexed="81"/>
      <name val="Tahoma"/>
      <family val="2"/>
    </font>
    <font>
      <b/>
      <sz val="11"/>
      <color indexed="81"/>
      <name val="Tahoma"/>
      <family val="2"/>
    </font>
    <font>
      <sz val="10"/>
      <color indexed="10"/>
      <name val="Tahoma"/>
      <family val="2"/>
    </font>
    <font>
      <b/>
      <sz val="10"/>
      <color indexed="10"/>
      <name val="Tahoma"/>
      <family val="2"/>
    </font>
    <font>
      <b/>
      <sz val="9"/>
      <color indexed="10"/>
      <name val="Tahoma"/>
      <family val="2"/>
    </font>
    <font>
      <b/>
      <u/>
      <vertAlign val="subscript"/>
      <sz val="9"/>
      <color indexed="81"/>
      <name val="Tahoma"/>
      <family val="2"/>
    </font>
    <font>
      <vertAlign val="subscript"/>
      <sz val="9"/>
      <color indexed="81"/>
      <name val="Tahoma"/>
      <family val="2"/>
    </font>
    <font>
      <b/>
      <u/>
      <sz val="10"/>
      <color indexed="81"/>
      <name val="Tahoma"/>
      <family val="2"/>
    </font>
    <font>
      <sz val="9"/>
      <color indexed="81"/>
      <name val="Calibri"/>
      <family val="2"/>
    </font>
    <font>
      <u/>
      <sz val="11"/>
      <color theme="10"/>
      <name val="Calibri"/>
      <family val="2"/>
      <scheme val="minor"/>
    </font>
    <font>
      <sz val="11"/>
      <color rgb="FF000000"/>
      <name val="Arial"/>
      <family val="2"/>
    </font>
    <font>
      <b/>
      <sz val="10"/>
      <color rgb="FF000000"/>
      <name val="Arial"/>
      <family val="2"/>
    </font>
    <font>
      <sz val="10"/>
      <color rgb="FF000000"/>
      <name val="Arial"/>
      <family val="2"/>
    </font>
    <font>
      <b/>
      <u/>
      <sz val="10"/>
      <color rgb="FF0000FF"/>
      <name val="Arial"/>
      <family val="2"/>
    </font>
    <font>
      <b/>
      <sz val="10"/>
      <color rgb="FFFFFFFF"/>
      <name val="Arial"/>
      <family val="2"/>
    </font>
    <font>
      <b/>
      <u/>
      <sz val="11"/>
      <color rgb="FF0000FF"/>
      <name val="Arial"/>
      <family val="2"/>
    </font>
    <font>
      <b/>
      <sz val="9"/>
      <color indexed="52"/>
      <name val="Tahoma"/>
      <family val="2"/>
    </font>
  </fonts>
  <fills count="20">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theme="1"/>
        <bgColor indexed="64"/>
      </patternFill>
    </fill>
    <fill>
      <patternFill patternType="solid">
        <fgColor rgb="FFDE0000"/>
        <bgColor rgb="FF000000"/>
      </patternFill>
    </fill>
    <fill>
      <patternFill patternType="solid">
        <fgColor rgb="FF000000"/>
        <bgColor rgb="FF000000"/>
      </patternFill>
    </fill>
  </fills>
  <borders count="2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style="thin">
        <color indexed="64"/>
      </right>
      <top style="thin">
        <color indexed="64"/>
      </top>
      <bottom/>
      <diagonal/>
    </border>
  </borders>
  <cellStyleXfs count="9">
    <xf numFmtId="0" fontId="0" fillId="0" borderId="0"/>
    <xf numFmtId="0" fontId="3" fillId="0" borderId="0"/>
    <xf numFmtId="164" fontId="4" fillId="0" borderId="0" applyFont="0" applyFill="0" applyBorder="0" applyAlignment="0" applyProtection="0"/>
    <xf numFmtId="0" fontId="4" fillId="0" borderId="0"/>
    <xf numFmtId="0" fontId="1" fillId="0" borderId="0"/>
    <xf numFmtId="164" fontId="1" fillId="0" borderId="0" applyFont="0" applyFill="0" applyBorder="0" applyAlignment="0" applyProtection="0"/>
    <xf numFmtId="0" fontId="4" fillId="0" borderId="0"/>
    <xf numFmtId="0" fontId="4" fillId="0" borderId="0"/>
    <xf numFmtId="0" fontId="51" fillId="0" borderId="0" applyNumberFormat="0" applyFill="0" applyBorder="0" applyAlignment="0" applyProtection="0"/>
  </cellStyleXfs>
  <cellXfs count="243">
    <xf numFmtId="0" fontId="0" fillId="0" borderId="0" xfId="0"/>
    <xf numFmtId="0" fontId="0" fillId="9" borderId="0" xfId="0" applyFill="1"/>
    <xf numFmtId="0" fontId="16" fillId="0" borderId="0" xfId="0" applyFont="1"/>
    <xf numFmtId="0" fontId="0" fillId="10" borderId="0" xfId="0" applyFill="1"/>
    <xf numFmtId="0" fontId="4" fillId="0" borderId="0" xfId="3"/>
    <xf numFmtId="0" fontId="5" fillId="0" borderId="0" xfId="3" applyFont="1" applyAlignment="1">
      <alignment horizontal="center"/>
    </xf>
    <xf numFmtId="0" fontId="5" fillId="3" borderId="0" xfId="3" applyFont="1" applyFill="1" applyAlignment="1">
      <alignment horizontal="center"/>
    </xf>
    <xf numFmtId="0" fontId="5" fillId="5" borderId="0" xfId="3" applyFont="1" applyFill="1" applyAlignment="1">
      <alignment horizontal="center"/>
    </xf>
    <xf numFmtId="0" fontId="5" fillId="0" borderId="0" xfId="3" applyFont="1"/>
    <xf numFmtId="0" fontId="5" fillId="4" borderId="0" xfId="3" applyFont="1" applyFill="1" applyAlignment="1">
      <alignment horizontal="center"/>
    </xf>
    <xf numFmtId="0" fontId="9" fillId="0" borderId="0" xfId="3" applyFont="1"/>
    <xf numFmtId="2" fontId="0" fillId="10" borderId="0" xfId="0" applyNumberFormat="1" applyFill="1"/>
    <xf numFmtId="0" fontId="0" fillId="11" borderId="0" xfId="0" applyFill="1"/>
    <xf numFmtId="166" fontId="0" fillId="9" borderId="0" xfId="0" applyNumberFormat="1" applyFill="1"/>
    <xf numFmtId="0" fontId="5" fillId="0" borderId="0" xfId="3" applyFont="1" applyAlignment="1">
      <alignment horizontal="right"/>
    </xf>
    <xf numFmtId="0" fontId="4" fillId="0" borderId="0" xfId="3" applyAlignment="1">
      <alignment horizontal="center"/>
    </xf>
    <xf numFmtId="165" fontId="0" fillId="9" borderId="0" xfId="0" applyNumberFormat="1" applyFill="1"/>
    <xf numFmtId="2" fontId="0" fillId="9" borderId="0" xfId="0" applyNumberFormat="1" applyFill="1"/>
    <xf numFmtId="1" fontId="0" fillId="9" borderId="0" xfId="0" applyNumberFormat="1" applyFill="1"/>
    <xf numFmtId="0" fontId="15" fillId="0" borderId="0" xfId="0" applyFont="1"/>
    <xf numFmtId="165" fontId="0" fillId="0" borderId="0" xfId="0" applyNumberFormat="1"/>
    <xf numFmtId="11" fontId="14" fillId="10" borderId="0" xfId="0" applyNumberFormat="1" applyFont="1" applyFill="1"/>
    <xf numFmtId="0" fontId="17" fillId="0" borderId="0" xfId="0" applyFont="1"/>
    <xf numFmtId="168" fontId="0" fillId="9" borderId="0" xfId="0" applyNumberFormat="1" applyFill="1"/>
    <xf numFmtId="11" fontId="0" fillId="9" borderId="0" xfId="0" applyNumberFormat="1" applyFill="1"/>
    <xf numFmtId="0" fontId="5" fillId="0" borderId="0" xfId="3" applyFont="1" applyAlignment="1">
      <alignment horizontal="left"/>
    </xf>
    <xf numFmtId="167" fontId="0" fillId="9" borderId="0" xfId="0" applyNumberFormat="1" applyFill="1"/>
    <xf numFmtId="0" fontId="14" fillId="10" borderId="0" xfId="0" applyFont="1" applyFill="1"/>
    <xf numFmtId="0" fontId="19" fillId="0" borderId="0" xfId="0" applyFont="1"/>
    <xf numFmtId="0" fontId="21" fillId="0" borderId="0" xfId="0" applyFont="1"/>
    <xf numFmtId="0" fontId="0" fillId="12" borderId="0" xfId="0" applyFill="1"/>
    <xf numFmtId="1" fontId="0" fillId="0" borderId="0" xfId="0" applyNumberFormat="1"/>
    <xf numFmtId="0" fontId="22" fillId="0" borderId="0" xfId="0" applyFont="1"/>
    <xf numFmtId="0" fontId="23" fillId="0" borderId="0" xfId="0" applyFont="1"/>
    <xf numFmtId="165" fontId="4" fillId="0" borderId="0" xfId="3" applyNumberFormat="1"/>
    <xf numFmtId="2" fontId="0" fillId="0" borderId="0" xfId="0" applyNumberFormat="1"/>
    <xf numFmtId="0" fontId="24" fillId="0" borderId="0" xfId="0" applyFont="1"/>
    <xf numFmtId="2" fontId="0" fillId="0" borderId="5" xfId="0" applyNumberFormat="1" applyBorder="1"/>
    <xf numFmtId="2" fontId="0" fillId="0" borderId="7" xfId="0" applyNumberFormat="1" applyBorder="1"/>
    <xf numFmtId="0" fontId="4" fillId="0" borderId="8" xfId="3" applyBorder="1"/>
    <xf numFmtId="0" fontId="0" fillId="0" borderId="8" xfId="0" applyBorder="1"/>
    <xf numFmtId="0" fontId="4" fillId="0" borderId="9" xfId="3" applyBorder="1"/>
    <xf numFmtId="0" fontId="0" fillId="0" borderId="5" xfId="0" applyBorder="1"/>
    <xf numFmtId="0" fontId="4" fillId="0" borderId="7" xfId="3" applyBorder="1"/>
    <xf numFmtId="0" fontId="0" fillId="0" borderId="6" xfId="0" applyBorder="1"/>
    <xf numFmtId="0" fontId="0" fillId="0" borderId="7" xfId="0" applyBorder="1"/>
    <xf numFmtId="0" fontId="0" fillId="0" borderId="9" xfId="0" applyBorder="1"/>
    <xf numFmtId="165" fontId="0" fillId="0" borderId="8" xfId="0" applyNumberFormat="1" applyBorder="1"/>
    <xf numFmtId="0" fontId="4" fillId="0" borderId="5" xfId="3" applyBorder="1"/>
    <xf numFmtId="2" fontId="0" fillId="0" borderId="10" xfId="0" applyNumberFormat="1" applyBorder="1"/>
    <xf numFmtId="0" fontId="25" fillId="0" borderId="0" xfId="0" applyFont="1"/>
    <xf numFmtId="0" fontId="26" fillId="0" borderId="0" xfId="3" applyFont="1"/>
    <xf numFmtId="169" fontId="0" fillId="0" borderId="0" xfId="0" applyNumberFormat="1"/>
    <xf numFmtId="0" fontId="0" fillId="0" borderId="2" xfId="0" applyBorder="1"/>
    <xf numFmtId="165" fontId="4" fillId="0" borderId="3" xfId="3" applyNumberFormat="1" applyBorder="1"/>
    <xf numFmtId="0" fontId="4" fillId="0" borderId="3" xfId="3" applyBorder="1"/>
    <xf numFmtId="0" fontId="0" fillId="0" borderId="3" xfId="0" applyBorder="1"/>
    <xf numFmtId="0" fontId="4" fillId="0" borderId="2" xfId="3" applyBorder="1"/>
    <xf numFmtId="165" fontId="0" fillId="0" borderId="3" xfId="0" applyNumberFormat="1" applyBorder="1"/>
    <xf numFmtId="0" fontId="0" fillId="0" borderId="4" xfId="0" applyBorder="1"/>
    <xf numFmtId="165" fontId="4" fillId="0" borderId="8" xfId="3" applyNumberFormat="1" applyBorder="1"/>
    <xf numFmtId="0" fontId="4" fillId="0" borderId="6" xfId="3" applyBorder="1"/>
    <xf numFmtId="0" fontId="0" fillId="0" borderId="10" xfId="0" applyBorder="1"/>
    <xf numFmtId="0" fontId="0" fillId="0" borderId="11" xfId="0" applyBorder="1"/>
    <xf numFmtId="165" fontId="4" fillId="0" borderId="11" xfId="3" applyNumberFormat="1" applyBorder="1"/>
    <xf numFmtId="0" fontId="4" fillId="0" borderId="11" xfId="3" applyBorder="1"/>
    <xf numFmtId="0" fontId="4" fillId="0" borderId="10" xfId="3" applyBorder="1"/>
    <xf numFmtId="165" fontId="0" fillId="0" borderId="11" xfId="0" applyNumberFormat="1" applyBorder="1"/>
    <xf numFmtId="0" fontId="0" fillId="0" borderId="12" xfId="0" applyBorder="1"/>
    <xf numFmtId="1" fontId="0" fillId="0" borderId="4" xfId="0" applyNumberFormat="1" applyBorder="1"/>
    <xf numFmtId="1" fontId="0" fillId="0" borderId="6" xfId="0" applyNumberFormat="1" applyBorder="1"/>
    <xf numFmtId="1" fontId="0" fillId="0" borderId="9" xfId="0" applyNumberFormat="1" applyBorder="1"/>
    <xf numFmtId="0" fontId="0" fillId="14" borderId="0" xfId="0" applyFill="1"/>
    <xf numFmtId="0" fontId="4" fillId="0" borderId="0" xfId="3" applyAlignment="1">
      <alignment horizontal="left"/>
    </xf>
    <xf numFmtId="0" fontId="4" fillId="0" borderId="8" xfId="3" applyBorder="1" applyAlignment="1">
      <alignment horizontal="left"/>
    </xf>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Alignment="1" applyProtection="1">
      <alignment horizontal="right"/>
      <protection hidden="1"/>
    </xf>
    <xf numFmtId="0" fontId="14" fillId="8" borderId="0" xfId="0" applyFont="1" applyFill="1" applyProtection="1">
      <protection hidden="1"/>
    </xf>
    <xf numFmtId="0" fontId="0" fillId="15" borderId="0" xfId="0" applyFill="1" applyProtection="1">
      <protection hidden="1"/>
    </xf>
    <xf numFmtId="0" fontId="0" fillId="8" borderId="0" xfId="0" applyFill="1" applyProtection="1">
      <protection hidden="1"/>
    </xf>
    <xf numFmtId="0" fontId="0" fillId="8" borderId="0" xfId="0" applyFill="1" applyAlignment="1" applyProtection="1">
      <alignment horizontal="right"/>
      <protection hidden="1"/>
    </xf>
    <xf numFmtId="0" fontId="2" fillId="8" borderId="0" xfId="0" applyFont="1" applyFill="1" applyProtection="1">
      <protection hidden="1"/>
    </xf>
    <xf numFmtId="0" fontId="0" fillId="7" borderId="0" xfId="0" applyFill="1" applyProtection="1">
      <protection hidden="1"/>
    </xf>
    <xf numFmtId="0" fontId="2" fillId="8" borderId="0" xfId="0" quotePrefix="1" applyFont="1" applyFill="1" applyProtection="1">
      <protection hidden="1"/>
    </xf>
    <xf numFmtId="0" fontId="0" fillId="8" borderId="1" xfId="0" applyFill="1" applyBorder="1" applyProtection="1">
      <protection hidden="1"/>
    </xf>
    <xf numFmtId="0" fontId="0" fillId="8" borderId="1" xfId="0" applyFill="1" applyBorder="1" applyAlignment="1" applyProtection="1">
      <alignment horizontal="right"/>
      <protection hidden="1"/>
    </xf>
    <xf numFmtId="0" fontId="14" fillId="8" borderId="1" xfId="0" applyFont="1" applyFill="1" applyBorder="1" applyProtection="1">
      <protection hidden="1"/>
    </xf>
    <xf numFmtId="0" fontId="0" fillId="15" borderId="1" xfId="0" applyFill="1" applyBorder="1" applyProtection="1">
      <protection hidden="1"/>
    </xf>
    <xf numFmtId="0" fontId="0" fillId="16" borderId="0" xfId="0" applyFill="1" applyProtection="1">
      <protection hidden="1"/>
    </xf>
    <xf numFmtId="0" fontId="0" fillId="16" borderId="0" xfId="0" applyFill="1" applyAlignment="1" applyProtection="1">
      <alignment horizontal="right"/>
      <protection hidden="1"/>
    </xf>
    <xf numFmtId="49" fontId="0" fillId="16" borderId="0" xfId="0" applyNumberFormat="1" applyFill="1" applyProtection="1">
      <protection hidden="1"/>
    </xf>
    <xf numFmtId="0" fontId="0" fillId="16" borderId="2" xfId="0" applyFill="1" applyBorder="1" applyProtection="1">
      <protection hidden="1"/>
    </xf>
    <xf numFmtId="0" fontId="0" fillId="16" borderId="3" xfId="0" applyFill="1" applyBorder="1" applyProtection="1">
      <protection hidden="1"/>
    </xf>
    <xf numFmtId="0" fontId="12" fillId="16" borderId="3" xfId="3" applyFont="1" applyFill="1" applyBorder="1" applyAlignment="1" applyProtection="1">
      <alignment horizontal="right"/>
      <protection hidden="1"/>
    </xf>
    <xf numFmtId="0" fontId="0" fillId="16" borderId="4" xfId="0" applyFill="1" applyBorder="1" applyProtection="1">
      <protection hidden="1"/>
    </xf>
    <xf numFmtId="0" fontId="0" fillId="16" borderId="5" xfId="0" applyFill="1" applyBorder="1" applyProtection="1">
      <protection hidden="1"/>
    </xf>
    <xf numFmtId="0" fontId="12" fillId="16" borderId="0" xfId="3" applyFont="1" applyFill="1" applyAlignment="1" applyProtection="1">
      <alignment horizontal="right"/>
      <protection hidden="1"/>
    </xf>
    <xf numFmtId="0" fontId="0" fillId="16" borderId="6" xfId="0" applyFill="1" applyBorder="1" applyProtection="1">
      <protection hidden="1"/>
    </xf>
    <xf numFmtId="0" fontId="12" fillId="16" borderId="0" xfId="0" applyFont="1" applyFill="1" applyProtection="1">
      <protection hidden="1"/>
    </xf>
    <xf numFmtId="0" fontId="0" fillId="16" borderId="8" xfId="0" applyFill="1" applyBorder="1" applyProtection="1">
      <protection hidden="1"/>
    </xf>
    <xf numFmtId="0" fontId="0" fillId="16" borderId="9" xfId="0" applyFill="1" applyBorder="1" applyProtection="1">
      <protection hidden="1"/>
    </xf>
    <xf numFmtId="0" fontId="0" fillId="16" borderId="7" xfId="0" applyFill="1" applyBorder="1" applyProtection="1">
      <protection hidden="1"/>
    </xf>
    <xf numFmtId="0" fontId="12" fillId="16" borderId="8" xfId="3" applyFont="1" applyFill="1" applyBorder="1" applyAlignment="1" applyProtection="1">
      <alignment horizontal="right"/>
      <protection hidden="1"/>
    </xf>
    <xf numFmtId="0" fontId="16" fillId="16" borderId="6" xfId="0" applyFont="1" applyFill="1" applyBorder="1" applyProtection="1">
      <protection hidden="1"/>
    </xf>
    <xf numFmtId="0" fontId="0" fillId="16" borderId="8" xfId="0" applyFill="1" applyBorder="1" applyAlignment="1" applyProtection="1">
      <alignment horizontal="right"/>
      <protection hidden="1"/>
    </xf>
    <xf numFmtId="0" fontId="16" fillId="16" borderId="9" xfId="0" applyFont="1" applyFill="1" applyBorder="1" applyProtection="1">
      <protection hidden="1"/>
    </xf>
    <xf numFmtId="0" fontId="0" fillId="16" borderId="3" xfId="0" applyFill="1" applyBorder="1" applyAlignment="1" applyProtection="1">
      <alignment horizontal="right"/>
      <protection hidden="1"/>
    </xf>
    <xf numFmtId="0" fontId="15" fillId="16" borderId="2" xfId="0" applyFont="1" applyFill="1" applyBorder="1" applyProtection="1">
      <protection hidden="1"/>
    </xf>
    <xf numFmtId="0" fontId="14" fillId="16" borderId="3" xfId="0" applyFont="1" applyFill="1" applyBorder="1" applyAlignment="1" applyProtection="1">
      <alignment horizontal="right"/>
      <protection hidden="1"/>
    </xf>
    <xf numFmtId="0" fontId="15" fillId="16" borderId="5" xfId="0" applyFont="1" applyFill="1" applyBorder="1" applyProtection="1">
      <protection hidden="1"/>
    </xf>
    <xf numFmtId="0" fontId="22" fillId="16" borderId="0" xfId="0" applyFont="1" applyFill="1" applyAlignment="1" applyProtection="1">
      <alignment horizontal="right"/>
      <protection hidden="1"/>
    </xf>
    <xf numFmtId="0" fontId="0" fillId="16" borderId="0" xfId="0" applyFill="1" applyAlignment="1" applyProtection="1">
      <alignment horizontal="center"/>
      <protection hidden="1"/>
    </xf>
    <xf numFmtId="1" fontId="0" fillId="16" borderId="0" xfId="0" applyNumberFormat="1" applyFill="1" applyProtection="1">
      <protection hidden="1"/>
    </xf>
    <xf numFmtId="0" fontId="0" fillId="0" borderId="0" xfId="0" applyProtection="1">
      <protection hidden="1"/>
    </xf>
    <xf numFmtId="0" fontId="27" fillId="13" borderId="0" xfId="0" applyFont="1" applyFill="1" applyProtection="1">
      <protection hidden="1"/>
    </xf>
    <xf numFmtId="0" fontId="0" fillId="13" borderId="0" xfId="0" applyFill="1" applyProtection="1">
      <protection hidden="1"/>
    </xf>
    <xf numFmtId="0" fontId="0" fillId="13" borderId="0" xfId="0" applyFill="1" applyAlignment="1" applyProtection="1">
      <alignment horizontal="right"/>
      <protection hidden="1"/>
    </xf>
    <xf numFmtId="0" fontId="0" fillId="17" borderId="0" xfId="0" applyFill="1" applyProtection="1">
      <protection hidden="1"/>
    </xf>
    <xf numFmtId="0" fontId="4" fillId="16" borderId="3" xfId="3" applyFill="1" applyBorder="1" applyAlignment="1" applyProtection="1">
      <alignment horizontal="right"/>
      <protection hidden="1"/>
    </xf>
    <xf numFmtId="0" fontId="4" fillId="16" borderId="4" xfId="3" applyFill="1" applyBorder="1" applyProtection="1">
      <protection hidden="1"/>
    </xf>
    <xf numFmtId="0" fontId="4" fillId="16" borderId="0" xfId="3" applyFill="1" applyAlignment="1" applyProtection="1">
      <alignment horizontal="right"/>
      <protection hidden="1"/>
    </xf>
    <xf numFmtId="0" fontId="4" fillId="16" borderId="6" xfId="3" applyFill="1" applyBorder="1" applyProtection="1">
      <protection hidden="1"/>
    </xf>
    <xf numFmtId="0" fontId="4" fillId="16" borderId="8" xfId="3" applyFill="1" applyBorder="1" applyAlignment="1" applyProtection="1">
      <alignment horizontal="right"/>
      <protection hidden="1"/>
    </xf>
    <xf numFmtId="0" fontId="4" fillId="16" borderId="9" xfId="3" applyFill="1" applyBorder="1" applyProtection="1">
      <protection hidden="1"/>
    </xf>
    <xf numFmtId="0" fontId="0" fillId="15" borderId="0" xfId="0" applyFill="1" applyAlignment="1" applyProtection="1">
      <alignment horizontal="right"/>
      <protection hidden="1"/>
    </xf>
    <xf numFmtId="0" fontId="14" fillId="15" borderId="0" xfId="0" applyFont="1" applyFill="1" applyProtection="1">
      <protection hidden="1"/>
    </xf>
    <xf numFmtId="0" fontId="30" fillId="16" borderId="0" xfId="0" applyFont="1" applyFill="1" applyProtection="1">
      <protection hidden="1"/>
    </xf>
    <xf numFmtId="0" fontId="0" fillId="7" borderId="14" xfId="0" applyFill="1" applyBorder="1" applyProtection="1">
      <protection locked="0" hidden="1"/>
    </xf>
    <xf numFmtId="0" fontId="0" fillId="7" borderId="15" xfId="0" applyFill="1" applyBorder="1" applyProtection="1">
      <protection locked="0" hidden="1"/>
    </xf>
    <xf numFmtId="2" fontId="0" fillId="16" borderId="15" xfId="0" applyNumberFormat="1" applyFill="1" applyBorder="1" applyProtection="1">
      <protection hidden="1"/>
    </xf>
    <xf numFmtId="0" fontId="0" fillId="16" borderId="15" xfId="0" applyFill="1" applyBorder="1" applyProtection="1">
      <protection hidden="1"/>
    </xf>
    <xf numFmtId="1" fontId="0" fillId="16" borderId="15" xfId="0" applyNumberFormat="1" applyFill="1" applyBorder="1" applyProtection="1">
      <protection hidden="1"/>
    </xf>
    <xf numFmtId="2" fontId="0" fillId="16" borderId="16" xfId="0" applyNumberFormat="1" applyFill="1" applyBorder="1" applyProtection="1">
      <protection hidden="1"/>
    </xf>
    <xf numFmtId="0" fontId="0" fillId="7" borderId="16" xfId="0" applyFill="1" applyBorder="1" applyProtection="1">
      <protection locked="0" hidden="1"/>
    </xf>
    <xf numFmtId="2" fontId="0" fillId="0" borderId="15" xfId="0" applyNumberFormat="1" applyBorder="1" applyProtection="1">
      <protection hidden="1"/>
    </xf>
    <xf numFmtId="165" fontId="0" fillId="0" borderId="16" xfId="0" applyNumberFormat="1" applyBorder="1" applyProtection="1">
      <protection hidden="1"/>
    </xf>
    <xf numFmtId="2" fontId="0" fillId="0" borderId="14" xfId="0" applyNumberFormat="1" applyBorder="1" applyProtection="1">
      <protection hidden="1"/>
    </xf>
    <xf numFmtId="1" fontId="0" fillId="0" borderId="16" xfId="0" applyNumberFormat="1" applyBorder="1" applyProtection="1">
      <protection hidden="1"/>
    </xf>
    <xf numFmtId="0" fontId="0" fillId="16" borderId="15" xfId="0" applyFill="1" applyBorder="1" applyAlignment="1" applyProtection="1">
      <alignment horizontal="center"/>
      <protection hidden="1"/>
    </xf>
    <xf numFmtId="1" fontId="0" fillId="16" borderId="7" xfId="0" applyNumberFormat="1" applyFill="1" applyBorder="1" applyProtection="1">
      <protection hidden="1"/>
    </xf>
    <xf numFmtId="0" fontId="0" fillId="7" borderId="13" xfId="0" applyFill="1" applyBorder="1" applyProtection="1">
      <protection locked="0" hidden="1"/>
    </xf>
    <xf numFmtId="2" fontId="0" fillId="16" borderId="10" xfId="0" applyNumberFormat="1" applyFill="1" applyBorder="1" applyProtection="1">
      <protection hidden="1"/>
    </xf>
    <xf numFmtId="0" fontId="0" fillId="16" borderId="16" xfId="0" applyFill="1" applyBorder="1" applyProtection="1">
      <protection hidden="1"/>
    </xf>
    <xf numFmtId="2" fontId="0" fillId="11" borderId="0" xfId="0" applyNumberFormat="1" applyFill="1"/>
    <xf numFmtId="0" fontId="3" fillId="0" borderId="0" xfId="3" applyFont="1"/>
    <xf numFmtId="0" fontId="3" fillId="11" borderId="0" xfId="3" applyFont="1" applyFill="1"/>
    <xf numFmtId="0" fontId="5" fillId="9" borderId="0" xfId="3" applyFont="1" applyFill="1" applyAlignment="1">
      <alignment horizontal="center"/>
    </xf>
    <xf numFmtId="2" fontId="0" fillId="16" borderId="0" xfId="0" applyNumberFormat="1" applyFill="1" applyProtection="1">
      <protection hidden="1"/>
    </xf>
    <xf numFmtId="0" fontId="0" fillId="16" borderId="14" xfId="0" applyFill="1" applyBorder="1" applyProtection="1">
      <protection hidden="1"/>
    </xf>
    <xf numFmtId="2" fontId="30" fillId="0" borderId="0" xfId="0" applyNumberFormat="1" applyFont="1"/>
    <xf numFmtId="170" fontId="0" fillId="9" borderId="0" xfId="0" applyNumberFormat="1" applyFill="1"/>
    <xf numFmtId="0" fontId="0" fillId="6" borderId="0" xfId="0" applyFill="1"/>
    <xf numFmtId="0" fontId="30" fillId="0" borderId="0" xfId="0" applyFont="1"/>
    <xf numFmtId="0" fontId="0" fillId="16" borderId="15" xfId="0" applyFill="1" applyBorder="1" applyAlignment="1" applyProtection="1">
      <alignment vertical="top"/>
      <protection hidden="1"/>
    </xf>
    <xf numFmtId="0" fontId="0" fillId="0" borderId="15" xfId="0" applyBorder="1" applyProtection="1">
      <protection hidden="1"/>
    </xf>
    <xf numFmtId="0" fontId="16" fillId="16" borderId="10" xfId="0" applyFont="1" applyFill="1" applyBorder="1" applyAlignment="1" applyProtection="1">
      <alignment horizontal="left"/>
      <protection hidden="1"/>
    </xf>
    <xf numFmtId="0" fontId="0" fillId="16" borderId="7" xfId="0" applyFill="1" applyBorder="1" applyAlignment="1" applyProtection="1">
      <alignment horizontal="left"/>
      <protection hidden="1"/>
    </xf>
    <xf numFmtId="0" fontId="32" fillId="0" borderId="0" xfId="0" applyFont="1"/>
    <xf numFmtId="0" fontId="33" fillId="0" borderId="0" xfId="0" applyFont="1"/>
    <xf numFmtId="0" fontId="0" fillId="0" borderId="0" xfId="0" applyAlignment="1" applyProtection="1">
      <alignment horizontal="right"/>
      <protection hidden="1"/>
    </xf>
    <xf numFmtId="0" fontId="16" fillId="16" borderId="15" xfId="0" applyFont="1" applyFill="1" applyBorder="1" applyProtection="1">
      <protection hidden="1"/>
    </xf>
    <xf numFmtId="0" fontId="14" fillId="16" borderId="0" xfId="0" applyFont="1" applyFill="1" applyAlignment="1" applyProtection="1">
      <alignment horizontal="right"/>
      <protection hidden="1"/>
    </xf>
    <xf numFmtId="0" fontId="0" fillId="7" borderId="14" xfId="0" applyFill="1" applyBorder="1" applyAlignment="1" applyProtection="1">
      <alignment horizontal="right" vertical="top"/>
      <protection hidden="1"/>
    </xf>
    <xf numFmtId="171" fontId="0" fillId="10" borderId="0" xfId="0" applyNumberFormat="1" applyFill="1"/>
    <xf numFmtId="0" fontId="0" fillId="0" borderId="0" xfId="0" applyAlignment="1">
      <alignment horizontal="right"/>
    </xf>
    <xf numFmtId="0" fontId="12" fillId="16" borderId="3" xfId="0" applyFont="1" applyFill="1" applyBorder="1" applyProtection="1">
      <protection hidden="1"/>
    </xf>
    <xf numFmtId="169" fontId="0" fillId="0" borderId="15" xfId="0" applyNumberFormat="1" applyBorder="1" applyProtection="1">
      <protection hidden="1"/>
    </xf>
    <xf numFmtId="2" fontId="0" fillId="0" borderId="16" xfId="0" applyNumberFormat="1" applyBorder="1" applyProtection="1">
      <protection hidden="1"/>
    </xf>
    <xf numFmtId="0" fontId="0" fillId="16" borderId="0" xfId="0" applyFill="1"/>
    <xf numFmtId="0" fontId="0" fillId="0" borderId="0" xfId="0" applyAlignment="1">
      <alignment horizontal="center"/>
    </xf>
    <xf numFmtId="0" fontId="0" fillId="0" borderId="3" xfId="0" applyBorder="1" applyAlignment="1">
      <alignment horizontal="center"/>
    </xf>
    <xf numFmtId="172" fontId="0" fillId="10" borderId="0" xfId="0" applyNumberFormat="1" applyFill="1"/>
    <xf numFmtId="0" fontId="0" fillId="0" borderId="0" xfId="0" applyAlignment="1">
      <alignment horizontal="center" wrapText="1"/>
    </xf>
    <xf numFmtId="0" fontId="0" fillId="7" borderId="0" xfId="0" applyFill="1"/>
    <xf numFmtId="0" fontId="0" fillId="14" borderId="6" xfId="0" applyFill="1" applyBorder="1"/>
    <xf numFmtId="0" fontId="0" fillId="14" borderId="5" xfId="0" applyFill="1" applyBorder="1"/>
    <xf numFmtId="0" fontId="0" fillId="7" borderId="6" xfId="0" applyFill="1" applyBorder="1"/>
    <xf numFmtId="169" fontId="0" fillId="16" borderId="0" xfId="0" applyNumberFormat="1" applyFill="1" applyProtection="1">
      <protection hidden="1"/>
    </xf>
    <xf numFmtId="0" fontId="16" fillId="16" borderId="0" xfId="0" applyFont="1" applyFill="1" applyProtection="1">
      <protection hidden="1"/>
    </xf>
    <xf numFmtId="0" fontId="4" fillId="16" borderId="0" xfId="3" applyFill="1" applyProtection="1">
      <protection hidden="1"/>
    </xf>
    <xf numFmtId="0" fontId="12" fillId="16" borderId="0" xfId="0" applyFont="1" applyFill="1" applyAlignment="1" applyProtection="1">
      <alignment horizontal="right"/>
      <protection hidden="1"/>
    </xf>
    <xf numFmtId="0" fontId="35" fillId="16" borderId="0" xfId="0" applyFont="1" applyFill="1" applyProtection="1">
      <protection hidden="1"/>
    </xf>
    <xf numFmtId="0" fontId="35" fillId="16" borderId="0" xfId="0" applyFont="1" applyFill="1" applyAlignment="1" applyProtection="1">
      <alignment horizontal="center"/>
      <protection hidden="1"/>
    </xf>
    <xf numFmtId="0" fontId="12" fillId="16" borderId="2" xfId="0" applyFont="1" applyFill="1" applyBorder="1" applyProtection="1">
      <protection hidden="1"/>
    </xf>
    <xf numFmtId="0" fontId="34" fillId="16" borderId="0" xfId="0" applyFont="1" applyFill="1" applyAlignment="1" applyProtection="1">
      <alignment horizontal="right"/>
      <protection hidden="1"/>
    </xf>
    <xf numFmtId="0" fontId="0" fillId="0" borderId="17" xfId="0" applyBorder="1"/>
    <xf numFmtId="0" fontId="0" fillId="16" borderId="18" xfId="0" applyFill="1" applyBorder="1" applyProtection="1">
      <protection hidden="1"/>
    </xf>
    <xf numFmtId="0" fontId="15" fillId="16" borderId="0" xfId="0" applyFont="1" applyFill="1" applyAlignment="1" applyProtection="1">
      <alignment horizontal="right"/>
      <protection hidden="1"/>
    </xf>
    <xf numFmtId="0" fontId="36" fillId="0" borderId="0" xfId="0" applyFont="1"/>
    <xf numFmtId="0" fontId="0" fillId="0" borderId="19" xfId="0" applyBorder="1"/>
    <xf numFmtId="0" fontId="0" fillId="0" borderId="20" xfId="0" applyBorder="1"/>
    <xf numFmtId="0" fontId="0" fillId="0" borderId="21" xfId="0" applyBorder="1"/>
    <xf numFmtId="0" fontId="35" fillId="16" borderId="2" xfId="0" applyFont="1" applyFill="1" applyBorder="1" applyProtection="1">
      <protection hidden="1"/>
    </xf>
    <xf numFmtId="0" fontId="3" fillId="0" borderId="0" xfId="3" applyFont="1" applyAlignment="1">
      <alignment horizontal="left"/>
    </xf>
    <xf numFmtId="49" fontId="0" fillId="16" borderId="0" xfId="0" applyNumberFormat="1" applyFill="1" applyAlignment="1" applyProtection="1">
      <alignment horizontal="right"/>
      <protection hidden="1"/>
    </xf>
    <xf numFmtId="0" fontId="37" fillId="16" borderId="0" xfId="0" applyFont="1" applyFill="1" applyProtection="1">
      <protection hidden="1"/>
    </xf>
    <xf numFmtId="0" fontId="38" fillId="16" borderId="0" xfId="0" applyFont="1" applyFill="1" applyAlignment="1" applyProtection="1">
      <alignment horizontal="left"/>
      <protection hidden="1"/>
    </xf>
    <xf numFmtId="0" fontId="16" fillId="16" borderId="16" xfId="0" applyFont="1" applyFill="1" applyBorder="1" applyProtection="1">
      <protection hidden="1"/>
    </xf>
    <xf numFmtId="0" fontId="0" fillId="0" borderId="14" xfId="0" applyBorder="1" applyProtection="1">
      <protection hidden="1"/>
    </xf>
    <xf numFmtId="2" fontId="0" fillId="16" borderId="14" xfId="0" applyNumberFormat="1" applyFill="1" applyBorder="1" applyProtection="1">
      <protection hidden="1"/>
    </xf>
    <xf numFmtId="0" fontId="1" fillId="16" borderId="3" xfId="3" applyFont="1" applyFill="1" applyBorder="1" applyAlignment="1" applyProtection="1">
      <alignment horizontal="right"/>
      <protection hidden="1"/>
    </xf>
    <xf numFmtId="0" fontId="16" fillId="16" borderId="14" xfId="0" applyFont="1" applyFill="1" applyBorder="1" applyProtection="1">
      <protection hidden="1"/>
    </xf>
    <xf numFmtId="0" fontId="52" fillId="0" borderId="0" xfId="0" applyFont="1"/>
    <xf numFmtId="0" fontId="53" fillId="0" borderId="0" xfId="0" applyFont="1" applyAlignment="1">
      <alignment horizontal="center"/>
    </xf>
    <xf numFmtId="49" fontId="53" fillId="0" borderId="0" xfId="0" applyNumberFormat="1" applyFont="1" applyAlignment="1">
      <alignment horizontal="left"/>
    </xf>
    <xf numFmtId="0" fontId="54" fillId="0" borderId="0" xfId="0" applyFont="1"/>
    <xf numFmtId="0" fontId="55" fillId="0" borderId="0" xfId="8" applyFont="1" applyFill="1" applyBorder="1" applyAlignment="1">
      <alignment vertical="center"/>
    </xf>
    <xf numFmtId="0" fontId="55" fillId="0" borderId="0" xfId="8" applyFont="1" applyFill="1" applyBorder="1" applyAlignment="1">
      <alignment horizontal="right" vertical="center"/>
    </xf>
    <xf numFmtId="0" fontId="53" fillId="0" borderId="0" xfId="0" applyFont="1" applyAlignment="1">
      <alignment horizontal="left"/>
    </xf>
    <xf numFmtId="0" fontId="52" fillId="0" borderId="0" xfId="0" applyFont="1" applyAlignment="1">
      <alignment horizontal="center"/>
    </xf>
    <xf numFmtId="0" fontId="52" fillId="0" borderId="0" xfId="0" applyFont="1" applyAlignment="1">
      <alignment horizontal="left"/>
    </xf>
    <xf numFmtId="0" fontId="54" fillId="0" borderId="0" xfId="0" applyFont="1" applyAlignment="1">
      <alignment horizontal="center"/>
    </xf>
    <xf numFmtId="0" fontId="3" fillId="0" borderId="0" xfId="0" applyFont="1"/>
    <xf numFmtId="0" fontId="56" fillId="19" borderId="0" xfId="0" applyFont="1" applyFill="1" applyAlignment="1">
      <alignment horizontal="center"/>
    </xf>
    <xf numFmtId="49" fontId="54" fillId="0" borderId="0" xfId="0" applyNumberFormat="1" applyFont="1" applyAlignment="1">
      <alignment horizontal="center"/>
    </xf>
    <xf numFmtId="0" fontId="54" fillId="0" borderId="0" xfId="0" applyFont="1" applyAlignment="1">
      <alignment wrapText="1"/>
    </xf>
    <xf numFmtId="0" fontId="57" fillId="0" borderId="0" xfId="8" applyFont="1" applyFill="1" applyBorder="1" applyAlignment="1">
      <alignment vertical="center"/>
    </xf>
    <xf numFmtId="17" fontId="0" fillId="16" borderId="0" xfId="0" quotePrefix="1" applyNumberFormat="1" applyFill="1" applyProtection="1">
      <protection hidden="1"/>
    </xf>
    <xf numFmtId="0" fontId="51" fillId="8" borderId="0" xfId="8" applyFill="1" applyBorder="1" applyAlignment="1" applyProtection="1">
      <alignment horizontal="center"/>
      <protection locked="0" hidden="1"/>
    </xf>
    <xf numFmtId="0" fontId="52" fillId="0" borderId="0" xfId="0" applyFont="1" applyAlignment="1">
      <alignment horizontal="center"/>
    </xf>
    <xf numFmtId="0" fontId="52" fillId="18" borderId="0" xfId="0" applyFont="1" applyFill="1" applyAlignment="1">
      <alignment horizontal="center"/>
    </xf>
    <xf numFmtId="0" fontId="56" fillId="19" borderId="0" xfId="0" applyFont="1" applyFill="1" applyAlignment="1">
      <alignment horizontal="left"/>
    </xf>
    <xf numFmtId="0" fontId="54" fillId="0" borderId="0" xfId="0" applyFont="1" applyAlignment="1">
      <alignment horizontal="left"/>
    </xf>
    <xf numFmtId="0" fontId="54" fillId="0" borderId="0" xfId="0" applyFont="1" applyAlignment="1">
      <alignment wrapText="1"/>
    </xf>
    <xf numFmtId="0" fontId="6" fillId="2" borderId="0" xfId="3" applyFont="1" applyFill="1" applyAlignment="1">
      <alignment horizontal="center"/>
    </xf>
    <xf numFmtId="0" fontId="5" fillId="0" borderId="0" xfId="3" applyFont="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22" fillId="0" borderId="10" xfId="0" applyFont="1" applyBorder="1" applyAlignment="1">
      <alignment horizontal="center"/>
    </xf>
    <xf numFmtId="0" fontId="4" fillId="0" borderId="0" xfId="3"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5" xfId="0" applyBorder="1" applyAlignment="1">
      <alignment horizontal="center" wrapText="1"/>
    </xf>
    <xf numFmtId="0" fontId="0" fillId="0" borderId="0" xfId="0" applyAlignment="1">
      <alignment horizontal="center" wrapText="1"/>
    </xf>
    <xf numFmtId="0" fontId="0" fillId="0" borderId="6" xfId="0" applyBorder="1" applyAlignment="1">
      <alignment horizontal="center" wrapText="1"/>
    </xf>
  </cellXfs>
  <cellStyles count="9">
    <cellStyle name="Comma 2" xfId="5" xr:uid="{00000000-0005-0000-0000-000000000000}"/>
    <cellStyle name="Comma 3" xfId="2" xr:uid="{00000000-0005-0000-0000-000001000000}"/>
    <cellStyle name="Hyperlink" xfId="8" builtinId="8"/>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s>
  <dxfs count="23">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ill>
        <patternFill>
          <bgColor rgb="FFFF0000"/>
        </patternFill>
      </fill>
    </dxf>
    <dxf>
      <fill>
        <patternFill>
          <bgColor rgb="FFFF0000"/>
        </patternFill>
      </fill>
    </dxf>
    <dxf>
      <font>
        <strike/>
      </font>
      <fill>
        <patternFill>
          <bgColor theme="0" tint="-0.24994659260841701"/>
        </patternFill>
      </fill>
    </dxf>
    <dxf>
      <font>
        <color rgb="FFFF0000"/>
      </font>
    </dxf>
    <dxf>
      <font>
        <color rgb="FFFF0000"/>
      </font>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fill>
        <patternFill>
          <bgColor rgb="FFFFC000"/>
        </patternFill>
      </fill>
    </dxf>
    <dxf>
      <fill>
        <patternFill>
          <bgColor rgb="FFFF0000"/>
        </patternFill>
      </fill>
    </dxf>
    <dxf>
      <font>
        <color theme="0"/>
      </font>
      <fill>
        <patternFill>
          <bgColor theme="0"/>
        </patternFill>
      </fill>
      <border>
        <left style="hair">
          <color theme="0"/>
        </left>
        <right style="hair">
          <color theme="0"/>
        </right>
        <top style="hair">
          <color theme="0"/>
        </top>
        <bottom style="hair">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right/>
        <top/>
        <bottom/>
        <vertical/>
        <horizontal/>
      </border>
    </dxf>
  </dxfs>
  <tableStyles count="0" defaultTableStyle="TableStyleMedium2"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CCM_Loop_Modeling_Isolated!$AD$19:$AD$560</c:f>
              <c:numCache>
                <c:formatCode>0.000</c:formatCode>
                <c:ptCount val="542"/>
                <c:pt idx="0">
                  <c:v>50.125780298418398</c:v>
                </c:pt>
                <c:pt idx="1">
                  <c:v>49.994028799794535</c:v>
                </c:pt>
                <c:pt idx="2">
                  <c:v>49.86022232113973</c:v>
                </c:pt>
                <c:pt idx="3">
                  <c:v>49.724392600175726</c:v>
                </c:pt>
                <c:pt idx="4">
                  <c:v>49.58657273929628</c:v>
                </c:pt>
                <c:pt idx="5">
                  <c:v>49.446797092308891</c:v>
                </c:pt>
                <c:pt idx="6">
                  <c:v>49.305101150090344</c:v>
                </c:pt>
                <c:pt idx="7">
                  <c:v>49.161521425875335</c:v>
                </c:pt>
                <c:pt idx="8">
                  <c:v>49.016095340866542</c:v>
                </c:pt>
                <c:pt idx="9">
                  <c:v>48.86886111081526</c:v>
                </c:pt>
                <c:pt idx="10">
                  <c:v>48.719857634180912</c:v>
                </c:pt>
                <c:pt idx="11">
                  <c:v>48.569124382429138</c:v>
                </c:pt>
                <c:pt idx="12">
                  <c:v>48.416701292981024</c:v>
                </c:pt>
                <c:pt idx="13">
                  <c:v>48.262628665273411</c:v>
                </c:pt>
                <c:pt idx="14">
                  <c:v>48.106947060336978</c:v>
                </c:pt>
                <c:pt idx="15">
                  <c:v>47.949697204247926</c:v>
                </c:pt>
                <c:pt idx="16">
                  <c:v>47.790919895753973</c:v>
                </c:pt>
                <c:pt idx="17">
                  <c:v>47.630655918324564</c:v>
                </c:pt>
                <c:pt idx="18">
                  <c:v>47.468945956825323</c:v>
                </c:pt>
                <c:pt idx="19">
                  <c:v>47.30583051896815</c:v>
                </c:pt>
                <c:pt idx="20">
                  <c:v>47.141349861641316</c:v>
                </c:pt>
                <c:pt idx="21">
                  <c:v>46.97554392218386</c:v>
                </c:pt>
                <c:pt idx="22">
                  <c:v>46.808452254625827</c:v>
                </c:pt>
                <c:pt idx="23">
                  <c:v>46.640113970879696</c:v>
                </c:pt>
                <c:pt idx="24">
                  <c:v>46.470567686837555</c:v>
                </c:pt>
                <c:pt idx="25">
                  <c:v>46.299851473294311</c:v>
                </c:pt>
                <c:pt idx="26">
                  <c:v>46.128002811595088</c:v>
                </c:pt>
                <c:pt idx="27">
                  <c:v>45.95505855387831</c:v>
                </c:pt>
                <c:pt idx="28">
                  <c:v>45.78105488776928</c:v>
                </c:pt>
                <c:pt idx="29">
                  <c:v>45.606027305359447</c:v>
                </c:pt>
                <c:pt idx="30">
                  <c:v>45.430010576295636</c:v>
                </c:pt>
                <c:pt idx="31">
                  <c:v>45.253038724789867</c:v>
                </c:pt>
                <c:pt idx="32">
                  <c:v>45.075145010355683</c:v>
                </c:pt>
                <c:pt idx="33">
                  <c:v>44.896361912067292</c:v>
                </c:pt>
                <c:pt idx="34">
                  <c:v>44.716721116137627</c:v>
                </c:pt>
                <c:pt idx="35">
                  <c:v>44.536253506607807</c:v>
                </c:pt>
                <c:pt idx="36">
                  <c:v>44.354989158941713</c:v>
                </c:pt>
                <c:pt idx="37">
                  <c:v>44.17295733632087</c:v>
                </c:pt>
                <c:pt idx="38">
                  <c:v>43.99018648843839</c:v>
                </c:pt>
                <c:pt idx="39">
                  <c:v>43.806704252594521</c:v>
                </c:pt>
                <c:pt idx="40">
                  <c:v>43.622537456903139</c:v>
                </c:pt>
                <c:pt idx="41">
                  <c:v>43.43771212542255</c:v>
                </c:pt>
                <c:pt idx="42">
                  <c:v>43.25225348503335</c:v>
                </c:pt>
                <c:pt idx="43">
                  <c:v>43.066185973892516</c:v>
                </c:pt>
                <c:pt idx="44">
                  <c:v>42.879533251299407</c:v>
                </c:pt>
                <c:pt idx="45">
                  <c:v>42.692318208820609</c:v>
                </c:pt>
                <c:pt idx="46">
                  <c:v>42.504562982526444</c:v>
                </c:pt>
                <c:pt idx="47">
                  <c:v>42.316288966200617</c:v>
                </c:pt>
                <c:pt idx="48">
                  <c:v>42.127516825394423</c:v>
                </c:pt>
                <c:pt idx="49">
                  <c:v>41.938266512203555</c:v>
                </c:pt>
                <c:pt idx="50">
                  <c:v>41.748557280655298</c:v>
                </c:pt>
                <c:pt idx="51">
                  <c:v>41.558407702599986</c:v>
                </c:pt>
                <c:pt idx="52">
                  <c:v>41.367835684011567</c:v>
                </c:pt>
                <c:pt idx="53">
                  <c:v>41.176858481605279</c:v>
                </c:pt>
                <c:pt idx="54">
                  <c:v>40.985492719692488</c:v>
                </c:pt>
                <c:pt idx="55">
                  <c:v>40.793754407196275</c:v>
                </c:pt>
                <c:pt idx="56">
                  <c:v>40.601658954759159</c:v>
                </c:pt>
                <c:pt idx="57">
                  <c:v>40.409221191881016</c:v>
                </c:pt>
                <c:pt idx="58">
                  <c:v>40.216455384030468</c:v>
                </c:pt>
                <c:pt idx="59">
                  <c:v>40.02337524967934</c:v>
                </c:pt>
                <c:pt idx="60">
                  <c:v>39.829993977215082</c:v>
                </c:pt>
                <c:pt idx="61">
                  <c:v>39.636324241689671</c:v>
                </c:pt>
                <c:pt idx="62">
                  <c:v>39.442378221370269</c:v>
                </c:pt>
                <c:pt idx="63">
                  <c:v>39.248167614059518</c:v>
                </c:pt>
                <c:pt idx="64">
                  <c:v>39.053703653158024</c:v>
                </c:pt>
                <c:pt idx="65">
                  <c:v>38.858997123445654</c:v>
                </c:pt>
                <c:pt idx="66">
                  <c:v>38.664058376560611</c:v>
                </c:pt>
                <c:pt idx="67">
                  <c:v>38.468897346159451</c:v>
                </c:pt>
                <c:pt idx="68">
                  <c:v>38.273523562743669</c:v>
                </c:pt>
                <c:pt idx="69">
                  <c:v>38.077946168141075</c:v>
                </c:pt>
                <c:pt idx="70">
                  <c:v>37.882173929632437</c:v>
                </c:pt>
                <c:pt idx="71">
                  <c:v>37.686215253716625</c:v>
                </c:pt>
                <c:pt idx="72">
                  <c:v>37.490078199509099</c:v>
                </c:pt>
                <c:pt idx="73">
                  <c:v>37.293770491769756</c:v>
                </c:pt>
                <c:pt idx="74">
                  <c:v>37.097299533559429</c:v>
                </c:pt>
                <c:pt idx="75">
                  <c:v>36.900672418523762</c:v>
                </c:pt>
                <c:pt idx="76">
                  <c:v>36.703895942806206</c:v>
                </c:pt>
                <c:pt idx="77">
                  <c:v>36.506976616591587</c:v>
                </c:pt>
                <c:pt idx="78">
                  <c:v>36.309920675284118</c:v>
                </c:pt>
                <c:pt idx="79">
                  <c:v>36.112734090323293</c:v>
                </c:pt>
                <c:pt idx="80">
                  <c:v>35.91542257964273</c:v>
                </c:pt>
                <c:pt idx="81">
                  <c:v>35.717991617777543</c:v>
                </c:pt>
                <c:pt idx="82">
                  <c:v>35.520446445626106</c:v>
                </c:pt>
                <c:pt idx="83">
                  <c:v>35.322792079872997</c:v>
                </c:pt>
                <c:pt idx="84">
                  <c:v>35.125033322079794</c:v>
                </c:pt>
                <c:pt idx="85">
                  <c:v>34.927174767451518</c:v>
                </c:pt>
                <c:pt idx="86">
                  <c:v>34.729220813285686</c:v>
                </c:pt>
                <c:pt idx="87">
                  <c:v>34.531175667112578</c:v>
                </c:pt>
                <c:pt idx="88">
                  <c:v>34.3330433545337</c:v>
                </c:pt>
                <c:pt idx="89">
                  <c:v>34.134827726768158</c:v>
                </c:pt>
                <c:pt idx="90">
                  <c:v>33.93653246791299</c:v>
                </c:pt>
                <c:pt idx="91">
                  <c:v>33.738161101926998</c:v>
                </c:pt>
                <c:pt idx="92">
                  <c:v>33.539716999347291</c:v>
                </c:pt>
                <c:pt idx="93">
                  <c:v>33.341203383744158</c:v>
                </c:pt>
                <c:pt idx="94">
                  <c:v>33.142623337924384</c:v>
                </c:pt>
                <c:pt idx="95">
                  <c:v>32.94397980989087</c:v>
                </c:pt>
                <c:pt idx="96">
                  <c:v>32.745275618565977</c:v>
                </c:pt>
                <c:pt idx="97">
                  <c:v>32.546513459286615</c:v>
                </c:pt>
                <c:pt idx="98">
                  <c:v>32.347695909079462</c:v>
                </c:pt>
                <c:pt idx="99">
                  <c:v>32.148825431722422</c:v>
                </c:pt>
                <c:pt idx="100">
                  <c:v>31.949904382602398</c:v>
                </c:pt>
                <c:pt idx="101">
                  <c:v>31.750935013373503</c:v>
                </c:pt>
                <c:pt idx="102">
                  <c:v>31.551919476425528</c:v>
                </c:pt>
                <c:pt idx="103">
                  <c:v>31.352859829167752</c:v>
                </c:pt>
                <c:pt idx="104">
                  <c:v>31.153758038136647</c:v>
                </c:pt>
                <c:pt idx="105">
                  <c:v>30.954615982931681</c:v>
                </c:pt>
                <c:pt idx="106">
                  <c:v>30.755435459988817</c:v>
                </c:pt>
                <c:pt idx="107">
                  <c:v>30.556218186194958</c:v>
                </c:pt>
                <c:pt idx="108">
                  <c:v>30.356965802350963</c:v>
                </c:pt>
                <c:pt idx="109">
                  <c:v>30.157679876489077</c:v>
                </c:pt>
                <c:pt idx="110">
                  <c:v>29.958361907050048</c:v>
                </c:pt>
                <c:pt idx="111">
                  <c:v>29.759013325925501</c:v>
                </c:pt>
                <c:pt idx="112">
                  <c:v>29.559635501371101</c:v>
                </c:pt>
                <c:pt idx="113">
                  <c:v>29.360229740795592</c:v>
                </c:pt>
                <c:pt idx="114">
                  <c:v>29.160797293430491</c:v>
                </c:pt>
                <c:pt idx="115">
                  <c:v>28.961339352885332</c:v>
                </c:pt>
                <c:pt idx="116">
                  <c:v>28.761857059593755</c:v>
                </c:pt>
                <c:pt idx="117">
                  <c:v>28.562351503153593</c:v>
                </c:pt>
                <c:pt idx="118">
                  <c:v>28.362823724566244</c:v>
                </c:pt>
                <c:pt idx="119">
                  <c:v>28.163274718379508</c:v>
                </c:pt>
                <c:pt idx="120">
                  <c:v>27.963705434737012</c:v>
                </c:pt>
                <c:pt idx="121">
                  <c:v>27.764116781339393</c:v>
                </c:pt>
                <c:pt idx="122">
                  <c:v>27.564509625319932</c:v>
                </c:pt>
                <c:pt idx="123">
                  <c:v>27.364884795037913</c:v>
                </c:pt>
                <c:pt idx="124">
                  <c:v>27.165243081794817</c:v>
                </c:pt>
                <c:pt idx="125">
                  <c:v>26.965585241474717</c:v>
                </c:pt>
                <c:pt idx="126">
                  <c:v>26.765911996112884</c:v>
                </c:pt>
                <c:pt idx="127">
                  <c:v>26.56622403539615</c:v>
                </c:pt>
                <c:pt idx="128">
                  <c:v>26.366522018097129</c:v>
                </c:pt>
                <c:pt idx="129">
                  <c:v>26.16680657344482</c:v>
                </c:pt>
                <c:pt idx="130">
                  <c:v>25.967078302436146</c:v>
                </c:pt>
                <c:pt idx="131">
                  <c:v>25.767337779088134</c:v>
                </c:pt>
                <c:pt idx="132">
                  <c:v>25.567585551636274</c:v>
                </c:pt>
                <c:pt idx="133">
                  <c:v>25.367822143678641</c:v>
                </c:pt>
                <c:pt idx="134">
                  <c:v>25.168048055270297</c:v>
                </c:pt>
                <c:pt idx="135">
                  <c:v>24.968263763968892</c:v>
                </c:pt>
                <c:pt idx="136">
                  <c:v>24.768469725833459</c:v>
                </c:pt>
                <c:pt idx="137">
                  <c:v>24.568666376379582</c:v>
                </c:pt>
                <c:pt idx="138">
                  <c:v>24.368854131491531</c:v>
                </c:pt>
                <c:pt idx="139">
                  <c:v>24.169033388293897</c:v>
                </c:pt>
                <c:pt idx="140">
                  <c:v>23.969204525984527</c:v>
                </c:pt>
                <c:pt idx="141">
                  <c:v>23.769367906630091</c:v>
                </c:pt>
                <c:pt idx="142">
                  <c:v>23.569523875925906</c:v>
                </c:pt>
                <c:pt idx="143">
                  <c:v>23.369672763922267</c:v>
                </c:pt>
                <c:pt idx="144">
                  <c:v>23.169814885717877</c:v>
                </c:pt>
                <c:pt idx="145">
                  <c:v>22.969950542121865</c:v>
                </c:pt>
                <c:pt idx="146">
                  <c:v>22.770080020286649</c:v>
                </c:pt>
                <c:pt idx="147">
                  <c:v>22.570203594311934</c:v>
                </c:pt>
                <c:pt idx="148">
                  <c:v>22.370321525821467</c:v>
                </c:pt>
                <c:pt idx="149">
                  <c:v>22.170434064513778</c:v>
                </c:pt>
                <c:pt idx="150">
                  <c:v>21.970541448688191</c:v>
                </c:pt>
                <c:pt idx="151">
                  <c:v>21.770643905746532</c:v>
                </c:pt>
                <c:pt idx="152">
                  <c:v>21.570741652672595</c:v>
                </c:pt>
                <c:pt idx="153">
                  <c:v>21.370834896489256</c:v>
                </c:pt>
                <c:pt idx="154">
                  <c:v>21.170923834695135</c:v>
                </c:pt>
                <c:pt idx="155">
                  <c:v>20.97100865568105</c:v>
                </c:pt>
                <c:pt idx="156">
                  <c:v>20.771089539127317</c:v>
                </c:pt>
                <c:pt idx="157">
                  <c:v>20.571166656383181</c:v>
                </c:pt>
                <c:pt idx="158">
                  <c:v>20.371240170827992</c:v>
                </c:pt>
                <c:pt idx="159">
                  <c:v>20.171310238216378</c:v>
                </c:pt>
                <c:pt idx="160">
                  <c:v>19.971377007007241</c:v>
                </c:pt>
                <c:pt idx="161">
                  <c:v>19.771440618676813</c:v>
                </c:pt>
                <c:pt idx="162">
                  <c:v>19.571501208017963</c:v>
                </c:pt>
                <c:pt idx="163">
                  <c:v>19.371558903424646</c:v>
                </c:pt>
                <c:pt idx="164">
                  <c:v>19.171613827163295</c:v>
                </c:pt>
                <c:pt idx="165">
                  <c:v>18.971666095631207</c:v>
                </c:pt>
                <c:pt idx="166">
                  <c:v>18.771715819602566</c:v>
                </c:pt>
                <c:pt idx="167">
                  <c:v>18.571763104462555</c:v>
                </c:pt>
                <c:pt idx="168">
                  <c:v>18.371808050430243</c:v>
                </c:pt>
                <c:pt idx="169">
                  <c:v>18.171850752770492</c:v>
                </c:pt>
                <c:pt idx="170">
                  <c:v>17.971891301995282</c:v>
                </c:pt>
                <c:pt idx="171">
                  <c:v>17.77192978405532</c:v>
                </c:pt>
                <c:pt idx="172">
                  <c:v>17.571966280521828</c:v>
                </c:pt>
                <c:pt idx="173">
                  <c:v>17.372000868758906</c:v>
                </c:pt>
                <c:pt idx="174">
                  <c:v>17.172033622087493</c:v>
                </c:pt>
                <c:pt idx="175">
                  <c:v>16.972064609940293</c:v>
                </c:pt>
                <c:pt idx="176">
                  <c:v>16.772093898008798</c:v>
                </c:pt>
                <c:pt idx="177">
                  <c:v>16.572121548382285</c:v>
                </c:pt>
                <c:pt idx="178">
                  <c:v>16.372147619679218</c:v>
                </c:pt>
                <c:pt idx="179">
                  <c:v>16.172172167171311</c:v>
                </c:pt>
                <c:pt idx="180">
                  <c:v>15.97219524290055</c:v>
                </c:pt>
                <c:pt idx="181">
                  <c:v>15.772216895789297</c:v>
                </c:pt>
                <c:pt idx="182">
                  <c:v>15.572237171743918</c:v>
                </c:pt>
                <c:pt idx="183">
                  <c:v>15.372256113751986</c:v>
                </c:pt>
                <c:pt idx="184">
                  <c:v>15.172273761973127</c:v>
                </c:pt>
                <c:pt idx="185">
                  <c:v>14.972290153824275</c:v>
                </c:pt>
                <c:pt idx="186">
                  <c:v>14.772305324058726</c:v>
                </c:pt>
                <c:pt idx="187">
                  <c:v>14.572319304839773</c:v>
                </c:pt>
                <c:pt idx="188">
                  <c:v>14.372332125808796</c:v>
                </c:pt>
                <c:pt idx="189">
                  <c:v>14.172343814148087</c:v>
                </c:pt>
                <c:pt idx="190">
                  <c:v>13.972354394638277</c:v>
                </c:pt>
                <c:pt idx="191">
                  <c:v>13.772363889710714</c:v>
                </c:pt>
                <c:pt idx="192">
                  <c:v>13.572372319495399</c:v>
                </c:pt>
                <c:pt idx="193">
                  <c:v>13.372379701863128</c:v>
                </c:pt>
                <c:pt idx="194">
                  <c:v>13.172386052463263</c:v>
                </c:pt>
                <c:pt idx="195">
                  <c:v>12.972391384757682</c:v>
                </c:pt>
                <c:pt idx="196">
                  <c:v>12.772395710047705</c:v>
                </c:pt>
                <c:pt idx="197">
                  <c:v>12.572399037499778</c:v>
                </c:pt>
                <c:pt idx="198">
                  <c:v>12.372401374163575</c:v>
                </c:pt>
                <c:pt idx="199">
                  <c:v>12.172402724987258</c:v>
                </c:pt>
                <c:pt idx="200">
                  <c:v>11.972403092828056</c:v>
                </c:pt>
                <c:pt idx="201">
                  <c:v>11.772402478458181</c:v>
                </c:pt>
                <c:pt idx="202">
                  <c:v>11.572400880566271</c:v>
                </c:pt>
                <c:pt idx="203">
                  <c:v>11.372398295754627</c:v>
                </c:pt>
                <c:pt idx="204">
                  <c:v>11.172394718531963</c:v>
                </c:pt>
                <c:pt idx="205">
                  <c:v>10.972390141301624</c:v>
                </c:pt>
                <c:pt idx="206">
                  <c:v>10.772384554345384</c:v>
                </c:pt>
                <c:pt idx="207">
                  <c:v>10.572377945802913</c:v>
                </c:pt>
                <c:pt idx="208">
                  <c:v>10.372370301646431</c:v>
                </c:pt>
                <c:pt idx="209">
                  <c:v>10.172361605650629</c:v>
                </c:pt>
                <c:pt idx="210">
                  <c:v>9.9723518393585593</c:v>
                </c:pt>
                <c:pt idx="211">
                  <c:v>9.7723409820424081</c:v>
                </c:pt>
                <c:pt idx="212">
                  <c:v>9.572329010658768</c:v>
                </c:pt>
                <c:pt idx="213">
                  <c:v>9.3723158998005864</c:v>
                </c:pt>
                <c:pt idx="214">
                  <c:v>9.1723016216423296</c:v>
                </c:pt>
                <c:pt idx="215">
                  <c:v>8.9722861458812826</c:v>
                </c:pt>
                <c:pt idx="216">
                  <c:v>8.7722694396731633</c:v>
                </c:pt>
                <c:pt idx="217">
                  <c:v>8.572251467561923</c:v>
                </c:pt>
                <c:pt idx="218">
                  <c:v>8.3722321914048088</c:v>
                </c:pt>
                <c:pt idx="219">
                  <c:v>8.1722115702910312</c:v>
                </c:pt>
                <c:pt idx="220">
                  <c:v>7.9721895604546935</c:v>
                </c:pt>
                <c:pt idx="221">
                  <c:v>7.7721661151820172</c:v>
                </c:pt>
                <c:pt idx="222">
                  <c:v>7.5721411847119811</c:v>
                </c:pt>
                <c:pt idx="223">
                  <c:v>7.3721147161301239</c:v>
                </c:pt>
                <c:pt idx="224">
                  <c:v>7.1720866532565131</c:v>
                </c:pt>
                <c:pt idx="225">
                  <c:v>6.9720569365261307</c:v>
                </c:pt>
                <c:pt idx="226">
                  <c:v>6.7720255028618794</c:v>
                </c:pt>
                <c:pt idx="227">
                  <c:v>6.5719922855407917</c:v>
                </c:pt>
                <c:pt idx="228">
                  <c:v>6.3719572140521041</c:v>
                </c:pt>
                <c:pt idx="229">
                  <c:v>6.1719202139468976</c:v>
                </c:pt>
                <c:pt idx="230">
                  <c:v>5.971881206680024</c:v>
                </c:pt>
                <c:pt idx="231">
                  <c:v>5.7718401094427376</c:v>
                </c:pt>
                <c:pt idx="232">
                  <c:v>5.571796834986797</c:v>
                </c:pt>
                <c:pt idx="233">
                  <c:v>5.3717512914382928</c:v>
                </c:pt>
                <c:pt idx="234">
                  <c:v>5.171703382102435</c:v>
                </c:pt>
                <c:pt idx="235">
                  <c:v>4.9716530052576564</c:v>
                </c:pt>
                <c:pt idx="236">
                  <c:v>4.7716000539386787</c:v>
                </c:pt>
                <c:pt idx="237">
                  <c:v>4.571544415709095</c:v>
                </c:pt>
                <c:pt idx="238">
                  <c:v>4.3714859724217012</c:v>
                </c:pt>
                <c:pt idx="239">
                  <c:v>4.1714245999665991</c:v>
                </c:pt>
                <c:pt idx="240">
                  <c:v>3.9713601680072848</c:v>
                </c:pt>
                <c:pt idx="241">
                  <c:v>3.7712925397020367</c:v>
                </c:pt>
                <c:pt idx="242">
                  <c:v>3.5712215714128615</c:v>
                </c:pt>
                <c:pt idx="243">
                  <c:v>3.3711471123990355</c:v>
                </c:pt>
                <c:pt idx="244">
                  <c:v>3.171069004495501</c:v>
                </c:pt>
                <c:pt idx="245">
                  <c:v>2.9709870817754238</c:v>
                </c:pt>
                <c:pt idx="246">
                  <c:v>2.7709011701964235</c:v>
                </c:pt>
                <c:pt idx="247">
                  <c:v>2.57081108722867</c:v>
                </c:pt>
                <c:pt idx="248">
                  <c:v>2.3707166414656502</c:v>
                </c:pt>
                <c:pt idx="249">
                  <c:v>2.1706176322148925</c:v>
                </c:pt>
                <c:pt idx="250">
                  <c:v>1.9705138490697018</c:v>
                </c:pt>
                <c:pt idx="251">
                  <c:v>1.7704050714591375</c:v>
                </c:pt>
                <c:pt idx="252">
                  <c:v>1.5702910681767321</c:v>
                </c:pt>
                <c:pt idx="253">
                  <c:v>1.3701715968861259</c:v>
                </c:pt>
                <c:pt idx="254">
                  <c:v>1.1700464036024059</c:v>
                </c:pt>
                <c:pt idx="255">
                  <c:v>0.96991522214846693</c:v>
                </c:pt>
                <c:pt idx="256">
                  <c:v>0.76977777358575294</c:v>
                </c:pt>
                <c:pt idx="257">
                  <c:v>0.56963376561616863</c:v>
                </c:pt>
                <c:pt idx="258">
                  <c:v>0.36948289195604567</c:v>
                </c:pt>
                <c:pt idx="259">
                  <c:v>0.16932483167954024</c:v>
                </c:pt>
                <c:pt idx="260">
                  <c:v>-3.0840751469949038E-2</c:v>
                </c:pt>
                <c:pt idx="261">
                  <c:v>-0.23101420980101539</c:v>
                </c:pt>
                <c:pt idx="262">
                  <c:v>-0.4311959124308371</c:v>
                </c:pt>
                <c:pt idx="263">
                  <c:v>-0.63138624607808258</c:v>
                </c:pt>
                <c:pt idx="264">
                  <c:v>-0.83158561589424851</c:v>
                </c:pt>
                <c:pt idx="265">
                  <c:v>-1.0317944463349544</c:v>
                </c:pt>
                <c:pt idx="266">
                  <c:v>-1.2320131820733398</c:v>
                </c:pt>
                <c:pt idx="267">
                  <c:v>-1.4322422889579438</c:v>
                </c:pt>
                <c:pt idx="268">
                  <c:v>-1.6324822550163118</c:v>
                </c:pt>
                <c:pt idx="269">
                  <c:v>-1.8327335915076626</c:v>
                </c:pt>
                <c:pt idx="270">
                  <c:v>-2.0329968340261892</c:v>
                </c:pt>
                <c:pt idx="271">
                  <c:v>-2.2332725436579679</c:v>
                </c:pt>
                <c:pt idx="272">
                  <c:v>-2.4335613081936023</c:v>
                </c:pt>
                <c:pt idx="273">
                  <c:v>-2.6338637434002061</c:v>
                </c:pt>
                <c:pt idx="274">
                  <c:v>-2.8341804943544102</c:v>
                </c:pt>
                <c:pt idx="275">
                  <c:v>-3.0345122368408335</c:v>
                </c:pt>
                <c:pt idx="276">
                  <c:v>-3.234859678818029</c:v>
                </c:pt>
                <c:pt idx="277">
                  <c:v>-3.4352235619557723</c:v>
                </c:pt>
                <c:pt idx="278">
                  <c:v>-3.6356046632478378</c:v>
                </c:pt>
                <c:pt idx="279">
                  <c:v>-3.8360037967025207</c:v>
                </c:pt>
                <c:pt idx="280">
                  <c:v>-4.0364218151166149</c:v>
                </c:pt>
                <c:pt idx="281">
                  <c:v>-4.2368596119353166</c:v>
                </c:pt>
                <c:pt idx="282">
                  <c:v>-4.4373181232039034</c:v>
                </c:pt>
                <c:pt idx="283">
                  <c:v>-4.637798329614558</c:v>
                </c:pt>
                <c:pt idx="284">
                  <c:v>-4.8383012586539786</c:v>
                </c:pt>
                <c:pt idx="285">
                  <c:v>-5.0388279868565933</c:v>
                </c:pt>
                <c:pt idx="286">
                  <c:v>-5.2393796421685099</c:v>
                </c:pt>
                <c:pt idx="287">
                  <c:v>-5.439957406428368</c:v>
                </c:pt>
                <c:pt idx="288">
                  <c:v>-5.6405625179709427</c:v>
                </c:pt>
                <c:pt idx="289">
                  <c:v>-5.8411962743584054</c:v>
                </c:pt>
                <c:pt idx="290">
                  <c:v>-6.0418600352497789</c:v>
                </c:pt>
                <c:pt idx="291">
                  <c:v>-6.2425552254091032</c:v>
                </c:pt>
                <c:pt idx="292">
                  <c:v>-6.4432833378674568</c:v>
                </c:pt>
                <c:pt idx="293">
                  <c:v>-6.644045937239337</c:v>
                </c:pt>
                <c:pt idx="294">
                  <c:v>-6.8448446632073132</c:v>
                </c:pt>
                <c:pt idx="295">
                  <c:v>-7.0456812341794475</c:v>
                </c:pt>
                <c:pt idx="296">
                  <c:v>-7.2465574511315776</c:v>
                </c:pt>
                <c:pt idx="297">
                  <c:v>-7.4474752016427113</c:v>
                </c:pt>
                <c:pt idx="298">
                  <c:v>-7.6484364641332014</c:v>
                </c:pt>
                <c:pt idx="299">
                  <c:v>-7.8494433123185541</c:v>
                </c:pt>
                <c:pt idx="300">
                  <c:v>-8.0504979198876132</c:v>
                </c:pt>
                <c:pt idx="301">
                  <c:v>-8.2516025654194785</c:v>
                </c:pt>
                <c:pt idx="302">
                  <c:v>-8.4527596375501126</c:v>
                </c:pt>
                <c:pt idx="303">
                  <c:v>-8.653971640403503</c:v>
                </c:pt>
                <c:pt idx="304">
                  <c:v>-8.8552411993002274</c:v>
                </c:pt>
                <c:pt idx="305">
                  <c:v>-9.0565710667595738</c:v>
                </c:pt>
                <c:pt idx="306">
                  <c:v>-9.2579641288101246</c:v>
                </c:pt>
                <c:pt idx="307">
                  <c:v>-9.4594234116263554</c:v>
                </c:pt>
                <c:pt idx="308">
                  <c:v>-9.6609520885085001</c:v>
                </c:pt>
                <c:pt idx="309">
                  <c:v>-9.8625534872245471</c:v>
                </c:pt>
                <c:pt idx="310">
                  <c:v>-10.06423109773414</c:v>
                </c:pt>
                <c:pt idx="311">
                  <c:v>-10.265988580315293</c:v>
                </c:pt>
                <c:pt idx="312">
                  <c:v>-10.46782977411684</c:v>
                </c:pt>
                <c:pt idx="313">
                  <c:v>-10.669758706157834</c:v>
                </c:pt>
                <c:pt idx="314">
                  <c:v>-10.87177960080192</c:v>
                </c:pt>
                <c:pt idx="315">
                  <c:v>-11.073896889729472</c:v>
                </c:pt>
                <c:pt idx="316">
                  <c:v>-11.276115222437832</c:v>
                </c:pt>
                <c:pt idx="317">
                  <c:v>-11.478439477296664</c:v>
                </c:pt>
                <c:pt idx="318">
                  <c:v>-11.680874773191247</c:v>
                </c:pt>
                <c:pt idx="319">
                  <c:v>-11.883426481783857</c:v>
                </c:pt>
                <c:pt idx="320">
                  <c:v>-12.086100240430353</c:v>
                </c:pt>
                <c:pt idx="321">
                  <c:v>-12.288901965785135</c:v>
                </c:pt>
                <c:pt idx="322">
                  <c:v>-12.491837868134905</c:v>
                </c:pt>
                <c:pt idx="323">
                  <c:v>-12.694914466500084</c:v>
                </c:pt>
                <c:pt idx="324">
                  <c:v>-12.898138604546769</c:v>
                </c:pt>
                <c:pt idx="325">
                  <c:v>-13.101517467352522</c:v>
                </c:pt>
                <c:pt idx="326">
                  <c:v>-13.305058599073831</c:v>
                </c:pt>
                <c:pt idx="327">
                  <c:v>-13.508769921563568</c:v>
                </c:pt>
                <c:pt idx="328">
                  <c:v>-13.712659753988557</c:v>
                </c:pt>
                <c:pt idx="329">
                  <c:v>-13.916736833503226</c:v>
                </c:pt>
                <c:pt idx="330">
                  <c:v>-14.121010337032157</c:v>
                </c:pt>
                <c:pt idx="331">
                  <c:v>-14.325489904221859</c:v>
                </c:pt>
                <c:pt idx="332">
                  <c:v>-14.530185661621175</c:v>
                </c:pt>
                <c:pt idx="333">
                  <c:v>-14.735108248154013</c:v>
                </c:pt>
                <c:pt idx="334">
                  <c:v>-14.940268841947958</c:v>
                </c:pt>
                <c:pt idx="335">
                  <c:v>-15.145679188586584</c:v>
                </c:pt>
                <c:pt idx="336">
                  <c:v>-15.351351630853538</c:v>
                </c:pt>
                <c:pt idx="337">
                  <c:v>-15.557299140039255</c:v>
                </c:pt>
                <c:pt idx="338">
                  <c:v>-15.763535348881136</c:v>
                </c:pt>
                <c:pt idx="339">
                  <c:v>-15.970074586209632</c:v>
                </c:pt>
                <c:pt idx="340">
                  <c:v>-16.176931913372261</c:v>
                </c:pt>
                <c:pt idx="341">
                  <c:v>-16.384123162509688</c:v>
                </c:pt>
                <c:pt idx="342">
                  <c:v>-16.591664976752472</c:v>
                </c:pt>
                <c:pt idx="343">
                  <c:v>-16.79957485241038</c:v>
                </c:pt>
                <c:pt idx="344">
                  <c:v>-17.00787118321924</c:v>
                </c:pt>
                <c:pt idx="345">
                  <c:v>-17.216573306708892</c:v>
                </c:pt>
                <c:pt idx="346">
                  <c:v>-17.425701552749384</c:v>
                </c:pt>
                <c:pt idx="347">
                  <c:v>-17.635277294323952</c:v>
                </c:pt>
                <c:pt idx="348">
                  <c:v>-17.845323000572371</c:v>
                </c:pt>
                <c:pt idx="349">
                  <c:v>-18.055862292132872</c:v>
                </c:pt>
                <c:pt idx="350">
                  <c:v>-18.266919998799814</c:v>
                </c:pt>
                <c:pt idx="351">
                  <c:v>-18.478522219497734</c:v>
                </c:pt>
                <c:pt idx="352">
                  <c:v>-18.690696384552112</c:v>
                </c:pt>
                <c:pt idx="353">
                  <c:v>-18.903471320214969</c:v>
                </c:pt>
                <c:pt idx="354">
                  <c:v>-19.116877315376467</c:v>
                </c:pt>
                <c:pt idx="355">
                  <c:v>-19.330946190361026</c:v>
                </c:pt>
                <c:pt idx="356">
                  <c:v>-19.545711367672503</c:v>
                </c:pt>
                <c:pt idx="357">
                  <c:v>-19.761207944508332</c:v>
                </c:pt>
                <c:pt idx="358">
                  <c:v>-19.977472766817346</c:v>
                </c:pt>
                <c:pt idx="359">
                  <c:v>-20.194544504619934</c:v>
                </c:pt>
                <c:pt idx="360">
                  <c:v>-20.412463728249115</c:v>
                </c:pt>
                <c:pt idx="361">
                  <c:v>-20.631272985101354</c:v>
                </c:pt>
                <c:pt idx="362">
                  <c:v>-20.851016876410196</c:v>
                </c:pt>
                <c:pt idx="363">
                  <c:v>-21.071742133469336</c:v>
                </c:pt>
                <c:pt idx="364">
                  <c:v>-21.29349769263883</c:v>
                </c:pt>
                <c:pt idx="365">
                  <c:v>-21.516334768364121</c:v>
                </c:pt>
                <c:pt idx="366">
                  <c:v>-21.740306923326486</c:v>
                </c:pt>
                <c:pt idx="367">
                  <c:v>-21.965470134720896</c:v>
                </c:pt>
                <c:pt idx="368">
                  <c:v>-22.191882855529684</c:v>
                </c:pt>
                <c:pt idx="369">
                  <c:v>-22.419606069520039</c:v>
                </c:pt>
                <c:pt idx="370">
                  <c:v>-22.6487033385513</c:v>
                </c:pt>
                <c:pt idx="371">
                  <c:v>-22.879240840625876</c:v>
                </c:pt>
                <c:pt idx="372">
                  <c:v>-23.11128739696489</c:v>
                </c:pt>
                <c:pt idx="373">
                  <c:v>-23.344914486233392</c:v>
                </c:pt>
                <c:pt idx="374">
                  <c:v>-23.580196243888203</c:v>
                </c:pt>
                <c:pt idx="375">
                  <c:v>-23.817209444471974</c:v>
                </c:pt>
                <c:pt idx="376">
                  <c:v>-24.056033464541077</c:v>
                </c:pt>
                <c:pt idx="377">
                  <c:v>-24.296750223791115</c:v>
                </c:pt>
                <c:pt idx="378">
                  <c:v>-24.539444101843081</c:v>
                </c:pt>
                <c:pt idx="379">
                  <c:v>-24.784201828080555</c:v>
                </c:pt>
                <c:pt idx="380">
                  <c:v>-25.031112341888711</c:v>
                </c:pt>
                <c:pt idx="381">
                  <c:v>-25.280266620653155</c:v>
                </c:pt>
                <c:pt idx="382">
                  <c:v>-25.531757472932952</c:v>
                </c:pt>
                <c:pt idx="383">
                  <c:v>-25.785679294340369</c:v>
                </c:pt>
                <c:pt idx="384">
                  <c:v>-26.042127783846635</c:v>
                </c:pt>
                <c:pt idx="385">
                  <c:v>-26.301199618498792</c:v>
                </c:pt>
                <c:pt idx="386">
                  <c:v>-26.562992084880499</c:v>
                </c:pt>
                <c:pt idx="387">
                  <c:v>-26.827602666092794</c:v>
                </c:pt>
                <c:pt idx="388">
                  <c:v>-27.095128583564442</c:v>
                </c:pt>
                <c:pt idx="389">
                  <c:v>-27.365666293635165</c:v>
                </c:pt>
                <c:pt idx="390">
                  <c:v>-27.639310939585343</c:v>
                </c:pt>
                <c:pt idx="391">
                  <c:v>-27.916155760604795</c:v>
                </c:pt>
                <c:pt idx="392">
                  <c:v>-28.196291460093668</c:v>
                </c:pt>
                <c:pt idx="393">
                  <c:v>-28.479805536663385</c:v>
                </c:pt>
                <c:pt idx="394">
                  <c:v>-28.766781582222769</c:v>
                </c:pt>
                <c:pt idx="395">
                  <c:v>-29.057298552584708</c:v>
                </c:pt>
                <c:pt idx="396">
                  <c:v>-29.351430017077664</c:v>
                </c:pt>
                <c:pt idx="397">
                  <c:v>-29.649243394662349</c:v>
                </c:pt>
                <c:pt idx="398">
                  <c:v>-29.95079918500323</c:v>
                </c:pt>
                <c:pt idx="399">
                  <c:v>-30.256150203794387</c:v>
                </c:pt>
                <c:pt idx="400">
                  <c:v>-30.565340832340663</c:v>
                </c:pt>
                <c:pt idx="401">
                  <c:v>-30.878406291930183</c:v>
                </c:pt>
                <c:pt idx="402">
                  <c:v>-31.195371953849431</c:v>
                </c:pt>
                <c:pt idx="403">
                  <c:v>-31.516252695975837</c:v>
                </c:pt>
                <c:pt idx="404">
                  <c:v>-31.841052316705753</c:v>
                </c:pt>
                <c:pt idx="405">
                  <c:v>-32.169763016525749</c:v>
                </c:pt>
                <c:pt idx="406">
                  <c:v>-32.502364956812471</c:v>
                </c:pt>
                <c:pt idx="407">
                  <c:v>-32.838825904457849</c:v>
                </c:pt>
                <c:pt idx="408">
                  <c:v>-33.179100969679908</c:v>
                </c:pt>
                <c:pt idx="409">
                  <c:v>-33.523132442928528</c:v>
                </c:pt>
                <c:pt idx="410">
                  <c:v>-33.8708497351654</c:v>
                </c:pt>
                <c:pt idx="411">
                  <c:v>-34.222169424042995</c:v>
                </c:pt>
                <c:pt idx="412">
                  <c:v>-34.576995406673539</c:v>
                </c:pt>
                <c:pt idx="413">
                  <c:v>-34.935219157832698</c:v>
                </c:pt>
                <c:pt idx="414">
                  <c:v>-35.296720090634267</c:v>
                </c:pt>
                <c:pt idx="415">
                  <c:v>-35.661366015002876</c:v>
                </c:pt>
                <c:pt idx="416">
                  <c:v>-36.029013687708002</c:v>
                </c:pt>
                <c:pt idx="417">
                  <c:v>-36.399509446351423</c:v>
                </c:pt>
                <c:pt idx="418">
                  <c:v>-36.772689918554846</c:v>
                </c:pt>
                <c:pt idx="419">
                  <c:v>-37.148382796696161</c:v>
                </c:pt>
                <c:pt idx="420">
                  <c:v>-37.526407667911784</c:v>
                </c:pt>
                <c:pt idx="421">
                  <c:v>-37.906576888710887</c:v>
                </c:pt>
                <c:pt idx="422">
                  <c:v>-38.288696493435594</c:v>
                </c:pt>
                <c:pt idx="423">
                  <c:v>-38.67256712593263</c:v>
                </c:pt>
                <c:pt idx="424">
                  <c:v>-39.057984984135395</c:v>
                </c:pt>
                <c:pt idx="425">
                  <c:v>-39.444742767794402</c:v>
                </c:pt>
                <c:pt idx="426">
                  <c:v>-39.832630620263757</c:v>
                </c:pt>
                <c:pt idx="427">
                  <c:v>-40.221437056046753</c:v>
                </c:pt>
                <c:pt idx="428">
                  <c:v>-40.610949866680755</c:v>
                </c:pt>
                <c:pt idx="429">
                  <c:v>-41.000956998459671</c:v>
                </c:pt>
                <c:pt idx="430">
                  <c:v>-41.391247396420937</c:v>
                </c:pt>
                <c:pt idx="431">
                  <c:v>-41.781611809955308</c:v>
                </c:pt>
                <c:pt idx="432">
                  <c:v>-42.171843556273913</c:v>
                </c:pt>
                <c:pt idx="433">
                  <c:v>-42.561739238807725</c:v>
                </c:pt>
                <c:pt idx="434">
                  <c:v>-42.95109941837174</c:v>
                </c:pt>
                <c:pt idx="435">
                  <c:v>-43.339729235622485</c:v>
                </c:pt>
                <c:pt idx="436">
                  <c:v>-43.727438983942484</c:v>
                </c:pt>
                <c:pt idx="437">
                  <c:v>-44.11404463241324</c:v>
                </c:pt>
                <c:pt idx="438">
                  <c:v>-44.499368298987712</c:v>
                </c:pt>
                <c:pt idx="439">
                  <c:v>-44.883238674344888</c:v>
                </c:pt>
                <c:pt idx="440">
                  <c:v>-45.265491397214973</c:v>
                </c:pt>
                <c:pt idx="441">
                  <c:v>-45.645969382207781</c:v>
                </c:pt>
                <c:pt idx="442">
                  <c:v>-46.024523101366917</c:v>
                </c:pt>
                <c:pt idx="443">
                  <c:v>-46.401010820819479</c:v>
                </c:pt>
                <c:pt idx="444">
                  <c:v>-46.775298794003781</c:v>
                </c:pt>
                <c:pt idx="445">
                  <c:v>-47.147261413036681</c:v>
                </c:pt>
                <c:pt idx="446">
                  <c:v>-47.51678131984562</c:v>
                </c:pt>
                <c:pt idx="447">
                  <c:v>-47.883749478734636</c:v>
                </c:pt>
                <c:pt idx="448">
                  <c:v>-48.248065212089983</c:v>
                </c:pt>
                <c:pt idx="449">
                  <c:v>-48.609636200958057</c:v>
                </c:pt>
                <c:pt idx="450">
                  <c:v>-48.968378452256374</c:v>
                </c:pt>
                <c:pt idx="451">
                  <c:v>-49.32421623440122</c:v>
                </c:pt>
                <c:pt idx="452">
                  <c:v>-49.677081983159184</c:v>
                </c:pt>
                <c:pt idx="453">
                  <c:v>-50.026916179558569</c:v>
                </c:pt>
                <c:pt idx="454">
                  <c:v>-50.373667201716955</c:v>
                </c:pt>
                <c:pt idx="455">
                  <c:v>-50.717291152469528</c:v>
                </c:pt>
                <c:pt idx="456">
                  <c:v>-51.05775166470454</c:v>
                </c:pt>
                <c:pt idx="457">
                  <c:v>-51.39501968633401</c:v>
                </c:pt>
                <c:pt idx="458">
                  <c:v>-51.729073246842809</c:v>
                </c:pt>
                <c:pt idx="459">
                  <c:v>-52.059897207370732</c:v>
                </c:pt>
                <c:pt idx="460">
                  <c:v>-52.387482996286536</c:v>
                </c:pt>
                <c:pt idx="461">
                  <c:v>-52.711828332205492</c:v>
                </c:pt>
                <c:pt idx="462">
                  <c:v>-53.032936936392289</c:v>
                </c:pt>
                <c:pt idx="463">
                  <c:v>-53.350818236462572</c:v>
                </c:pt>
                <c:pt idx="464">
                  <c:v>-53.665487063265047</c:v>
                </c:pt>
                <c:pt idx="465">
                  <c:v>-53.976963342776401</c:v>
                </c:pt>
                <c:pt idx="466">
                  <c:v>-54.285271784789387</c:v>
                </c:pt>
                <c:pt idx="467">
                  <c:v>-54.590441570103287</c:v>
                </c:pt>
                <c:pt idx="468">
                  <c:v>-54.892506037850197</c:v>
                </c:pt>
                <c:pt idx="469">
                  <c:v>-55.191502374504829</c:v>
                </c:pt>
                <c:pt idx="470">
                  <c:v>-55.48747130603067</c:v>
                </c:pt>
                <c:pt idx="471">
                  <c:v>-55.780456794514201</c:v>
                </c:pt>
                <c:pt idx="472">
                  <c:v>-56.070505740529768</c:v>
                </c:pt>
                <c:pt idx="473">
                  <c:v>-56.357667692371997</c:v>
                </c:pt>
                <c:pt idx="474">
                  <c:v>-56.641994563170158</c:v>
                </c:pt>
                <c:pt idx="475">
                  <c:v>-56.923540356791086</c:v>
                </c:pt>
                <c:pt idx="476">
                  <c:v>-57.202360903313981</c:v>
                </c:pt>
                <c:pt idx="477">
                  <c:v>-57.478513604751825</c:v>
                </c:pt>
                <c:pt idx="478">
                  <c:v>-57.75205719157568</c:v>
                </c:pt>
                <c:pt idx="479">
                  <c:v>-58.023051490491312</c:v>
                </c:pt>
                <c:pt idx="480">
                  <c:v>-58.291557203812872</c:v>
                </c:pt>
                <c:pt idx="481">
                  <c:v>-58.557635700675014</c:v>
                </c:pt>
                <c:pt idx="482">
                  <c:v>-58.821348820234178</c:v>
                </c:pt>
                <c:pt idx="483">
                  <c:v>-59.082758686918275</c:v>
                </c:pt>
                <c:pt idx="484">
                  <c:v>-59.341927537703711</c:v>
                </c:pt>
                <c:pt idx="485">
                  <c:v>-59.59891756132636</c:v>
                </c:pt>
                <c:pt idx="486">
                  <c:v>-59.853790749260327</c:v>
                </c:pt>
                <c:pt idx="487">
                  <c:v>-60.106608758246338</c:v>
                </c:pt>
                <c:pt idx="488">
                  <c:v>-60.357432784089902</c:v>
                </c:pt>
                <c:pt idx="489">
                  <c:v>-60.606323446410819</c:v>
                </c:pt>
                <c:pt idx="490">
                  <c:v>-60.853340683982907</c:v>
                </c:pt>
                <c:pt idx="491">
                  <c:v>-61.098543660271119</c:v>
                </c:pt>
                <c:pt idx="492">
                  <c:v>-61.341990678746981</c:v>
                </c:pt>
                <c:pt idx="493">
                  <c:v>-61.583739107542627</c:v>
                </c:pt>
                <c:pt idx="494">
                  <c:v>-61.823845312990862</c:v>
                </c:pt>
                <c:pt idx="495">
                  <c:v>-62.062364601583099</c:v>
                </c:pt>
                <c:pt idx="496">
                  <c:v>-62.299351169878889</c:v>
                </c:pt>
                <c:pt idx="497">
                  <c:v>-62.534858061893111</c:v>
                </c:pt>
                <c:pt idx="498">
                  <c:v>-62.768937133492116</c:v>
                </c:pt>
                <c:pt idx="499">
                  <c:v>-63.001639023335386</c:v>
                </c:pt>
                <c:pt idx="500">
                  <c:v>-63.233013129906169</c:v>
                </c:pt>
                <c:pt idx="501">
                  <c:v>-63.463107594186695</c:v>
                </c:pt>
                <c:pt idx="502">
                  <c:v>-63.691969287545014</c:v>
                </c:pt>
                <c:pt idx="503">
                  <c:v>-63.91964380441631</c:v>
                </c:pt>
                <c:pt idx="504">
                  <c:v>-64.146175459374859</c:v>
                </c:pt>
                <c:pt idx="505">
                  <c:v>-64.371607288212417</c:v>
                </c:pt>
                <c:pt idx="506">
                  <c:v>-64.595981052653727</c:v>
                </c:pt>
                <c:pt idx="507">
                  <c:v>-64.819337248360554</c:v>
                </c:pt>
                <c:pt idx="508">
                  <c:v>-65.041715115891051</c:v>
                </c:pt>
                <c:pt idx="509">
                  <c:v>-65.2631526543029</c:v>
                </c:pt>
                <c:pt idx="510">
                  <c:v>-65.483686637104768</c:v>
                </c:pt>
                <c:pt idx="511">
                  <c:v>-65.703352630280165</c:v>
                </c:pt>
                <c:pt idx="512">
                  <c:v>-65.922185012125311</c:v>
                </c:pt>
                <c:pt idx="513">
                  <c:v>-66.140216994661955</c:v>
                </c:pt>
                <c:pt idx="514">
                  <c:v>-66.357480646398827</c:v>
                </c:pt>
                <c:pt idx="515">
                  <c:v>-66.574006916237366</c:v>
                </c:pt>
                <c:pt idx="516">
                  <c:v>-66.789825658330656</c:v>
                </c:pt>
                <c:pt idx="517">
                  <c:v>-67.00496565771752</c:v>
                </c:pt>
                <c:pt idx="518">
                  <c:v>-67.219454656573532</c:v>
                </c:pt>
                <c:pt idx="519">
                  <c:v>-67.433319380929916</c:v>
                </c:pt>
                <c:pt idx="520">
                  <c:v>-67.646585567726888</c:v>
                </c:pt>
                <c:pt idx="521">
                  <c:v>-67.859277992078816</c:v>
                </c:pt>
                <c:pt idx="522">
                  <c:v>-68.071420494641814</c:v>
                </c:pt>
                <c:pt idx="523">
                  <c:v>-68.283036008984297</c:v>
                </c:pt>
                <c:pt idx="524">
                  <c:v>-68.494146588871885</c:v>
                </c:pt>
                <c:pt idx="525">
                  <c:v>-68.704773435385519</c:v>
                </c:pt>
                <c:pt idx="526">
                  <c:v>-68.914936923804859</c:v>
                </c:pt>
                <c:pt idx="527">
                  <c:v>-69.124656630192462</c:v>
                </c:pt>
                <c:pt idx="528">
                  <c:v>-69.333951357624301</c:v>
                </c:pt>
                <c:pt idx="529">
                  <c:v>-69.542839162021266</c:v>
                </c:pt>
                <c:pt idx="530">
                  <c:v>-69.751337377535918</c:v>
                </c:pt>
                <c:pt idx="531">
                  <c:v>-69.959462641464512</c:v>
                </c:pt>
                <c:pt idx="532">
                  <c:v>-70.167230918649722</c:v>
                </c:pt>
                <c:pt idx="533">
                  <c:v>-70.374657525353385</c:v>
                </c:pt>
                <c:pt idx="534">
                  <c:v>-70.581757152575889</c:v>
                </c:pt>
                <c:pt idx="535">
                  <c:v>-70.788543888807354</c:v>
                </c:pt>
                <c:pt idx="536">
                  <c:v>-70.995031242198209</c:v>
                </c:pt>
                <c:pt idx="537">
                  <c:v>-71.201232162140599</c:v>
                </c:pt>
                <c:pt idx="538">
                  <c:v>-71.40715906025298</c:v>
                </c:pt>
                <c:pt idx="539">
                  <c:v>-71.612823830766359</c:v>
                </c:pt>
                <c:pt idx="540">
                  <c:v>-71.818237870310497</c:v>
                </c:pt>
                <c:pt idx="541">
                  <c:v>-72.023412097101257</c:v>
                </c:pt>
              </c:numCache>
            </c:numRef>
          </c:yVal>
          <c:smooth val="1"/>
          <c:extLst>
            <c:ext xmlns:c16="http://schemas.microsoft.com/office/drawing/2014/chart" uri="{C3380CC4-5D6E-409C-BE32-E72D297353CC}">
              <c16:uniqueId val="{00000000-D13D-4F31-A1F4-F359C82058E5}"/>
            </c:ext>
          </c:extLst>
        </c:ser>
        <c:dLbls>
          <c:showLegendKey val="0"/>
          <c:showVal val="0"/>
          <c:showCatName val="0"/>
          <c:showSerName val="0"/>
          <c:showPercent val="0"/>
          <c:showBubbleSize val="0"/>
        </c:dLbls>
        <c:axId val="331786112"/>
        <c:axId val="331788288"/>
      </c:scatterChart>
      <c:scatterChart>
        <c:scatterStyle val="smoothMarker"/>
        <c:varyColors val="0"/>
        <c:ser>
          <c:idx val="1"/>
          <c:order val="1"/>
          <c:tx>
            <c:v>Phase (deg)</c:v>
          </c:tx>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CCM_Loop_Modeling_Isolated!$AE$19:$AE$560</c:f>
              <c:numCache>
                <c:formatCode>General</c:formatCode>
                <c:ptCount val="542"/>
                <c:pt idx="0">
                  <c:v>-53.951773563977461</c:v>
                </c:pt>
                <c:pt idx="1">
                  <c:v>-54.577462125052698</c:v>
                </c:pt>
                <c:pt idx="2">
                  <c:v>-55.19845180398498</c:v>
                </c:pt>
                <c:pt idx="3">
                  <c:v>-55.814488849896833</c:v>
                </c:pt>
                <c:pt idx="4">
                  <c:v>-56.425330736103184</c:v>
                </c:pt>
                <c:pt idx="5">
                  <c:v>-57.030746471977253</c:v>
                </c:pt>
                <c:pt idx="6">
                  <c:v>-57.630516858220105</c:v>
                </c:pt>
                <c:pt idx="7">
                  <c:v>-58.224434686325999</c:v>
                </c:pt>
                <c:pt idx="8">
                  <c:v>-58.812304883449997</c:v>
                </c:pt>
                <c:pt idx="9">
                  <c:v>-59.393944604278779</c:v>
                </c:pt>
                <c:pt idx="10">
                  <c:v>-59.969183271837132</c:v>
                </c:pt>
                <c:pt idx="11">
                  <c:v>-60.53786256947658</c:v>
                </c:pt>
                <c:pt idx="12">
                  <c:v>-61.099836386541938</c:v>
                </c:pt>
                <c:pt idx="13">
                  <c:v>-61.654970720431493</c:v>
                </c:pt>
                <c:pt idx="14">
                  <c:v>-62.203143537939006</c:v>
                </c:pt>
                <c:pt idx="15">
                  <c:v>-62.744244598892074</c:v>
                </c:pt>
                <c:pt idx="16">
                  <c:v>-63.278175245197922</c:v>
                </c:pt>
                <c:pt idx="17">
                  <c:v>-63.804848158453453</c:v>
                </c:pt>
                <c:pt idx="18">
                  <c:v>-64.324187089297951</c:v>
                </c:pt>
                <c:pt idx="19">
                  <c:v>-64.836126561668252</c:v>
                </c:pt>
                <c:pt idx="20">
                  <c:v>-65.340611555071817</c:v>
                </c:pt>
                <c:pt idx="21">
                  <c:v>-65.837597167922311</c:v>
                </c:pt>
                <c:pt idx="22">
                  <c:v>-66.327048264885548</c:v>
                </c:pt>
                <c:pt idx="23">
                  <c:v>-66.808939111076867</c:v>
                </c:pt>
                <c:pt idx="24">
                  <c:v>-67.283252995807089</c:v>
                </c:pt>
                <c:pt idx="25">
                  <c:v>-67.749981848450318</c:v>
                </c:pt>
                <c:pt idx="26">
                  <c:v>-68.209125848835441</c:v>
                </c:pt>
                <c:pt idx="27">
                  <c:v>-68.660693034413598</c:v>
                </c:pt>
                <c:pt idx="28">
                  <c:v>-69.104698906286643</c:v>
                </c:pt>
                <c:pt idx="29">
                  <c:v>-69.541166036008477</c:v>
                </c:pt>
                <c:pt idx="30">
                  <c:v>-69.97012367491287</c:v>
                </c:pt>
                <c:pt idx="31">
                  <c:v>-70.391607367545419</c:v>
                </c:pt>
                <c:pt idx="32">
                  <c:v>-70.805658570618618</c:v>
                </c:pt>
                <c:pt idx="33">
                  <c:v>-71.212324278752533</c:v>
                </c:pt>
                <c:pt idx="34">
                  <c:v>-71.611656658103215</c:v>
                </c:pt>
                <c:pt idx="35">
                  <c:v>-72.003712688844857</c:v>
                </c:pt>
                <c:pt idx="36">
                  <c:v>-72.388553817321053</c:v>
                </c:pt>
                <c:pt idx="37">
                  <c:v>-72.766245618561001</c:v>
                </c:pt>
                <c:pt idx="38">
                  <c:v>-73.136857469724532</c:v>
                </c:pt>
                <c:pt idx="39">
                  <c:v>-73.500462234931121</c:v>
                </c:pt>
                <c:pt idx="40">
                  <c:v>-73.857135961818969</c:v>
                </c:pt>
                <c:pt idx="41">
                  <c:v>-74.206957590088621</c:v>
                </c:pt>
                <c:pt idx="42">
                  <c:v>-74.550008672187744</c:v>
                </c:pt>
                <c:pt idx="43">
                  <c:v>-74.886373106223672</c:v>
                </c:pt>
                <c:pt idx="44">
                  <c:v>-75.216136881112135</c:v>
                </c:pt>
                <c:pt idx="45">
                  <c:v>-75.539387833905977</c:v>
                </c:pt>
                <c:pt idx="46">
                  <c:v>-75.856215419195379</c:v>
                </c:pt>
                <c:pt idx="47">
                  <c:v>-76.16671049041355</c:v>
                </c:pt>
                <c:pt idx="48">
                  <c:v>-76.470965092846328</c:v>
                </c:pt>
                <c:pt idx="49">
                  <c:v>-76.769072268098981</c:v>
                </c:pt>
                <c:pt idx="50">
                  <c:v>-77.06112586974875</c:v>
                </c:pt>
                <c:pt idx="51">
                  <c:v>-77.347220389877933</c:v>
                </c:pt>
                <c:pt idx="52">
                  <c:v>-77.627450796167395</c:v>
                </c:pt>
                <c:pt idx="53">
                  <c:v>-77.901912379207573</c:v>
                </c:pt>
                <c:pt idx="54">
                  <c:v>-78.17070060967329</c:v>
                </c:pt>
                <c:pt idx="55">
                  <c:v>-78.433911004999516</c:v>
                </c:pt>
                <c:pt idx="56">
                  <c:v>-78.691639005185451</c:v>
                </c:pt>
                <c:pt idx="57">
                  <c:v>-78.943979857354748</c:v>
                </c:pt>
                <c:pt idx="58">
                  <c:v>-79.191028508694558</c:v>
                </c:pt>
                <c:pt idx="59">
                  <c:v>-79.432879507400401</c:v>
                </c:pt>
                <c:pt idx="60">
                  <c:v>-79.669626911255691</c:v>
                </c:pt>
                <c:pt idx="61">
                  <c:v>-79.901364203477641</c:v>
                </c:pt>
                <c:pt idx="62">
                  <c:v>-80.128184215471961</c:v>
                </c:pt>
                <c:pt idx="63">
                  <c:v>-80.35017905614086</c:v>
                </c:pt>
                <c:pt idx="64">
                  <c:v>-80.567440047402386</c:v>
                </c:pt>
                <c:pt idx="65">
                  <c:v>-80.780057665584053</c:v>
                </c:pt>
                <c:pt idx="66">
                  <c:v>-80.988121488367256</c:v>
                </c:pt>
                <c:pt idx="67">
                  <c:v>-81.191720146967455</c:v>
                </c:pt>
                <c:pt idx="68">
                  <c:v>-81.390941283246164</c:v>
                </c:pt>
                <c:pt idx="69">
                  <c:v>-81.585871511463367</c:v>
                </c:pt>
                <c:pt idx="70">
                  <c:v>-81.776596384389023</c:v>
                </c:pt>
                <c:pt idx="71">
                  <c:v>-81.963200363504114</c:v>
                </c:pt>
                <c:pt idx="72">
                  <c:v>-82.145766793033772</c:v>
                </c:pt>
                <c:pt idx="73">
                  <c:v>-82.324377877565752</c:v>
                </c:pt>
                <c:pt idx="74">
                  <c:v>-82.499114663019029</c:v>
                </c:pt>
                <c:pt idx="75">
                  <c:v>-82.670057020739222</c:v>
                </c:pt>
                <c:pt idx="76">
                  <c:v>-82.837283634506761</c:v>
                </c:pt>
                <c:pt idx="77">
                  <c:v>-83.000871990256471</c:v>
                </c:pt>
                <c:pt idx="78">
                  <c:v>-83.160898368315642</c:v>
                </c:pt>
                <c:pt idx="79">
                  <c:v>-83.317437837979625</c:v>
                </c:pt>
                <c:pt idx="80">
                  <c:v>-83.470564254252196</c:v>
                </c:pt>
                <c:pt idx="81">
                  <c:v>-83.620350256588324</c:v>
                </c:pt>
                <c:pt idx="82">
                  <c:v>-83.766867269485843</c:v>
                </c:pt>
                <c:pt idx="83">
                  <c:v>-83.910185504781097</c:v>
                </c:pt>
                <c:pt idx="84">
                  <c:v>-84.050373965512364</c:v>
                </c:pt>
                <c:pt idx="85">
                  <c:v>-84.18750045122232</c:v>
                </c:pt>
                <c:pt idx="86">
                  <c:v>-84.321631564579661</c:v>
                </c:pt>
                <c:pt idx="87">
                  <c:v>-84.452832719205418</c:v>
                </c:pt>
                <c:pt idx="88">
                  <c:v>-84.581168148599204</c:v>
                </c:pt>
                <c:pt idx="89">
                  <c:v>-84.70670091606388</c:v>
                </c:pt>
                <c:pt idx="90">
                  <c:v>-84.829492925537352</c:v>
                </c:pt>
                <c:pt idx="91">
                  <c:v>-84.949604933242952</c:v>
                </c:pt>
                <c:pt idx="92">
                  <c:v>-85.067096560076649</c:v>
                </c:pt>
                <c:pt idx="93">
                  <c:v>-85.18202630465629</c:v>
                </c:pt>
                <c:pt idx="94">
                  <c:v>-85.294451556960553</c:v>
                </c:pt>
                <c:pt idx="95">
                  <c:v>-85.40442861249214</c:v>
                </c:pt>
                <c:pt idx="96">
                  <c:v>-85.512012686903191</c:v>
                </c:pt>
                <c:pt idx="97">
                  <c:v>-85.617257931026089</c:v>
                </c:pt>
                <c:pt idx="98">
                  <c:v>-85.720217446256171</c:v>
                </c:pt>
                <c:pt idx="99">
                  <c:v>-85.820943300237076</c:v>
                </c:pt>
                <c:pt idx="100">
                  <c:v>-85.919486542802616</c:v>
                </c:pt>
                <c:pt idx="101">
                  <c:v>-86.015897222133745</c:v>
                </c:pt>
                <c:pt idx="102">
                  <c:v>-86.110224401090264</c:v>
                </c:pt>
                <c:pt idx="103">
                  <c:v>-86.202516173682042</c:v>
                </c:pt>
                <c:pt idx="104">
                  <c:v>-86.292819681646023</c:v>
                </c:pt>
                <c:pt idx="105">
                  <c:v>-86.381181131098415</c:v>
                </c:pt>
                <c:pt idx="106">
                  <c:v>-86.467645809233574</c:v>
                </c:pt>
                <c:pt idx="107">
                  <c:v>-86.552258101044103</c:v>
                </c:pt>
                <c:pt idx="108">
                  <c:v>-86.635061506038255</c:v>
                </c:pt>
                <c:pt idx="109">
                  <c:v>-86.716098654932907</c:v>
                </c:pt>
                <c:pt idx="110">
                  <c:v>-86.795411326302172</c:v>
                </c:pt>
                <c:pt idx="111">
                  <c:v>-86.87304046316396</c:v>
                </c:pt>
                <c:pt idx="112">
                  <c:v>-86.949026189487924</c:v>
                </c:pt>
                <c:pt idx="113">
                  <c:v>-87.023407826609926</c:v>
                </c:pt>
                <c:pt idx="114">
                  <c:v>-87.096223909539759</c:v>
                </c:pt>
                <c:pt idx="115">
                  <c:v>-87.167512203150167</c:v>
                </c:pt>
                <c:pt idx="116">
                  <c:v>-87.237309718235934</c:v>
                </c:pt>
                <c:pt idx="117">
                  <c:v>-87.305652727434264</c:v>
                </c:pt>
                <c:pt idx="118">
                  <c:v>-87.372576780997051</c:v>
                </c:pt>
                <c:pt idx="119">
                  <c:v>-87.438116722408012</c:v>
                </c:pt>
                <c:pt idx="120">
                  <c:v>-87.502306703838073</c:v>
                </c:pt>
                <c:pt idx="121">
                  <c:v>-87.565180201433151</c:v>
                </c:pt>
                <c:pt idx="122">
                  <c:v>-87.626770030429412</c:v>
                </c:pt>
                <c:pt idx="123">
                  <c:v>-87.687108360092111</c:v>
                </c:pt>
                <c:pt idx="124">
                  <c:v>-87.746226728474241</c:v>
                </c:pt>
                <c:pt idx="125">
                  <c:v>-87.804156056992156</c:v>
                </c:pt>
                <c:pt idx="126">
                  <c:v>-87.860926664816489</c:v>
                </c:pt>
                <c:pt idx="127">
                  <c:v>-87.916568283075804</c:v>
                </c:pt>
                <c:pt idx="128">
                  <c:v>-87.971110068872377</c:v>
                </c:pt>
                <c:pt idx="129">
                  <c:v>-88.024580619109685</c:v>
                </c:pt>
                <c:pt idx="130">
                  <c:v>-88.07700798413029</c:v>
                </c:pt>
                <c:pt idx="131">
                  <c:v>-88.128419681165269</c:v>
                </c:pt>
                <c:pt idx="132">
                  <c:v>-88.178842707595194</c:v>
                </c:pt>
                <c:pt idx="133">
                  <c:v>-88.228303554023569</c:v>
                </c:pt>
                <c:pt idx="134">
                  <c:v>-88.276828217163668</c:v>
                </c:pt>
                <c:pt idx="135">
                  <c:v>-88.32444221254049</c:v>
                </c:pt>
                <c:pt idx="136">
                  <c:v>-88.371170587009388</c:v>
                </c:pt>
                <c:pt idx="137">
                  <c:v>-88.417037931093049</c:v>
                </c:pt>
                <c:pt idx="138">
                  <c:v>-88.462068391139141</c:v>
                </c:pt>
                <c:pt idx="139">
                  <c:v>-88.50628568130108</c:v>
                </c:pt>
                <c:pt idx="140">
                  <c:v>-88.549713095343918</c:v>
                </c:pt>
                <c:pt idx="141">
                  <c:v>-88.592373518278649</c:v>
                </c:pt>
                <c:pt idx="142">
                  <c:v>-88.634289437827121</c:v>
                </c:pt>
                <c:pt idx="143">
                  <c:v>-88.675482955720739</c:v>
                </c:pt>
                <c:pt idx="144">
                  <c:v>-88.715975798836297</c:v>
                </c:pt>
                <c:pt idx="145">
                  <c:v>-88.755789330171353</c:v>
                </c:pt>
                <c:pt idx="146">
                  <c:v>-88.794944559663278</c:v>
                </c:pt>
                <c:pt idx="147">
                  <c:v>-88.833462154854644</c:v>
                </c:pt>
                <c:pt idx="148">
                  <c:v>-88.871362451408572</c:v>
                </c:pt>
                <c:pt idx="149">
                  <c:v>-88.908665463477789</c:v>
                </c:pt>
                <c:pt idx="150">
                  <c:v>-88.945390893930394</c:v>
                </c:pt>
                <c:pt idx="151">
                  <c:v>-88.981558144436505</c:v>
                </c:pt>
                <c:pt idx="152">
                  <c:v>-89.017186325419033</c:v>
                </c:pt>
                <c:pt idx="153">
                  <c:v>-89.052294265872348</c:v>
                </c:pt>
                <c:pt idx="154">
                  <c:v>-89.086900523052776</c:v>
                </c:pt>
                <c:pt idx="155">
                  <c:v>-89.121023392044364</c:v>
                </c:pt>
                <c:pt idx="156">
                  <c:v>-89.154680915203841</c:v>
                </c:pt>
                <c:pt idx="157">
                  <c:v>-89.187890891488607</c:v>
                </c:pt>
                <c:pt idx="158">
                  <c:v>-89.220670885671538</c:v>
                </c:pt>
                <c:pt idx="159">
                  <c:v>-89.253038237446376</c:v>
                </c:pt>
                <c:pt idx="160">
                  <c:v>-89.285010070427546</c:v>
                </c:pt>
                <c:pt idx="161">
                  <c:v>-89.316603301048445</c:v>
                </c:pt>
                <c:pt idx="162">
                  <c:v>-89.347834647361708</c:v>
                </c:pt>
                <c:pt idx="163">
                  <c:v>-89.378720637745701</c:v>
                </c:pt>
                <c:pt idx="164">
                  <c:v>-89.409277619520864</c:v>
                </c:pt>
                <c:pt idx="165">
                  <c:v>-89.439521767479732</c:v>
                </c:pt>
                <c:pt idx="166">
                  <c:v>-89.469469092334819</c:v>
                </c:pt>
                <c:pt idx="167">
                  <c:v>-89.499135449087774</c:v>
                </c:pt>
                <c:pt idx="168">
                  <c:v>-89.528536545324172</c:v>
                </c:pt>
                <c:pt idx="169">
                  <c:v>-89.557687949437295</c:v>
                </c:pt>
                <c:pt idx="170">
                  <c:v>-89.586605098785313</c:v>
                </c:pt>
                <c:pt idx="171">
                  <c:v>-89.615303307785197</c:v>
                </c:pt>
                <c:pt idx="172">
                  <c:v>-89.643797775947604</c:v>
                </c:pt>
                <c:pt idx="173">
                  <c:v>-89.672103595856441</c:v>
                </c:pt>
                <c:pt idx="174">
                  <c:v>-89.700235761096877</c:v>
                </c:pt>
                <c:pt idx="175">
                  <c:v>-89.728209174135969</c:v>
                </c:pt>
                <c:pt idx="176">
                  <c:v>-89.756038654159184</c:v>
                </c:pt>
                <c:pt idx="177">
                  <c:v>-89.783738944867395</c:v>
                </c:pt>
                <c:pt idx="178">
                  <c:v>-89.811324722237543</c:v>
                </c:pt>
                <c:pt idx="179">
                  <c:v>-89.838810602251158</c:v>
                </c:pt>
                <c:pt idx="180">
                  <c:v>-89.866211148594559</c:v>
                </c:pt>
                <c:pt idx="181">
                  <c:v>-89.893540880334498</c:v>
                </c:pt>
                <c:pt idx="182">
                  <c:v>-89.920814279572994</c:v>
                </c:pt>
                <c:pt idx="183">
                  <c:v>-89.948045799085676</c:v>
                </c:pt>
                <c:pt idx="184">
                  <c:v>-89.975249869946722</c:v>
                </c:pt>
                <c:pt idx="185">
                  <c:v>-90.002440909145079</c:v>
                </c:pt>
                <c:pt idx="186">
                  <c:v>-90.029633327195256</c:v>
                </c:pt>
                <c:pt idx="187">
                  <c:v>-90.056841535746742</c:v>
                </c:pt>
                <c:pt idx="188">
                  <c:v>-90.084079955196032</c:v>
                </c:pt>
                <c:pt idx="189">
                  <c:v>-90.111363022305085</c:v>
                </c:pt>
                <c:pt idx="190">
                  <c:v>-90.138705197830021</c:v>
                </c:pt>
                <c:pt idx="191">
                  <c:v>-90.166120974164158</c:v>
                </c:pt>
                <c:pt idx="192">
                  <c:v>-90.193624882999217</c:v>
                </c:pt>
                <c:pt idx="193">
                  <c:v>-90.221231503008667</c:v>
                </c:pt>
                <c:pt idx="194">
                  <c:v>-90.248955467557167</c:v>
                </c:pt>
                <c:pt idx="195">
                  <c:v>-90.276811472440102</c:v>
                </c:pt>
                <c:pt idx="196">
                  <c:v>-90.304814283657407</c:v>
                </c:pt>
                <c:pt idx="197">
                  <c:v>-90.332978745225205</c:v>
                </c:pt>
                <c:pt idx="198">
                  <c:v>-90.361319787029998</c:v>
                </c:pt>
                <c:pt idx="199">
                  <c:v>-90.389852432728986</c:v>
                </c:pt>
                <c:pt idx="200">
                  <c:v>-90.41859180770075</c:v>
                </c:pt>
                <c:pt idx="201">
                  <c:v>-90.447553147050741</c:v>
                </c:pt>
                <c:pt idx="202">
                  <c:v>-90.476751803675072</c:v>
                </c:pt>
                <c:pt idx="203">
                  <c:v>-90.506203256387764</c:v>
                </c:pt>
                <c:pt idx="204">
                  <c:v>-90.535923118114738</c:v>
                </c:pt>
                <c:pt idx="205">
                  <c:v>-90.565927144159531</c:v>
                </c:pt>
                <c:pt idx="206">
                  <c:v>-90.596231240544768</c:v>
                </c:pt>
                <c:pt idx="207">
                  <c:v>-90.626851472433685</c:v>
                </c:pt>
                <c:pt idx="208">
                  <c:v>-90.657804072636324</c:v>
                </c:pt>
                <c:pt idx="209">
                  <c:v>-90.689105450204721</c:v>
                </c:pt>
                <c:pt idx="210">
                  <c:v>-90.720772199121541</c:v>
                </c:pt>
                <c:pt idx="211">
                  <c:v>-90.752821107086945</c:v>
                </c:pt>
                <c:pt idx="212">
                  <c:v>-90.785269164407964</c:v>
                </c:pt>
                <c:pt idx="213">
                  <c:v>-90.818133572995279</c:v>
                </c:pt>
                <c:pt idx="214">
                  <c:v>-90.851431755472035</c:v>
                </c:pt>
                <c:pt idx="215">
                  <c:v>-90.8851813643995</c:v>
                </c:pt>
                <c:pt idx="216">
                  <c:v>-90.91940029162437</c:v>
                </c:pt>
                <c:pt idx="217">
                  <c:v>-90.954106677752534</c:v>
                </c:pt>
                <c:pt idx="218">
                  <c:v>-90.989318921754474</c:v>
                </c:pt>
                <c:pt idx="219">
                  <c:v>-91.025055690707191</c:v>
                </c:pt>
                <c:pt idx="220">
                  <c:v>-91.061335929677611</c:v>
                </c:pt>
                <c:pt idx="221">
                  <c:v>-91.098178871753078</c:v>
                </c:pt>
                <c:pt idx="222">
                  <c:v>-91.135604048223612</c:v>
                </c:pt>
                <c:pt idx="223">
                  <c:v>-91.173631298921819</c:v>
                </c:pt>
                <c:pt idx="224">
                  <c:v>-91.212280782725429</c:v>
                </c:pt>
                <c:pt idx="225">
                  <c:v>-91.251572988228048</c:v>
                </c:pt>
                <c:pt idx="226">
                  <c:v>-91.291528744584141</c:v>
                </c:pt>
                <c:pt idx="227">
                  <c:v>-91.33216923253292</c:v>
                </c:pt>
                <c:pt idx="228">
                  <c:v>-91.373515995608017</c:v>
                </c:pt>
                <c:pt idx="229">
                  <c:v>-91.415590951538121</c:v>
                </c:pt>
                <c:pt idx="230">
                  <c:v>-91.458416403844396</c:v>
                </c:pt>
                <c:pt idx="231">
                  <c:v>-91.502015053641358</c:v>
                </c:pt>
                <c:pt idx="232">
                  <c:v>-91.546410011646671</c:v>
                </c:pt>
                <c:pt idx="233">
                  <c:v>-91.5916248104066</c:v>
                </c:pt>
                <c:pt idx="234">
                  <c:v>-91.637683416742988</c:v>
                </c:pt>
                <c:pt idx="235">
                  <c:v>-91.684610244428811</c:v>
                </c:pt>
                <c:pt idx="236">
                  <c:v>-91.732430167098315</c:v>
                </c:pt>
                <c:pt idx="237">
                  <c:v>-91.781168531398563</c:v>
                </c:pt>
                <c:pt idx="238">
                  <c:v>-91.830851170389593</c:v>
                </c:pt>
                <c:pt idx="239">
                  <c:v>-91.881504417199366</c:v>
                </c:pt>
                <c:pt idx="240">
                  <c:v>-91.933155118941201</c:v>
                </c:pt>
                <c:pt idx="241">
                  <c:v>-91.985830650900425</c:v>
                </c:pt>
                <c:pt idx="242">
                  <c:v>-92.039558930997927</c:v>
                </c:pt>
                <c:pt idx="243">
                  <c:v>-92.094368434537387</c:v>
                </c:pt>
                <c:pt idx="244">
                  <c:v>-92.150288209244465</c:v>
                </c:pt>
                <c:pt idx="245">
                  <c:v>-92.207347890605234</c:v>
                </c:pt>
                <c:pt idx="246">
                  <c:v>-92.265577717511491</c:v>
                </c:pt>
                <c:pt idx="247">
                  <c:v>-92.325008548221518</c:v>
                </c:pt>
                <c:pt idx="248">
                  <c:v>-92.385671876643698</c:v>
                </c:pt>
                <c:pt idx="249">
                  <c:v>-92.447599848951711</c:v>
                </c:pt>
                <c:pt idx="250">
                  <c:v>-92.510825280539422</c:v>
                </c:pt>
                <c:pt idx="251">
                  <c:v>-92.57538167332423</c:v>
                </c:pt>
                <c:pt idx="252">
                  <c:v>-92.641303233407442</c:v>
                </c:pt>
                <c:pt idx="253">
                  <c:v>-92.708624889100292</c:v>
                </c:pt>
                <c:pt idx="254">
                  <c:v>-92.777382309325233</c:v>
                </c:pt>
                <c:pt idx="255">
                  <c:v>-92.847611922400944</c:v>
                </c:pt>
                <c:pt idx="256">
                  <c:v>-92.919350935220564</c:v>
                </c:pt>
                <c:pt idx="257">
                  <c:v>-92.992637352833157</c:v>
                </c:pt>
                <c:pt idx="258">
                  <c:v>-93.067509998437231</c:v>
                </c:pt>
                <c:pt idx="259">
                  <c:v>-93.14400853379658</c:v>
                </c:pt>
                <c:pt idx="260">
                  <c:v>-93.222173480088316</c:v>
                </c:pt>
                <c:pt idx="261">
                  <c:v>-93.302046239193146</c:v>
                </c:pt>
                <c:pt idx="262">
                  <c:v>-93.383669115438153</c:v>
                </c:pt>
                <c:pt idx="263">
                  <c:v>-93.467085337802672</c:v>
                </c:pt>
                <c:pt idx="264">
                  <c:v>-93.552339082597584</c:v>
                </c:pt>
                <c:pt idx="265">
                  <c:v>-93.639475496629046</c:v>
                </c:pt>
                <c:pt idx="266">
                  <c:v>-93.728540720857325</c:v>
                </c:pt>
                <c:pt idx="267">
                  <c:v>-93.819581914562008</c:v>
                </c:pt>
                <c:pt idx="268">
                  <c:v>-93.912647280024672</c:v>
                </c:pt>
                <c:pt idx="269">
                  <c:v>-94.007786087740342</c:v>
                </c:pt>
                <c:pt idx="270">
                  <c:v>-94.105048702169285</c:v>
                </c:pt>
                <c:pt idx="271">
                  <c:v>-94.204486608040966</c:v>
                </c:pt>
                <c:pt idx="272">
                  <c:v>-94.306152437221371</c:v>
                </c:pt>
                <c:pt idx="273">
                  <c:v>-94.410099996156248</c:v>
                </c:pt>
                <c:pt idx="274">
                  <c:v>-94.516384293901751</c:v>
                </c:pt>
                <c:pt idx="275">
                  <c:v>-94.625061570754852</c:v>
                </c:pt>
                <c:pt idx="276">
                  <c:v>-94.736189327495708</c:v>
                </c:pt>
                <c:pt idx="277">
                  <c:v>-94.849826355253967</c:v>
                </c:pt>
                <c:pt idx="278">
                  <c:v>-94.966032766011608</c:v>
                </c:pt>
                <c:pt idx="279">
                  <c:v>-95.084870023754718</c:v>
                </c:pt>
                <c:pt idx="280">
                  <c:v>-95.206400976286318</c:v>
                </c:pt>
                <c:pt idx="281">
                  <c:v>-95.330689887712737</c:v>
                </c:pt>
                <c:pt idx="282">
                  <c:v>-95.457802471616176</c:v>
                </c:pt>
                <c:pt idx="283">
                  <c:v>-95.587805924925277</c:v>
                </c:pt>
                <c:pt idx="284">
                  <c:v>-95.720768962496408</c:v>
                </c:pt>
                <c:pt idx="285">
                  <c:v>-95.856761852417421</c:v>
                </c:pt>
                <c:pt idx="286">
                  <c:v>-95.995856452045842</c:v>
                </c:pt>
                <c:pt idx="287">
                  <c:v>-96.138126244794137</c:v>
                </c:pt>
                <c:pt idx="288">
                  <c:v>-96.283646377671488</c:v>
                </c:pt>
                <c:pt idx="289">
                  <c:v>-96.432493699596307</c:v>
                </c:pt>
                <c:pt idx="290">
                  <c:v>-96.584746800486997</c:v>
                </c:pt>
                <c:pt idx="291">
                  <c:v>-96.740486051144572</c:v>
                </c:pt>
                <c:pt idx="292">
                  <c:v>-96.899793643934089</c:v>
                </c:pt>
                <c:pt idx="293">
                  <c:v>-97.062753634277044</c:v>
                </c:pt>
                <c:pt idx="294">
                  <c:v>-97.229451982960839</c:v>
                </c:pt>
                <c:pt idx="295">
                  <c:v>-97.399976599275377</c:v>
                </c:pt>
                <c:pt idx="296">
                  <c:v>-97.574417384982183</c:v>
                </c:pt>
                <c:pt idx="297">
                  <c:v>-97.752866279122571</c:v>
                </c:pt>
                <c:pt idx="298">
                  <c:v>-97.93541730367042</c:v>
                </c:pt>
                <c:pt idx="299">
                  <c:v>-98.122166610031812</c:v>
                </c:pt>
                <c:pt idx="300">
                  <c:v>-98.313212526394196</c:v>
                </c:pt>
                <c:pt idx="301">
                  <c:v>-98.508655605925853</c:v>
                </c:pt>
                <c:pt idx="302">
                  <c:v>-98.708598675823481</c:v>
                </c:pt>
                <c:pt idx="303">
                  <c:v>-98.913146887204391</c:v>
                </c:pt>
                <c:pt idx="304">
                  <c:v>-99.122407765838162</c:v>
                </c:pt>
                <c:pt idx="305">
                  <c:v>-99.336491263707956</c:v>
                </c:pt>
                <c:pt idx="306">
                  <c:v>-99.555509811390678</c:v>
                </c:pt>
                <c:pt idx="307">
                  <c:v>-99.7795783712413</c:v>
                </c:pt>
                <c:pt idx="308">
                  <c:v>-100.00881449136206</c:v>
                </c:pt>
                <c:pt idx="309">
                  <c:v>-100.2433383603346</c:v>
                </c:pt>
                <c:pt idx="310">
                  <c:v>-100.48327286268756</c:v>
                </c:pt>
                <c:pt idx="311">
                  <c:v>-100.72874363506702</c:v>
                </c:pt>
                <c:pt idx="312">
                  <c:v>-100.97987912307225</c:v>
                </c:pt>
                <c:pt idx="313">
                  <c:v>-101.23681063871273</c:v>
                </c:pt>
                <c:pt idx="314">
                  <c:v>-101.49967241843407</c:v>
                </c:pt>
                <c:pt idx="315">
                  <c:v>-101.7686016816549</c:v>
                </c:pt>
                <c:pt idx="316">
                  <c:v>-102.04373868974683</c:v>
                </c:pt>
                <c:pt idx="317">
                  <c:v>-102.32522680537969</c:v>
                </c:pt>
                <c:pt idx="318">
                  <c:v>-102.6132125521453</c:v>
                </c:pt>
                <c:pt idx="319">
                  <c:v>-102.90784567435966</c:v>
                </c:pt>
                <c:pt idx="320">
                  <c:v>-103.20927919693072</c:v>
                </c:pt>
                <c:pt idx="321">
                  <c:v>-103.51766948516634</c:v>
                </c:pt>
                <c:pt idx="322">
                  <c:v>-103.83317630437821</c:v>
                </c:pt>
                <c:pt idx="323">
                  <c:v>-104.15596287912199</c:v>
                </c:pt>
                <c:pt idx="324">
                  <c:v>-104.48619595189696</c:v>
                </c:pt>
                <c:pt idx="325">
                  <c:v>-104.82404584109814</c:v>
                </c:pt>
                <c:pt idx="326">
                  <c:v>-105.16968649800333</c:v>
                </c:pt>
                <c:pt idx="327">
                  <c:v>-105.52329556254037</c:v>
                </c:pt>
                <c:pt idx="328">
                  <c:v>-105.8850544175571</c:v>
                </c:pt>
                <c:pt idx="329">
                  <c:v>-106.25514824128483</c:v>
                </c:pt>
                <c:pt idx="330">
                  <c:v>-106.63376605764753</c:v>
                </c:pt>
                <c:pt idx="331">
                  <c:v>-107.02110078403686</c:v>
                </c:pt>
                <c:pt idx="332">
                  <c:v>-107.41734927612619</c:v>
                </c:pt>
                <c:pt idx="333">
                  <c:v>-107.82271236925489</c:v>
                </c:pt>
                <c:pt idx="334">
                  <c:v>-108.23739491586109</c:v>
                </c:pt>
                <c:pt idx="335">
                  <c:v>-108.66160581838845</c:v>
                </c:pt>
                <c:pt idx="336">
                  <c:v>-109.09555805702956</c:v>
                </c:pt>
                <c:pt idx="337">
                  <c:v>-109.53946871160927</c:v>
                </c:pt>
                <c:pt idx="338">
                  <c:v>-109.99355897683111</c:v>
                </c:pt>
                <c:pt idx="339">
                  <c:v>-110.45805417003923</c:v>
                </c:pt>
                <c:pt idx="340">
                  <c:v>-110.933183730561</c:v>
                </c:pt>
                <c:pt idx="341">
                  <c:v>-111.4191812096047</c:v>
                </c:pt>
                <c:pt idx="342">
                  <c:v>-111.91628424958546</c:v>
                </c:pt>
                <c:pt idx="343">
                  <c:v>-112.42473455164887</c:v>
                </c:pt>
                <c:pt idx="344">
                  <c:v>-112.94477783004149</c:v>
                </c:pt>
                <c:pt idx="345">
                  <c:v>-113.47666375185889</c:v>
                </c:pt>
                <c:pt idx="346">
                  <c:v>-114.02064586056345</c:v>
                </c:pt>
                <c:pt idx="347">
                  <c:v>-114.57698148152249</c:v>
                </c:pt>
                <c:pt idx="348">
                  <c:v>-115.14593160766988</c:v>
                </c:pt>
                <c:pt idx="349">
                  <c:v>-115.72776076322774</c:v>
                </c:pt>
                <c:pt idx="350">
                  <c:v>-116.3227368432555</c:v>
                </c:pt>
                <c:pt idx="351">
                  <c:v>-116.93113092662061</c:v>
                </c:pt>
                <c:pt idx="352">
                  <c:v>-117.55321705978693</c:v>
                </c:pt>
                <c:pt idx="353">
                  <c:v>-118.18927200863546</c:v>
                </c:pt>
                <c:pt idx="354">
                  <c:v>-118.83957497532091</c:v>
                </c:pt>
                <c:pt idx="355">
                  <c:v>-119.50440727696727</c:v>
                </c:pt>
                <c:pt idx="356">
                  <c:v>-120.18405198280078</c:v>
                </c:pt>
                <c:pt idx="357">
                  <c:v>-120.87879350610558</c:v>
                </c:pt>
                <c:pt idx="358">
                  <c:v>-121.58891714718965</c:v>
                </c:pt>
                <c:pt idx="359">
                  <c:v>-122.3147085833487</c:v>
                </c:pt>
                <c:pt idx="360">
                  <c:v>-123.05645330163485</c:v>
                </c:pt>
                <c:pt idx="361">
                  <c:v>-123.81443597006641</c:v>
                </c:pt>
                <c:pt idx="362">
                  <c:v>-124.58893974277851</c:v>
                </c:pt>
                <c:pt idx="363">
                  <c:v>-125.38024549450105</c:v>
                </c:pt>
                <c:pt idx="364">
                  <c:v>-126.18863097968116</c:v>
                </c:pt>
                <c:pt idx="365">
                  <c:v>-127.01436991155026</c:v>
                </c:pt>
                <c:pt idx="366">
                  <c:v>-127.85773095648054</c:v>
                </c:pt>
                <c:pt idx="367">
                  <c:v>-128.71897663908902</c:v>
                </c:pt>
                <c:pt idx="368">
                  <c:v>-129.59836215376117</c:v>
                </c:pt>
                <c:pt idx="369">
                  <c:v>-130.49613407856913</c:v>
                </c:pt>
                <c:pt idx="370">
                  <c:v>-131.41252898799112</c:v>
                </c:pt>
                <c:pt idx="371">
                  <c:v>-132.34777196140837</c:v>
                </c:pt>
                <c:pt idx="372">
                  <c:v>-133.30207498506789</c:v>
                </c:pt>
                <c:pt idx="373">
                  <c:v>-134.2756352460944</c:v>
                </c:pt>
                <c:pt idx="374">
                  <c:v>-135.26863331821511</c:v>
                </c:pt>
                <c:pt idx="375">
                  <c:v>-136.28123124014368</c:v>
                </c:pt>
                <c:pt idx="376">
                  <c:v>-137.31357048907168</c:v>
                </c:pt>
                <c:pt idx="377">
                  <c:v>-138.36576985345593</c:v>
                </c:pt>
                <c:pt idx="378">
                  <c:v>-139.4379232112565</c:v>
                </c:pt>
                <c:pt idx="379">
                  <c:v>-140.53009722200272</c:v>
                </c:pt>
                <c:pt idx="380">
                  <c:v>-141.64232894350869</c:v>
                </c:pt>
                <c:pt idx="381">
                  <c:v>-142.77462338674059</c:v>
                </c:pt>
                <c:pt idx="382">
                  <c:v>-143.92695102522165</c:v>
                </c:pt>
                <c:pt idx="383">
                  <c:v>-145.09924527840272</c:v>
                </c:pt>
                <c:pt idx="384">
                  <c:v>-146.2913999916164</c:v>
                </c:pt>
                <c:pt idx="385">
                  <c:v>-147.5032669384623</c:v>
                </c:pt>
                <c:pt idx="386">
                  <c:v>-148.73465337472544</c:v>
                </c:pt>
                <c:pt idx="387">
                  <c:v>-149.98531967606621</c:v>
                </c:pt>
                <c:pt idx="388">
                  <c:v>-151.25497709467518</c:v>
                </c:pt>
                <c:pt idx="389">
                  <c:v>-152.54328567272856</c:v>
                </c:pt>
                <c:pt idx="390">
                  <c:v>-153.84985235269446</c:v>
                </c:pt>
                <c:pt idx="391">
                  <c:v>-155.17422932617626</c:v>
                </c:pt>
                <c:pt idx="392">
                  <c:v>-156.51591266392552</c:v>
                </c:pt>
                <c:pt idx="393">
                  <c:v>-157.87434126976038</c:v>
                </c:pt>
                <c:pt idx="394">
                  <c:v>-159.24889620026218</c:v>
                </c:pt>
                <c:pt idx="395">
                  <c:v>-160.63890039020825</c:v>
                </c:pt>
                <c:pt idx="396">
                  <c:v>-162.04361882059882</c:v>
                </c:pt>
                <c:pt idx="397">
                  <c:v>-163.46225916185568</c:v>
                </c:pt>
                <c:pt idx="398">
                  <c:v>-164.89397291923862</c:v>
                </c:pt>
                <c:pt idx="399">
                  <c:v>-166.33785710082256</c:v>
                </c:pt>
                <c:pt idx="400">
                  <c:v>-167.7929564205368</c:v>
                </c:pt>
                <c:pt idx="401">
                  <c:v>-169.2582660399726</c:v>
                </c:pt>
                <c:pt idx="402">
                  <c:v>-170.73273484305918</c:v>
                </c:pt>
                <c:pt idx="403">
                  <c:v>-172.21526922755874</c:v>
                </c:pt>
                <c:pt idx="404">
                  <c:v>-173.70473738690973</c:v>
                </c:pt>
                <c:pt idx="405">
                  <c:v>-175.1999740455708</c:v>
                </c:pt>
                <c:pt idx="406">
                  <c:v>-176.69978560102439</c:v>
                </c:pt>
                <c:pt idx="407">
                  <c:v>-178.20295561633378</c:v>
                </c:pt>
                <c:pt idx="408">
                  <c:v>-179.70825059894796</c:v>
                </c:pt>
                <c:pt idx="409">
                  <c:v>178.78557400538787</c:v>
                </c:pt>
                <c:pt idx="410">
                  <c:v>177.27976767996248</c:v>
                </c:pt>
                <c:pt idx="411">
                  <c:v>175.7755786453767</c:v>
                </c:pt>
                <c:pt idx="412">
                  <c:v>174.27424768987683</c:v>
                </c:pt>
                <c:pt idx="413">
                  <c:v>172.77700210222955</c:v>
                </c:pt>
                <c:pt idx="414">
                  <c:v>171.28504978498196</c:v>
                </c:pt>
                <c:pt idx="415">
                  <c:v>169.79957362144461</c:v>
                </c:pt>
                <c:pt idx="416">
                  <c:v>168.32172616348825</c:v>
                </c:pt>
                <c:pt idx="417">
                  <c:v>166.85262469954444</c:v>
                </c:pt>
                <c:pt idx="418">
                  <c:v>165.39334675330298</c:v>
                </c:pt>
                <c:pt idx="419">
                  <c:v>163.94492605386677</c:v>
                </c:pt>
                <c:pt idx="420">
                  <c:v>162.50834900786336</c:v>
                </c:pt>
                <c:pt idx="421">
                  <c:v>161.08455169359664</c:v>
                </c:pt>
                <c:pt idx="422">
                  <c:v>159.67441738706233</c:v>
                </c:pt>
                <c:pt idx="423">
                  <c:v>158.27877461983118</c:v>
                </c:pt>
                <c:pt idx="424">
                  <c:v>156.89839575972996</c:v>
                </c:pt>
                <c:pt idx="425">
                  <c:v>155.5339960970465</c:v>
                </c:pt>
                <c:pt idx="426">
                  <c:v>154.18623341190332</c:v>
                </c:pt>
                <c:pt idx="427">
                  <c:v>152.85570799250723</c:v>
                </c:pt>
                <c:pt idx="428">
                  <c:v>151.54296306927048</c:v>
                </c:pt>
                <c:pt idx="429">
                  <c:v>150.24848562631459</c:v>
                </c:pt>
                <c:pt idx="430">
                  <c:v>148.97270754959266</c:v>
                </c:pt>
                <c:pt idx="431">
                  <c:v>147.71600706962943</c:v>
                </c:pt>
                <c:pt idx="432">
                  <c:v>146.47871045673304</c:v>
                </c:pt>
                <c:pt idx="433">
                  <c:v>145.26109392719437</c:v>
                </c:pt>
                <c:pt idx="434">
                  <c:v>144.06338572045695</c:v>
                </c:pt>
                <c:pt idx="435">
                  <c:v>142.88576830928545</c:v>
                </c:pt>
                <c:pt idx="436">
                  <c:v>141.72838070749711</c:v>
                </c:pt>
                <c:pt idx="437">
                  <c:v>140.59132084270934</c:v>
                </c:pt>
                <c:pt idx="438">
                  <c:v>139.47464796465874</c:v>
                </c:pt>
                <c:pt idx="439">
                  <c:v>138.37838506287363</c:v>
                </c:pt>
                <c:pt idx="440">
                  <c:v>137.30252127074522</c:v>
                </c:pt>
                <c:pt idx="441">
                  <c:v>136.24701423622349</c:v>
                </c:pt>
                <c:pt idx="442">
                  <c:v>135.21179244246665</c:v>
                </c:pt>
                <c:pt idx="443">
                  <c:v>134.19675746466538</c:v>
                </c:pt>
                <c:pt idx="444">
                  <c:v>133.20178615197941</c:v>
                </c:pt>
                <c:pt idx="445">
                  <c:v>132.226732725998</c:v>
                </c:pt>
                <c:pt idx="446">
                  <c:v>131.27143078936203</c:v>
                </c:pt>
                <c:pt idx="447">
                  <c:v>130.33569524016369</c:v>
                </c:pt>
                <c:pt idx="448">
                  <c:v>129.41932408947099</c:v>
                </c:pt>
                <c:pt idx="449">
                  <c:v>128.522100180802</c:v>
                </c:pt>
                <c:pt idx="450">
                  <c:v>127.64379281163539</c:v>
                </c:pt>
                <c:pt idx="451">
                  <c:v>126.78415925807766</c:v>
                </c:pt>
                <c:pt idx="452">
                  <c:v>125.9429462046549</c:v>
                </c:pt>
                <c:pt idx="453">
                  <c:v>125.11989108185576</c:v>
                </c:pt>
                <c:pt idx="454">
                  <c:v>124.31472331456632</c:v>
                </c:pt>
                <c:pt idx="455">
                  <c:v>123.52716548489343</c:v>
                </c:pt>
                <c:pt idx="456">
                  <c:v>122.75693441314365</c:v>
                </c:pt>
                <c:pt idx="457">
                  <c:v>122.0037421608473</c:v>
                </c:pt>
                <c:pt idx="458">
                  <c:v>121.26729695979976</c:v>
                </c:pt>
                <c:pt idx="459">
                  <c:v>120.54730407108769</c:v>
                </c:pt>
                <c:pt idx="460">
                  <c:v>119.84346657800117</c:v>
                </c:pt>
                <c:pt idx="461">
                  <c:v>119.15548611664344</c:v>
                </c:pt>
                <c:pt idx="462">
                  <c:v>118.48306354791505</c:v>
                </c:pt>
                <c:pt idx="463">
                  <c:v>117.82589957440115</c:v>
                </c:pt>
                <c:pt idx="464">
                  <c:v>117.18369530552746</c:v>
                </c:pt>
                <c:pt idx="465">
                  <c:v>116.55615277417768</c:v>
                </c:pt>
                <c:pt idx="466">
                  <c:v>115.94297540779125</c:v>
                </c:pt>
                <c:pt idx="467">
                  <c:v>115.34386845679302</c:v>
                </c:pt>
                <c:pt idx="468">
                  <c:v>114.7585393830435</c:v>
                </c:pt>
                <c:pt idx="469">
                  <c:v>114.18669821082895</c:v>
                </c:pt>
                <c:pt idx="470">
                  <c:v>113.62805784277684</c:v>
                </c:pt>
                <c:pt idx="471">
                  <c:v>113.08233434293487</c:v>
                </c:pt>
                <c:pt idx="472">
                  <c:v>112.54924718912002</c:v>
                </c:pt>
                <c:pt idx="473">
                  <c:v>112.02851949653147</c:v>
                </c:pt>
                <c:pt idx="474">
                  <c:v>111.51987821450568</c:v>
                </c:pt>
                <c:pt idx="475">
                  <c:v>111.0230542981917</c:v>
                </c:pt>
                <c:pt idx="476">
                  <c:v>110.53778285683748</c:v>
                </c:pt>
                <c:pt idx="477">
                  <c:v>110.06380328027279</c:v>
                </c:pt>
                <c:pt idx="478">
                  <c:v>109.60085934512487</c:v>
                </c:pt>
                <c:pt idx="479">
                  <c:v>109.14869930219736</c:v>
                </c:pt>
                <c:pt idx="480">
                  <c:v>108.70707594639204</c:v>
                </c:pt>
                <c:pt idx="481">
                  <c:v>108.27574667048236</c:v>
                </c:pt>
                <c:pt idx="482">
                  <c:v>107.85447350398242</c:v>
                </c:pt>
                <c:pt idx="483">
                  <c:v>107.4430231382965</c:v>
                </c:pt>
                <c:pt idx="484">
                  <c:v>107.04116693927833</c:v>
                </c:pt>
                <c:pt idx="485">
                  <c:v>106.64868094827182</c:v>
                </c:pt>
                <c:pt idx="486">
                  <c:v>106.26534587264658</c:v>
                </c:pt>
                <c:pt idx="487">
                  <c:v>105.8909470667982</c:v>
                </c:pt>
                <c:pt idx="488">
                  <c:v>105.52527450452048</c:v>
                </c:pt>
                <c:pt idx="489">
                  <c:v>105.16812274361382</c:v>
                </c:pt>
                <c:pt idx="490">
                  <c:v>104.81929088354059</c:v>
                </c:pt>
                <c:pt idx="491">
                  <c:v>104.4785825168902</c:v>
                </c:pt>
                <c:pt idx="492">
                  <c:v>104.14580567537017</c:v>
                </c:pt>
                <c:pt idx="493">
                  <c:v>103.82077277099341</c:v>
                </c:pt>
                <c:pt idx="494">
                  <c:v>103.50330053308345</c:v>
                </c:pt>
                <c:pt idx="495">
                  <c:v>103.19320994168093</c:v>
                </c:pt>
                <c:pt idx="496">
                  <c:v>102.89032615788831</c:v>
                </c:pt>
                <c:pt idx="497">
                  <c:v>102.59447845165003</c:v>
                </c:pt>
                <c:pt idx="498">
                  <c:v>102.30550012742806</c:v>
                </c:pt>
                <c:pt idx="499">
                  <c:v>102.02322844819231</c:v>
                </c:pt>
                <c:pt idx="500">
                  <c:v>101.7475045581109</c:v>
                </c:pt>
                <c:pt idx="501">
                  <c:v>101.47817340429219</c:v>
                </c:pt>
                <c:pt idx="502">
                  <c:v>101.21508365789641</c:v>
                </c:pt>
                <c:pt idx="503">
                  <c:v>100.95808763490487</c:v>
                </c:pt>
                <c:pt idx="504">
                  <c:v>100.70704121680618</c:v>
                </c:pt>
                <c:pt idx="505">
                  <c:v>100.4618037714324</c:v>
                </c:pt>
                <c:pt idx="506">
                  <c:v>100.22223807415061</c:v>
                </c:pt>
                <c:pt idx="507">
                  <c:v>99.98821022959595</c:v>
                </c:pt>
                <c:pt idx="508">
                  <c:v>99.759589594104625</c:v>
                </c:pt>
                <c:pt idx="509">
                  <c:v>99.536248698992026</c:v>
                </c:pt>
                <c:pt idx="510">
                  <c:v>99.318063174795526</c:v>
                </c:pt>
                <c:pt idx="511">
                  <c:v>99.104911676591129</c:v>
                </c:pt>
                <c:pt idx="512">
                  <c:v>98.896675810470924</c:v>
                </c:pt>
                <c:pt idx="513">
                  <c:v>98.693240061258365</c:v>
                </c:pt>
                <c:pt idx="514">
                  <c:v>98.494491721526231</c:v>
                </c:pt>
                <c:pt idx="515">
                  <c:v>98.300320821964419</c:v>
                </c:pt>
                <c:pt idx="516">
                  <c:v>98.110620063140445</c:v>
                </c:pt>
                <c:pt idx="517">
                  <c:v>97.925284748683467</c:v>
                </c:pt>
                <c:pt idx="518">
                  <c:v>97.744212719912227</c:v>
                </c:pt>
                <c:pt idx="519">
                  <c:v>97.567304291923236</c:v>
                </c:pt>
                <c:pt idx="520">
                  <c:v>97.394462191145422</c:v>
                </c:pt>
                <c:pt idx="521">
                  <c:v>97.225591494363812</c:v>
                </c:pt>
                <c:pt idx="522">
                  <c:v>97.060599569208478</c:v>
                </c:pt>
                <c:pt idx="523">
                  <c:v>96.899396016099757</c:v>
                </c:pt>
                <c:pt idx="524">
                  <c:v>96.741892611638292</c:v>
                </c:pt>
                <c:pt idx="525">
                  <c:v>96.588003253423381</c:v>
                </c:pt>
                <c:pt idx="526">
                  <c:v>96.437643906281764</c:v>
                </c:pt>
                <c:pt idx="527">
                  <c:v>96.290732549884567</c:v>
                </c:pt>
                <c:pt idx="528">
                  <c:v>96.147189127730016</c:v>
                </c:pt>
                <c:pt idx="529">
                  <c:v>96.006935497465392</c:v>
                </c:pt>
                <c:pt idx="530">
                  <c:v>95.86989538252412</c:v>
                </c:pt>
                <c:pt idx="531">
                  <c:v>95.735994325047557</c:v>
                </c:pt>
                <c:pt idx="532">
                  <c:v>95.605159640065011</c:v>
                </c:pt>
                <c:pt idx="533">
                  <c:v>95.477320370901936</c:v>
                </c:pt>
                <c:pt idx="534">
                  <c:v>95.352407245787134</c:v>
                </c:pt>
                <c:pt idx="535">
                  <c:v>95.23035263562889</c:v>
                </c:pt>
                <c:pt idx="536">
                  <c:v>95.111090512930943</c:v>
                </c:pt>
                <c:pt idx="537">
                  <c:v>94.994556411816887</c:v>
                </c:pt>
                <c:pt idx="538">
                  <c:v>94.880687389135531</c:v>
                </c:pt>
                <c:pt idx="539">
                  <c:v>94.769421986615626</c:v>
                </c:pt>
                <c:pt idx="540">
                  <c:v>94.660700194042732</c:v>
                </c:pt>
                <c:pt idx="541">
                  <c:v>94.554463413428877</c:v>
                </c:pt>
              </c:numCache>
            </c:numRef>
          </c:yVal>
          <c:smooth val="1"/>
          <c:extLst>
            <c:ext xmlns:c16="http://schemas.microsoft.com/office/drawing/2014/chart" uri="{C3380CC4-5D6E-409C-BE32-E72D297353CC}">
              <c16:uniqueId val="{00000001-D13D-4F31-A1F4-F359C82058E5}"/>
            </c:ext>
          </c:extLst>
        </c:ser>
        <c:dLbls>
          <c:showLegendKey val="0"/>
          <c:showVal val="0"/>
          <c:showCatName val="0"/>
          <c:showSerName val="0"/>
          <c:showPercent val="0"/>
          <c:showBubbleSize val="0"/>
        </c:dLbls>
        <c:axId val="331791744"/>
        <c:axId val="331790208"/>
      </c:scatterChart>
      <c:valAx>
        <c:axId val="33178611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31788288"/>
        <c:crosses val="autoZero"/>
        <c:crossBetween val="midCat"/>
      </c:valAx>
      <c:valAx>
        <c:axId val="33178828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31786112"/>
        <c:crosses val="autoZero"/>
        <c:crossBetween val="midCat"/>
        <c:majorUnit val="20"/>
        <c:minorUnit val="10"/>
      </c:valAx>
      <c:valAx>
        <c:axId val="331790208"/>
        <c:scaling>
          <c:orientation val="minMax"/>
          <c:max val="180"/>
          <c:min val="-180"/>
        </c:scaling>
        <c:delete val="0"/>
        <c:axPos val="r"/>
        <c:numFmt formatCode="General" sourceLinked="1"/>
        <c:majorTickMark val="out"/>
        <c:minorTickMark val="none"/>
        <c:tickLblPos val="nextTo"/>
        <c:crossAx val="331791744"/>
        <c:crosses val="max"/>
        <c:crossBetween val="midCat"/>
        <c:majorUnit val="90"/>
        <c:minorUnit val="45"/>
      </c:valAx>
      <c:valAx>
        <c:axId val="331791744"/>
        <c:scaling>
          <c:logBase val="10"/>
          <c:orientation val="minMax"/>
        </c:scaling>
        <c:delete val="1"/>
        <c:axPos val="b"/>
        <c:numFmt formatCode="0.00" sourceLinked="1"/>
        <c:majorTickMark val="out"/>
        <c:minorTickMark val="none"/>
        <c:tickLblPos val="nextTo"/>
        <c:crossAx val="331790208"/>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Eff_vs_IOUT!$BZ$7:$BZ$157</c:f>
              <c:numCache>
                <c:formatCode>General</c:formatCode>
                <c:ptCount val="151"/>
                <c:pt idx="0">
                  <c:v>0</c:v>
                </c:pt>
                <c:pt idx="1">
                  <c:v>18.876580415263494</c:v>
                </c:pt>
                <c:pt idx="2">
                  <c:v>30.9579989421165</c:v>
                </c:pt>
                <c:pt idx="3">
                  <c:v>39.488763681716357</c:v>
                </c:pt>
                <c:pt idx="4">
                  <c:v>45.869495168920224</c:v>
                </c:pt>
                <c:pt idx="5">
                  <c:v>50.838148376447592</c:v>
                </c:pt>
                <c:pt idx="6">
                  <c:v>54.825443896429938</c:v>
                </c:pt>
                <c:pt idx="7">
                  <c:v>58.101189362502815</c:v>
                </c:pt>
                <c:pt idx="8">
                  <c:v>60.843597051015344</c:v>
                </c:pt>
                <c:pt idx="9">
                  <c:v>63.17538463101058</c:v>
                </c:pt>
                <c:pt idx="10">
                  <c:v>65.183955774447909</c:v>
                </c:pt>
                <c:pt idx="11">
                  <c:v>66.933327936740241</c:v>
                </c:pt>
                <c:pt idx="12">
                  <c:v>68.471509434147919</c:v>
                </c:pt>
                <c:pt idx="13">
                  <c:v>69.835237726311135</c:v>
                </c:pt>
                <c:pt idx="14">
                  <c:v>71.053121932662066</c:v>
                </c:pt>
                <c:pt idx="15">
                  <c:v>72.147785279677564</c:v>
                </c:pt>
                <c:pt idx="16">
                  <c:v>73.137361225129553</c:v>
                </c:pt>
                <c:pt idx="17">
                  <c:v>74.036560520587898</c:v>
                </c:pt>
                <c:pt idx="18">
                  <c:v>74.857446631561245</c:v>
                </c:pt>
                <c:pt idx="19">
                  <c:v>75.61000871893367</c:v>
                </c:pt>
                <c:pt idx="20">
                  <c:v>76.302591438763372</c:v>
                </c:pt>
                <c:pt idx="21">
                  <c:v>76.942221746558118</c:v>
                </c:pt>
                <c:pt idx="22">
                  <c:v>77.534860471503279</c:v>
                </c:pt>
                <c:pt idx="23">
                  <c:v>78.085598171210123</c:v>
                </c:pt>
                <c:pt idx="24">
                  <c:v>78.598809189466863</c:v>
                </c:pt>
                <c:pt idx="25">
                  <c:v>79.078273992729834</c:v>
                </c:pt>
                <c:pt idx="26">
                  <c:v>79.527277172093775</c:v>
                </c:pt>
                <c:pt idx="27">
                  <c:v>79.948686591062625</c:v>
                </c:pt>
                <c:pt idx="28">
                  <c:v>80.345017790128466</c:v>
                </c:pt>
                <c:pt idx="29">
                  <c:v>80.718486763704732</c:v>
                </c:pt>
                <c:pt idx="30">
                  <c:v>81.071053493128346</c:v>
                </c:pt>
                <c:pt idx="31">
                  <c:v>81.404458075789464</c:v>
                </c:pt>
                <c:pt idx="32">
                  <c:v>81.72025088262636</c:v>
                </c:pt>
                <c:pt idx="33">
                  <c:v>82.019817867502468</c:v>
                </c:pt>
                <c:pt idx="34">
                  <c:v>82.304401916272226</c:v>
                </c:pt>
                <c:pt idx="35">
                  <c:v>82.575120941926045</c:v>
                </c:pt>
                <c:pt idx="36">
                  <c:v>82.832983291517138</c:v>
                </c:pt>
                <c:pt idx="37">
                  <c:v>83.078900920688241</c:v>
                </c:pt>
                <c:pt idx="38">
                  <c:v>83.313700705209953</c:v>
                </c:pt>
                <c:pt idx="39">
                  <c:v>83.538134190564108</c:v>
                </c:pt>
                <c:pt idx="40">
                  <c:v>83.752886026164646</c:v>
                </c:pt>
                <c:pt idx="41">
                  <c:v>83.958581287214926</c:v>
                </c:pt>
                <c:pt idx="42">
                  <c:v>84.155791852102368</c:v>
                </c:pt>
                <c:pt idx="43">
                  <c:v>84.345041974825193</c:v>
                </c:pt>
                <c:pt idx="44">
                  <c:v>84.526813168842736</c:v>
                </c:pt>
                <c:pt idx="45">
                  <c:v>84.701548499861048</c:v>
                </c:pt>
                <c:pt idx="46">
                  <c:v>84.869656369567167</c:v>
                </c:pt>
                <c:pt idx="47">
                  <c:v>85.03151385954915</c:v>
                </c:pt>
                <c:pt idx="48">
                  <c:v>85.187469694061065</c:v>
                </c:pt>
                <c:pt idx="49">
                  <c:v>85.337846871502109</c:v>
                </c:pt>
                <c:pt idx="50">
                  <c:v>85.482945007144664</c:v>
                </c:pt>
                <c:pt idx="51">
                  <c:v>85.623042423506021</c:v>
                </c:pt>
                <c:pt idx="52">
                  <c:v>85.758398019598332</c:v>
                </c:pt>
                <c:pt idx="53">
                  <c:v>85.889252945942133</c:v>
                </c:pt>
                <c:pt idx="54">
                  <c:v>86.015832108549418</c:v>
                </c:pt>
                <c:pt idx="55">
                  <c:v>86.138345521961043</c:v>
                </c:pt>
                <c:pt idx="56">
                  <c:v>86.256989528767051</c:v>
                </c:pt>
                <c:pt idx="57">
                  <c:v>86.371947900771701</c:v>
                </c:pt>
                <c:pt idx="58">
                  <c:v>86.483392835024929</c:v>
                </c:pt>
                <c:pt idx="59">
                  <c:v>86.591485856277643</c:v>
                </c:pt>
                <c:pt idx="60">
                  <c:v>86.696378635985099</c:v>
                </c:pt>
                <c:pt idx="61">
                  <c:v>86.798213736748622</c:v>
                </c:pt>
                <c:pt idx="62">
                  <c:v>86.89712529001676</c:v>
                </c:pt>
                <c:pt idx="63">
                  <c:v>86.99323961394181</c:v>
                </c:pt>
                <c:pt idx="64">
                  <c:v>87.086675777483691</c:v>
                </c:pt>
                <c:pt idx="65">
                  <c:v>87.177546116153266</c:v>
                </c:pt>
                <c:pt idx="66">
                  <c:v>87.265956704176091</c:v>
                </c:pt>
                <c:pt idx="67">
                  <c:v>87.352007787324894</c:v>
                </c:pt>
                <c:pt idx="68">
                  <c:v>87.435794180200105</c:v>
                </c:pt>
                <c:pt idx="69">
                  <c:v>87.517405631328714</c:v>
                </c:pt>
                <c:pt idx="70">
                  <c:v>87.596927159090015</c:v>
                </c:pt>
                <c:pt idx="71">
                  <c:v>87.674439361159372</c:v>
                </c:pt>
                <c:pt idx="72">
                  <c:v>87.750018699880272</c:v>
                </c:pt>
                <c:pt idx="73">
                  <c:v>87.823737765727202</c:v>
                </c:pt>
                <c:pt idx="74">
                  <c:v>87.895665520802297</c:v>
                </c:pt>
                <c:pt idx="75">
                  <c:v>87.965867524113392</c:v>
                </c:pt>
                <c:pt idx="76">
                  <c:v>88.034406140208731</c:v>
                </c:pt>
                <c:pt idx="77">
                  <c:v>88.10134073258908</c:v>
                </c:pt>
                <c:pt idx="78">
                  <c:v>88.166727843181064</c:v>
                </c:pt>
                <c:pt idx="79">
                  <c:v>88.230621359032767</c:v>
                </c:pt>
                <c:pt idx="80">
                  <c:v>88.293072667283397</c:v>
                </c:pt>
                <c:pt idx="81">
                  <c:v>88.354130799360831</c:v>
                </c:pt>
                <c:pt idx="82">
                  <c:v>88.413842565272887</c:v>
                </c:pt>
                <c:pt idx="83">
                  <c:v>88.472252678779483</c:v>
                </c:pt>
                <c:pt idx="84">
                  <c:v>88.529403874161943</c:v>
                </c:pt>
                <c:pt idx="85">
                  <c:v>88.585337015242189</c:v>
                </c:pt>
                <c:pt idx="86">
                  <c:v>88.640091197246946</c:v>
                </c:pt>
                <c:pt idx="87">
                  <c:v>88.693703842060188</c:v>
                </c:pt>
                <c:pt idx="88">
                  <c:v>88.746210787360823</c:v>
                </c:pt>
                <c:pt idx="89">
                  <c:v>88.797646370099727</c:v>
                </c:pt>
                <c:pt idx="90">
                  <c:v>88.848043504732416</c:v>
                </c:pt>
                <c:pt idx="91">
                  <c:v>88.897433756588782</c:v>
                </c:pt>
                <c:pt idx="92">
                  <c:v>88.94584741072984</c:v>
                </c:pt>
                <c:pt idx="93">
                  <c:v>88.993313536613044</c:v>
                </c:pt>
                <c:pt idx="94">
                  <c:v>89.039860048861598</c:v>
                </c:pt>
                <c:pt idx="95">
                  <c:v>89.085513764409725</c:v>
                </c:pt>
                <c:pt idx="96">
                  <c:v>89.130300456274142</c:v>
                </c:pt>
                <c:pt idx="97">
                  <c:v>89.174244904182586</c:v>
                </c:pt>
                <c:pt idx="98">
                  <c:v>89.217370942272339</c:v>
                </c:pt>
                <c:pt idx="99">
                  <c:v>89.259701504054846</c:v>
                </c:pt>
                <c:pt idx="100">
                  <c:v>89.30125866482868</c:v>
                </c:pt>
                <c:pt idx="101">
                  <c:v>89.34206368170797</c:v>
                </c:pt>
                <c:pt idx="102">
                  <c:v>89.382137031422189</c:v>
                </c:pt>
                <c:pt idx="103">
                  <c:v>89.421498446030938</c:v>
                </c:pt>
                <c:pt idx="104">
                  <c:v>89.460166946687039</c:v>
                </c:pt>
                <c:pt idx="105">
                  <c:v>89.498160875571685</c:v>
                </c:pt>
                <c:pt idx="106">
                  <c:v>89.535497926116363</c:v>
                </c:pt>
                <c:pt idx="107">
                  <c:v>89.572195171618077</c:v>
                </c:pt>
                <c:pt idx="108">
                  <c:v>89.608269092346973</c:v>
                </c:pt>
                <c:pt idx="109">
                  <c:v>89.643735601238532</c:v>
                </c:pt>
                <c:pt idx="110">
                  <c:v>89.678610068255992</c:v>
                </c:pt>
                <c:pt idx="111">
                  <c:v>89.712907343502906</c:v>
                </c:pt>
                <c:pt idx="112">
                  <c:v>89.746641779160058</c:v>
                </c:pt>
                <c:pt idx="113">
                  <c:v>89.77982725031643</c:v>
                </c:pt>
                <c:pt idx="114">
                  <c:v>89.812477174758456</c:v>
                </c:pt>
                <c:pt idx="115">
                  <c:v>89.8446045317786</c:v>
                </c:pt>
                <c:pt idx="116">
                  <c:v>89.876221880059035</c:v>
                </c:pt>
                <c:pt idx="117">
                  <c:v>89.907341374683682</c:v>
                </c:pt>
                <c:pt idx="118">
                  <c:v>89.937974783327661</c:v>
                </c:pt>
                <c:pt idx="119">
                  <c:v>89.968133501670451</c:v>
                </c:pt>
                <c:pt idx="120">
                  <c:v>89.997828568075789</c:v>
                </c:pt>
                <c:pt idx="121">
                  <c:v>90.027070677579061</c:v>
                </c:pt>
                <c:pt idx="122">
                  <c:v>90.055870195219967</c:v>
                </c:pt>
                <c:pt idx="123">
                  <c:v>90.084237168755891</c:v>
                </c:pt>
                <c:pt idx="124">
                  <c:v>90.11218134078976</c:v>
                </c:pt>
                <c:pt idx="125">
                  <c:v>90.139712160343294</c:v>
                </c:pt>
                <c:pt idx="126">
                  <c:v>90.166838793905413</c:v>
                </c:pt>
                <c:pt idx="127">
                  <c:v>90.193570135983165</c:v>
                </c:pt>
                <c:pt idx="128">
                  <c:v>90.219914819181525</c:v>
                </c:pt>
                <c:pt idx="129">
                  <c:v>90.245881223836179</c:v>
                </c:pt>
                <c:pt idx="130">
                  <c:v>90.271477487222455</c:v>
                </c:pt>
                <c:pt idx="131">
                  <c:v>90.296711512362165</c:v>
                </c:pt>
                <c:pt idx="132">
                  <c:v>90.321590976448434</c:v>
                </c:pt>
                <c:pt idx="133">
                  <c:v>90.346123338908328</c:v>
                </c:pt>
                <c:pt idx="134">
                  <c:v>90.370315849120573</c:v>
                </c:pt>
                <c:pt idx="135">
                  <c:v>90.394175553806463</c:v>
                </c:pt>
                <c:pt idx="136">
                  <c:v>90.417709304109096</c:v>
                </c:pt>
                <c:pt idx="137">
                  <c:v>90.440923762376883</c:v>
                </c:pt>
                <c:pt idx="138">
                  <c:v>90.463825408665429</c:v>
                </c:pt>
                <c:pt idx="139">
                  <c:v>90.486420546971303</c:v>
                </c:pt>
                <c:pt idx="140">
                  <c:v>90.50871531121075</c:v>
                </c:pt>
                <c:pt idx="141">
                  <c:v>90.530715670955303</c:v>
                </c:pt>
                <c:pt idx="142">
                  <c:v>90.552427436935858</c:v>
                </c:pt>
                <c:pt idx="143">
                  <c:v>90.57385626632599</c:v>
                </c:pt>
                <c:pt idx="144">
                  <c:v>90.595007667815025</c:v>
                </c:pt>
                <c:pt idx="145">
                  <c:v>90.61588700648025</c:v>
                </c:pt>
                <c:pt idx="146">
                  <c:v>90.636499508467949</c:v>
                </c:pt>
                <c:pt idx="147">
                  <c:v>90.656850265491485</c:v>
                </c:pt>
                <c:pt idx="148">
                  <c:v>90.676944239155048</c:v>
                </c:pt>
                <c:pt idx="149">
                  <c:v>90.696786265111015</c:v>
                </c:pt>
                <c:pt idx="150">
                  <c:v>90.716381057058115</c:v>
                </c:pt>
              </c:numCache>
            </c:numRef>
          </c:yVal>
          <c:smooth val="0"/>
          <c:extLst>
            <c:ext xmlns:c16="http://schemas.microsoft.com/office/drawing/2014/chart" uri="{C3380CC4-5D6E-409C-BE32-E72D297353CC}">
              <c16:uniqueId val="{00000000-2D92-4CB2-A641-52AD34A639BE}"/>
            </c:ext>
          </c:extLst>
        </c:ser>
        <c:dLbls>
          <c:showLegendKey val="0"/>
          <c:showVal val="0"/>
          <c:showCatName val="0"/>
          <c:showSerName val="0"/>
          <c:showPercent val="0"/>
          <c:showBubbleSize val="0"/>
        </c:dLbls>
        <c:axId val="586594176"/>
        <c:axId val="58659571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Eff_vs_IOUT!$AJ$7:$AJ$157</c:f>
              <c:numCache>
                <c:formatCode>General</c:formatCode>
                <c:ptCount val="151"/>
                <c:pt idx="0">
                  <c:v>0</c:v>
                </c:pt>
                <c:pt idx="1">
                  <c:v>6.8139988440205732E-2</c:v>
                </c:pt>
                <c:pt idx="2">
                  <c:v>9.6425075006918312E-2</c:v>
                </c:pt>
                <c:pt idx="3">
                  <c:v>0.11817031017095275</c:v>
                </c:pt>
                <c:pt idx="4">
                  <c:v>0.13653699272205774</c:v>
                </c:pt>
                <c:pt idx="5">
                  <c:v>0.15274878273382678</c:v>
                </c:pt>
                <c:pt idx="6">
                  <c:v>0.16743283414751936</c:v>
                </c:pt>
                <c:pt idx="7">
                  <c:v>0.18096146375160038</c:v>
                </c:pt>
                <c:pt idx="8">
                  <c:v>0.19357710059183841</c:v>
                </c:pt>
                <c:pt idx="9">
                  <c:v>0.20544802868720224</c:v>
                </c:pt>
                <c:pt idx="10">
                  <c:v>0.21669669639011521</c:v>
                </c:pt>
                <c:pt idx="11">
                  <c:v>0.2274154833951802</c:v>
                </c:pt>
                <c:pt idx="12">
                  <c:v>0.23767611383014978</c:v>
                </c:pt>
                <c:pt idx="13">
                  <c:v>0.24753558982200957</c:v>
                </c:pt>
                <c:pt idx="14">
                  <c:v>0.25704009906388309</c:v>
                </c:pt>
                <c:pt idx="15">
                  <c:v>0.26622768261330015</c:v>
                </c:pt>
                <c:pt idx="16">
                  <c:v>0.27513011217728567</c:v>
                </c:pt>
                <c:pt idx="17">
                  <c:v>0.28377424556750691</c:v>
                </c:pt>
                <c:pt idx="18">
                  <c:v>0.29218302733276219</c:v>
                </c:pt>
                <c:pt idx="19">
                  <c:v>0.30037624186676198</c:v>
                </c:pt>
                <c:pt idx="20">
                  <c:v>0.30837108993373052</c:v>
                </c:pt>
                <c:pt idx="21">
                  <c:v>0.3161826367111481</c:v>
                </c:pt>
                <c:pt idx="22">
                  <c:v>0.32382416469376413</c:v>
                </c:pt>
                <c:pt idx="23">
                  <c:v>0.33130745503601544</c:v>
                </c:pt>
                <c:pt idx="24">
                  <c:v>0.33864301430211075</c:v>
                </c:pt>
                <c:pt idx="25">
                  <c:v>0.34584025903395404</c:v>
                </c:pt>
                <c:pt idx="26">
                  <c:v>0.35290766734533252</c:v>
                </c:pt>
                <c:pt idx="27">
                  <c:v>0.35985290446583534</c:v>
                </c:pt>
                <c:pt idx="28">
                  <c:v>0.36668292750320075</c:v>
                </c:pt>
                <c:pt idx="29">
                  <c:v>0.37340407347819238</c:v>
                </c:pt>
                <c:pt idx="30">
                  <c:v>0.38002213378353489</c:v>
                </c:pt>
                <c:pt idx="31">
                  <c:v>0.3865424175400316</c:v>
                </c:pt>
                <c:pt idx="32">
                  <c:v>0.3929698058076912</c:v>
                </c:pt>
                <c:pt idx="33">
                  <c:v>0.39930879821441734</c:v>
                </c:pt>
                <c:pt idx="34">
                  <c:v>0.4055635532588438</c:v>
                </c:pt>
                <c:pt idx="35">
                  <c:v>0.41173792330504178</c:v>
                </c:pt>
                <c:pt idx="36">
                  <c:v>0.41783548509885393</c:v>
                </c:pt>
                <c:pt idx="37">
                  <c:v>0.42385956648659129</c:v>
                </c:pt>
                <c:pt idx="38">
                  <c:v>0.42981326989786145</c:v>
                </c:pt>
                <c:pt idx="39">
                  <c:v>0.43569949305867989</c:v>
                </c:pt>
                <c:pt idx="40">
                  <c:v>0.44152094732370428</c:v>
                </c:pt>
                <c:pt idx="41">
                  <c:v>0.44728017395353842</c:v>
                </c:pt>
                <c:pt idx="42">
                  <c:v>0.45297955861161482</c:v>
                </c:pt>
                <c:pt idx="43">
                  <c:v>0.45862134431286827</c:v>
                </c:pt>
                <c:pt idx="44">
                  <c:v>0.46420764302145939</c:v>
                </c:pt>
                <c:pt idx="45">
                  <c:v>0.4697404460657883</c:v>
                </c:pt>
                <c:pt idx="46">
                  <c:v>0.47522163351483421</c:v>
                </c:pt>
                <c:pt idx="47">
                  <c:v>0.48065298263958339</c:v>
                </c:pt>
                <c:pt idx="48">
                  <c:v>0.48603617556625373</c:v>
                </c:pt>
                <c:pt idx="49">
                  <c:v>0.49137280621363144</c:v>
                </c:pt>
                <c:pt idx="50">
                  <c:v>0.49666438659462753</c:v>
                </c:pt>
                <c:pt idx="51">
                  <c:v>0.50191235255178768</c:v>
                </c:pt>
                <c:pt idx="52">
                  <c:v>0.50711806898762735</c:v>
                </c:pt>
                <c:pt idx="53">
                  <c:v>0.51228283464308211</c:v>
                </c:pt>
                <c:pt idx="54">
                  <c:v>0.51740788647084601</c:v>
                </c:pt>
                <c:pt idx="55">
                  <c:v>0.52249440364475996</c:v>
                </c:pt>
                <c:pt idx="56">
                  <c:v>0.52754351124155807</c:v>
                </c:pt>
                <c:pt idx="57">
                  <c:v>0.53255628362708007</c:v>
                </c:pt>
                <c:pt idx="58">
                  <c:v>0.53753374757540784</c:v>
                </c:pt>
                <c:pt idx="59">
                  <c:v>0.54247688514619841</c:v>
                </c:pt>
                <c:pt idx="60">
                  <c:v>0.5473866363427129</c:v>
                </c:pt>
                <c:pt idx="61">
                  <c:v>0.5522639015706069</c:v>
                </c:pt>
                <c:pt idx="62">
                  <c:v>0.55710954391541712</c:v>
                </c:pt>
                <c:pt idx="63">
                  <c:v>0.56192439125480098</c:v>
                </c:pt>
                <c:pt idx="64">
                  <c:v>0.56670923821993291</c:v>
                </c:pt>
                <c:pt idx="65">
                  <c:v>0.57146484801900255</c:v>
                </c:pt>
                <c:pt idx="66">
                  <c:v>0.57619195413446844</c:v>
                </c:pt>
                <c:pt idx="67">
                  <c:v>0.58089126190457374</c:v>
                </c:pt>
                <c:pt idx="68">
                  <c:v>0.58556344999861221</c:v>
                </c:pt>
                <c:pt idx="69">
                  <c:v>0.59020917179453303</c:v>
                </c:pt>
                <c:pt idx="70">
                  <c:v>0.59482905666665797</c:v>
                </c:pt>
                <c:pt idx="71">
                  <c:v>0.59942371119056803</c:v>
                </c:pt>
                <c:pt idx="72">
                  <c:v>0.60399372027157283</c:v>
                </c:pt>
                <c:pt idx="73">
                  <c:v>0.60853964820259154</c:v>
                </c:pt>
                <c:pt idx="74">
                  <c:v>0.61306203965676587</c:v>
                </c:pt>
                <c:pt idx="75">
                  <c:v>0.61756142061964936</c:v>
                </c:pt>
                <c:pt idx="76">
                  <c:v>0.62203829926540199</c:v>
                </c:pt>
                <c:pt idx="77">
                  <c:v>0.62649316678104394</c:v>
                </c:pt>
                <c:pt idx="78">
                  <c:v>0.63092649814247348</c:v>
                </c:pt>
                <c:pt idx="79">
                  <c:v>0.63533875284565233</c:v>
                </c:pt>
                <c:pt idx="80">
                  <c:v>0.63973037559607671</c:v>
                </c:pt>
                <c:pt idx="81">
                  <c:v>0.64410179695940439</c:v>
                </c:pt>
                <c:pt idx="82">
                  <c:v>0.64845343397587318</c:v>
                </c:pt>
                <c:pt idx="83">
                  <c:v>0.65278569074093995</c:v>
                </c:pt>
                <c:pt idx="84">
                  <c:v>0.65709895895437975</c:v>
                </c:pt>
                <c:pt idx="85">
                  <c:v>0.6613936184399094</c:v>
                </c:pt>
                <c:pt idx="86">
                  <c:v>0.66567003763724431</c:v>
                </c:pt>
                <c:pt idx="87">
                  <c:v>0.6699285740683516</c:v>
                </c:pt>
                <c:pt idx="88">
                  <c:v>0.67416957477953154</c:v>
                </c:pt>
                <c:pt idx="89">
                  <c:v>0.678393376760838</c:v>
                </c:pt>
                <c:pt idx="90">
                  <c:v>0.68260030734424126</c:v>
                </c:pt>
                <c:pt idx="91">
                  <c:v>0.68679068458183024</c:v>
                </c:pt>
                <c:pt idx="92">
                  <c:v>0.69096481760526385</c:v>
                </c:pt>
                <c:pt idx="93">
                  <c:v>0.69512300696759088</c:v>
                </c:pt>
                <c:pt idx="94">
                  <c:v>0.69926554496848559</c:v>
                </c:pt>
                <c:pt idx="95">
                  <c:v>0.70339271596386477</c:v>
                </c:pt>
                <c:pt idx="96">
                  <c:v>0.70750479666079757</c:v>
                </c:pt>
                <c:pt idx="97">
                  <c:v>0.71160205639854612</c:v>
                </c:pt>
                <c:pt idx="98">
                  <c:v>0.71568475741652882</c:v>
                </c:pt>
                <c:pt idx="99">
                  <c:v>0.71975315510993654</c:v>
                </c:pt>
                <c:pt idx="100">
                  <c:v>0.7238074982736924</c:v>
                </c:pt>
                <c:pt idx="101">
                  <c:v>0.7278480293353955</c:v>
                </c:pt>
                <c:pt idx="102">
                  <c:v>0.73187498457784705</c:v>
                </c:pt>
                <c:pt idx="103">
                  <c:v>0.73588859435172738</c:v>
                </c:pt>
                <c:pt idx="104">
                  <c:v>0.73988908327894254</c:v>
                </c:pt>
                <c:pt idx="105">
                  <c:v>0.74387667044714223</c:v>
                </c:pt>
                <c:pt idx="106">
                  <c:v>0.74785156959586707</c:v>
                </c:pt>
                <c:pt idx="107">
                  <c:v>0.75181398929476217</c:v>
                </c:pt>
                <c:pt idx="108">
                  <c:v>0.75576413311426616</c:v>
                </c:pt>
                <c:pt idx="109">
                  <c:v>0.75970219978915843</c:v>
                </c:pt>
                <c:pt idx="110">
                  <c:v>0.76362838337532546</c:v>
                </c:pt>
                <c:pt idx="111">
                  <c:v>0.76754287340008709</c:v>
                </c:pt>
                <c:pt idx="112">
                  <c:v>0.7714458550064015</c:v>
                </c:pt>
                <c:pt idx="113">
                  <c:v>0.7753375090912491</c:v>
                </c:pt>
                <c:pt idx="114">
                  <c:v>0.7792180124384841</c:v>
                </c:pt>
                <c:pt idx="115">
                  <c:v>0.7830875378464135</c:v>
                </c:pt>
                <c:pt idx="116">
                  <c:v>0.78694625425036235</c:v>
                </c:pt>
                <c:pt idx="117">
                  <c:v>0.79079432684046191</c:v>
                </c:pt>
                <c:pt idx="118">
                  <c:v>0.79463191717488368</c:v>
                </c:pt>
                <c:pt idx="119">
                  <c:v>0.79845918328873633</c:v>
                </c:pt>
                <c:pt idx="120">
                  <c:v>0.80227627979882188</c:v>
                </c:pt>
                <c:pt idx="121">
                  <c:v>0.80608335800444342</c:v>
                </c:pt>
                <c:pt idx="122">
                  <c:v>0.80988056598444558</c:v>
                </c:pt>
                <c:pt idx="123">
                  <c:v>0.81366804869065601</c:v>
                </c:pt>
                <c:pt idx="124">
                  <c:v>0.81744594803789083</c:v>
                </c:pt>
                <c:pt idx="125">
                  <c:v>0.82121440299067305</c:v>
                </c:pt>
                <c:pt idx="126">
                  <c:v>0.82497354964681657</c:v>
                </c:pt>
                <c:pt idx="127">
                  <c:v>0.82872352131800453</c:v>
                </c:pt>
                <c:pt idx="128">
                  <c:v>0.83246444860749724</c:v>
                </c:pt>
                <c:pt idx="129">
                  <c:v>0.83619645948509458</c:v>
                </c:pt>
                <c:pt idx="130">
                  <c:v>0.83991967935946377</c:v>
                </c:pt>
                <c:pt idx="131">
                  <c:v>0.84363423114795422</c:v>
                </c:pt>
                <c:pt idx="132">
                  <c:v>0.8473402353439955</c:v>
                </c:pt>
                <c:pt idx="133">
                  <c:v>0.85103781008218549</c:v>
                </c:pt>
                <c:pt idx="134">
                  <c:v>0.85472707120116187</c:v>
                </c:pt>
                <c:pt idx="135">
                  <c:v>0.85840813230435087</c:v>
                </c:pt>
                <c:pt idx="136">
                  <c:v>0.86208110481867606</c:v>
                </c:pt>
                <c:pt idx="137">
                  <c:v>0.86574609805131431</c:v>
                </c:pt>
                <c:pt idx="138">
                  <c:v>0.86940321924457331</c:v>
                </c:pt>
                <c:pt idx="139">
                  <c:v>0.87305257362897026</c:v>
                </c:pt>
                <c:pt idx="140">
                  <c:v>0.87669426447457854</c:v>
                </c:pt>
                <c:pt idx="141">
                  <c:v>0.88032839314071465</c:v>
                </c:pt>
                <c:pt idx="142">
                  <c:v>0.88395505912402772</c:v>
                </c:pt>
                <c:pt idx="143">
                  <c:v>0.88757436010505519</c:v>
                </c:pt>
                <c:pt idx="144">
                  <c:v>0.89118639199330318</c:v>
                </c:pt>
                <c:pt idx="145">
                  <c:v>0.89479124897090712</c:v>
                </c:pt>
                <c:pt idx="146">
                  <c:v>0.89838902353493111</c:v>
                </c:pt>
                <c:pt idx="147">
                  <c:v>0.90197980653834864</c:v>
                </c:pt>
                <c:pt idx="148">
                  <c:v>0.90556368722976632</c:v>
                </c:pt>
                <c:pt idx="149">
                  <c:v>0.90914075329192579</c:v>
                </c:pt>
                <c:pt idx="150">
                  <c:v>0.9127110908790369</c:v>
                </c:pt>
              </c:numCache>
            </c:numRef>
          </c:yVal>
          <c:smooth val="1"/>
          <c:extLst>
            <c:ext xmlns:c16="http://schemas.microsoft.com/office/drawing/2014/chart" uri="{C3380CC4-5D6E-409C-BE32-E72D297353CC}">
              <c16:uniqueId val="{00000001-2D92-4CB2-A641-52AD34A639BE}"/>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Eff_vs_IOUT!$BU$7:$BU$157</c:f>
              <c:numCache>
                <c:formatCode>General</c:formatCode>
                <c:ptCount val="151"/>
                <c:pt idx="0">
                  <c:v>0</c:v>
                </c:pt>
                <c:pt idx="1">
                  <c:v>1.8898223650461362E-5</c:v>
                </c:pt>
                <c:pt idx="2">
                  <c:v>5.345224838248487E-5</c:v>
                </c:pt>
                <c:pt idx="3">
                  <c:v>9.8198050606196531E-5</c:v>
                </c:pt>
                <c:pt idx="4">
                  <c:v>1.5118578920369087E-4</c:v>
                </c:pt>
                <c:pt idx="5">
                  <c:v>2.1128856368212912E-4</c:v>
                </c:pt>
                <c:pt idx="6">
                  <c:v>2.7774602993176539E-4</c:v>
                </c:pt>
                <c:pt idx="7">
                  <c:v>3.4999999999999994E-4</c:v>
                </c:pt>
                <c:pt idx="8">
                  <c:v>4.2761798705987913E-4</c:v>
                </c:pt>
                <c:pt idx="9">
                  <c:v>5.1025203856245682E-4</c:v>
                </c:pt>
                <c:pt idx="10">
                  <c:v>5.9761430466719653E-4</c:v>
                </c:pt>
                <c:pt idx="11">
                  <c:v>6.8946148758080954E-4</c:v>
                </c:pt>
                <c:pt idx="12">
                  <c:v>7.8558440484957246E-4</c:v>
                </c:pt>
                <c:pt idx="13">
                  <c:v>8.8580068703002083E-4</c:v>
                </c:pt>
                <c:pt idx="14">
                  <c:v>9.899494936611668E-4</c:v>
                </c:pt>
                <c:pt idx="15">
                  <c:v>1.0978875820671001E-3</c:v>
                </c:pt>
                <c:pt idx="16">
                  <c:v>1.2094863136295271E-3</c:v>
                </c:pt>
                <c:pt idx="17">
                  <c:v>1.3246293282057652E-3</c:v>
                </c:pt>
                <c:pt idx="18">
                  <c:v>1.4432107063270915E-3</c:v>
                </c:pt>
                <c:pt idx="19">
                  <c:v>1.5651334949910365E-3</c:v>
                </c:pt>
                <c:pt idx="20">
                  <c:v>1.6903085094570325E-3</c:v>
                </c:pt>
                <c:pt idx="21">
                  <c:v>1.8186533479473208E-3</c:v>
                </c:pt>
                <c:pt idx="22">
                  <c:v>1.9500915729414206E-3</c:v>
                </c:pt>
                <c:pt idx="23">
                  <c:v>2.0845520245024209E-3</c:v>
                </c:pt>
                <c:pt idx="24">
                  <c:v>2.2219682394541231E-3</c:v>
                </c:pt>
                <c:pt idx="25">
                  <c:v>2.3622779563076696E-3</c:v>
                </c:pt>
                <c:pt idx="26">
                  <c:v>2.5054226903145215E-3</c:v>
                </c:pt>
                <c:pt idx="27">
                  <c:v>2.6513473663673077E-3</c:v>
                </c:pt>
                <c:pt idx="28">
                  <c:v>2.7999999999999995E-3</c:v>
                </c:pt>
                <c:pt idx="29">
                  <c:v>2.9513314186748237E-3</c:v>
                </c:pt>
                <c:pt idx="30">
                  <c:v>3.1052950170405939E-3</c:v>
                </c:pt>
                <c:pt idx="31">
                  <c:v>3.261846541016738E-3</c:v>
                </c:pt>
                <c:pt idx="32">
                  <c:v>3.4209438964790317E-3</c:v>
                </c:pt>
                <c:pt idx="33">
                  <c:v>3.5825469790559425E-3</c:v>
                </c:pt>
                <c:pt idx="34">
                  <c:v>3.7466175221315093E-3</c:v>
                </c:pt>
                <c:pt idx="35">
                  <c:v>3.9131189606246312E-3</c:v>
                </c:pt>
                <c:pt idx="36">
                  <c:v>4.0820163084996537E-3</c:v>
                </c:pt>
                <c:pt idx="37">
                  <c:v>4.2532760482782142E-3</c:v>
                </c:pt>
                <c:pt idx="38">
                  <c:v>4.426866031081454E-3</c:v>
                </c:pt>
                <c:pt idx="39">
                  <c:v>4.6027553859462429E-3</c:v>
                </c:pt>
                <c:pt idx="40">
                  <c:v>4.780914437337574E-3</c:v>
                </c:pt>
                <c:pt idx="41">
                  <c:v>4.9613146299285283E-3</c:v>
                </c:pt>
                <c:pt idx="42">
                  <c:v>5.1439284598446744E-3</c:v>
                </c:pt>
                <c:pt idx="43">
                  <c:v>5.3287294116756527E-3</c:v>
                </c:pt>
                <c:pt idx="44">
                  <c:v>5.5156919006464763E-3</c:v>
                </c:pt>
                <c:pt idx="45">
                  <c:v>5.7047912194174875E-3</c:v>
                </c:pt>
                <c:pt idx="46">
                  <c:v>5.896003489047231E-3</c:v>
                </c:pt>
                <c:pt idx="47">
                  <c:v>6.0893056137085828E-3</c:v>
                </c:pt>
                <c:pt idx="48">
                  <c:v>6.284675238796578E-3</c:v>
                </c:pt>
                <c:pt idx="49">
                  <c:v>6.4820907121082467E-3</c:v>
                </c:pt>
                <c:pt idx="50">
                  <c:v>6.681531047810608E-3</c:v>
                </c:pt>
                <c:pt idx="51">
                  <c:v>6.8829758929446466E-3</c:v>
                </c:pt>
                <c:pt idx="52">
                  <c:v>7.0864054962401675E-3</c:v>
                </c:pt>
                <c:pt idx="53">
                  <c:v>7.291800679040613E-3</c:v>
                </c:pt>
                <c:pt idx="54">
                  <c:v>7.4991428081576652E-3</c:v>
                </c:pt>
                <c:pt idx="55">
                  <c:v>7.7084137704940877E-3</c:v>
                </c:pt>
                <c:pt idx="56">
                  <c:v>7.9195959492893309E-3</c:v>
                </c:pt>
                <c:pt idx="57">
                  <c:v>8.1326722018569726E-3</c:v>
                </c:pt>
                <c:pt idx="58">
                  <c:v>8.3476258386955219E-3</c:v>
                </c:pt>
                <c:pt idx="59">
                  <c:v>8.5644406038656654E-3</c:v>
                </c:pt>
                <c:pt idx="60">
                  <c:v>8.7831006565368009E-3</c:v>
                </c:pt>
                <c:pt idx="61">
                  <c:v>9.0035905536148646E-3</c:v>
                </c:pt>
                <c:pt idx="62">
                  <c:v>9.2258952333712767E-3</c:v>
                </c:pt>
                <c:pt idx="63">
                  <c:v>9.4499999999999983E-3</c:v>
                </c:pt>
                <c:pt idx="64">
                  <c:v>9.6758905090362154E-3</c:v>
                </c:pt>
                <c:pt idx="65">
                  <c:v>9.9035527535757169E-3</c:v>
                </c:pt>
                <c:pt idx="66">
                  <c:v>1.0132973051239346E-2</c:v>
                </c:pt>
                <c:pt idx="67">
                  <c:v>1.0364138031831551E-2</c:v>
                </c:pt>
                <c:pt idx="68">
                  <c:v>1.0597034625646122E-2</c:v>
                </c:pt>
                <c:pt idx="69">
                  <c:v>1.0831650052376272E-2</c:v>
                </c:pt>
                <c:pt idx="70">
                  <c:v>1.1067971810589326E-2</c:v>
                </c:pt>
                <c:pt idx="71">
                  <c:v>1.130598766772975E-2</c:v>
                </c:pt>
                <c:pt idx="72">
                  <c:v>1.1545685650616736E-2</c:v>
                </c:pt>
                <c:pt idx="73">
                  <c:v>1.1787054036405488E-2</c:v>
                </c:pt>
                <c:pt idx="74">
                  <c:v>1.2030081343983388E-2</c:v>
                </c:pt>
                <c:pt idx="75">
                  <c:v>1.2274756325774575E-2</c:v>
                </c:pt>
                <c:pt idx="76">
                  <c:v>1.2521067959928292E-2</c:v>
                </c:pt>
                <c:pt idx="77">
                  <c:v>1.2769005442868291E-2</c:v>
                </c:pt>
                <c:pt idx="78">
                  <c:v>1.301855818218197E-2</c:v>
                </c:pt>
                <c:pt idx="79">
                  <c:v>1.3269715789829753E-2</c:v>
                </c:pt>
                <c:pt idx="80">
                  <c:v>1.3522468075656264E-2</c:v>
                </c:pt>
                <c:pt idx="81">
                  <c:v>1.3776805041186332E-2</c:v>
                </c:pt>
                <c:pt idx="82">
                  <c:v>1.4032716873689956E-2</c:v>
                </c:pt>
                <c:pt idx="83">
                  <c:v>1.4290193940501399E-2</c:v>
                </c:pt>
                <c:pt idx="84">
                  <c:v>1.4549226783578565E-2</c:v>
                </c:pt>
                <c:pt idx="85">
                  <c:v>1.4809806114289854E-2</c:v>
                </c:pt>
                <c:pt idx="86">
                  <c:v>1.5071922808416223E-2</c:v>
                </c:pt>
                <c:pt idx="87">
                  <c:v>1.5335567901357386E-2</c:v>
                </c:pt>
                <c:pt idx="88">
                  <c:v>1.5600732583531365E-2</c:v>
                </c:pt>
                <c:pt idx="89">
                  <c:v>1.5867408195957607E-2</c:v>
                </c:pt>
                <c:pt idx="90">
                  <c:v>1.6135586226014319E-2</c:v>
                </c:pt>
                <c:pt idx="91">
                  <c:v>1.6405258303361155E-2</c:v>
                </c:pt>
                <c:pt idx="92">
                  <c:v>1.6676416196019367E-2</c:v>
                </c:pt>
                <c:pt idx="93">
                  <c:v>1.6949051806601369E-2</c:v>
                </c:pt>
                <c:pt idx="94">
                  <c:v>1.7223157168682598E-2</c:v>
                </c:pt>
                <c:pt idx="95">
                  <c:v>1.7498724443308914E-2</c:v>
                </c:pt>
                <c:pt idx="96">
                  <c:v>1.7775745915632985E-2</c:v>
                </c:pt>
                <c:pt idx="97">
                  <c:v>1.8054213991673604E-2</c:v>
                </c:pt>
                <c:pt idx="98">
                  <c:v>1.8334121195192312E-2</c:v>
                </c:pt>
                <c:pt idx="99">
                  <c:v>1.8615460164681852E-2</c:v>
                </c:pt>
                <c:pt idx="100">
                  <c:v>1.8898223650461361E-2</c:v>
                </c:pt>
                <c:pt idx="101">
                  <c:v>1.9182404511873443E-2</c:v>
                </c:pt>
                <c:pt idx="102">
                  <c:v>1.9467995714578759E-2</c:v>
                </c:pt>
                <c:pt idx="103">
                  <c:v>1.975499032794354E-2</c:v>
                </c:pt>
                <c:pt idx="104">
                  <c:v>2.0043381522516172E-2</c:v>
                </c:pt>
                <c:pt idx="105">
                  <c:v>2.0333162567588943E-2</c:v>
                </c:pt>
                <c:pt idx="106">
                  <c:v>2.0624326828841157E-2</c:v>
                </c:pt>
                <c:pt idx="107">
                  <c:v>2.0916867766060412E-2</c:v>
                </c:pt>
                <c:pt idx="108">
                  <c:v>2.1210778930938458E-2</c:v>
                </c:pt>
                <c:pt idx="109">
                  <c:v>2.1506053964938734E-2</c:v>
                </c:pt>
                <c:pt idx="110">
                  <c:v>2.1802686597232529E-2</c:v>
                </c:pt>
                <c:pt idx="111">
                  <c:v>2.2100670642700933E-2</c:v>
                </c:pt>
                <c:pt idx="112">
                  <c:v>2.2399999999999996E-2</c:v>
                </c:pt>
                <c:pt idx="113">
                  <c:v>2.2700668649686458E-2</c:v>
                </c:pt>
                <c:pt idx="114">
                  <c:v>2.3002670652401573E-2</c:v>
                </c:pt>
                <c:pt idx="115">
                  <c:v>2.3306000147111105E-2</c:v>
                </c:pt>
                <c:pt idx="116">
                  <c:v>2.3610651349398586E-2</c:v>
                </c:pt>
                <c:pt idx="117">
                  <c:v>2.3916618549810562E-2</c:v>
                </c:pt>
                <c:pt idx="118">
                  <c:v>2.4223896112251286E-2</c:v>
                </c:pt>
                <c:pt idx="119">
                  <c:v>2.4532478472425071E-2</c:v>
                </c:pt>
                <c:pt idx="120">
                  <c:v>2.4842360136324751E-2</c:v>
                </c:pt>
                <c:pt idx="121">
                  <c:v>2.5153535678764063E-2</c:v>
                </c:pt>
                <c:pt idx="122">
                  <c:v>2.5465999741952846E-2</c:v>
                </c:pt>
                <c:pt idx="123">
                  <c:v>2.5779747034112996E-2</c:v>
                </c:pt>
                <c:pt idx="124">
                  <c:v>2.6094772328133908E-2</c:v>
                </c:pt>
                <c:pt idx="125">
                  <c:v>2.6411070460266143E-2</c:v>
                </c:pt>
                <c:pt idx="126">
                  <c:v>2.6728636328851498E-2</c:v>
                </c:pt>
                <c:pt idx="127">
                  <c:v>2.7047464893088551E-2</c:v>
                </c:pt>
                <c:pt idx="128">
                  <c:v>2.7367551171832264E-2</c:v>
                </c:pt>
                <c:pt idx="129">
                  <c:v>2.7688890242426521E-2</c:v>
                </c:pt>
                <c:pt idx="130">
                  <c:v>2.8011477239568379E-2</c:v>
                </c:pt>
                <c:pt idx="131">
                  <c:v>2.8335307354202859E-2</c:v>
                </c:pt>
                <c:pt idx="132">
                  <c:v>2.8660375832447529E-2</c:v>
                </c:pt>
                <c:pt idx="133">
                  <c:v>2.8986677974545478E-2</c:v>
                </c:pt>
                <c:pt idx="134">
                  <c:v>2.9314209133845935E-2</c:v>
                </c:pt>
                <c:pt idx="135">
                  <c:v>2.9642964715811706E-2</c:v>
                </c:pt>
                <c:pt idx="136">
                  <c:v>2.9972940177052081E-2</c:v>
                </c:pt>
                <c:pt idx="137">
                  <c:v>3.0304131024381103E-2</c:v>
                </c:pt>
                <c:pt idx="138">
                  <c:v>3.0636532813899543E-2</c:v>
                </c:pt>
                <c:pt idx="139">
                  <c:v>3.0970141150100414E-2</c:v>
                </c:pt>
                <c:pt idx="140">
                  <c:v>3.1304951684997064E-2</c:v>
                </c:pt>
                <c:pt idx="141">
                  <c:v>3.1640960117272944E-2</c:v>
                </c:pt>
                <c:pt idx="142">
                  <c:v>3.1978162191452726E-2</c:v>
                </c:pt>
                <c:pt idx="143">
                  <c:v>3.2316553697093742E-2</c:v>
                </c:pt>
                <c:pt idx="144">
                  <c:v>3.2656130467997237E-2</c:v>
                </c:pt>
                <c:pt idx="145">
                  <c:v>3.2996888381438987E-2</c:v>
                </c:pt>
                <c:pt idx="146">
                  <c:v>3.3338823357418342E-2</c:v>
                </c:pt>
                <c:pt idx="147">
                  <c:v>3.3681931357925445E-2</c:v>
                </c:pt>
                <c:pt idx="148">
                  <c:v>3.4026208386225713E-2</c:v>
                </c:pt>
                <c:pt idx="149">
                  <c:v>3.4371650486161663E-2</c:v>
                </c:pt>
                <c:pt idx="150">
                  <c:v>3.471825374147066E-2</c:v>
                </c:pt>
              </c:numCache>
            </c:numRef>
          </c:yVal>
          <c:smooth val="1"/>
          <c:extLst>
            <c:ext xmlns:c16="http://schemas.microsoft.com/office/drawing/2014/chart" uri="{C3380CC4-5D6E-409C-BE32-E72D297353CC}">
              <c16:uniqueId val="{00000002-2D92-4CB2-A641-52AD34A639BE}"/>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Eff_vs_IOUT!$AY$8:$AY$157</c:f>
              <c:numCache>
                <c:formatCode>General</c:formatCode>
                <c:ptCount val="150"/>
                <c:pt idx="0">
                  <c:v>0.92983333333333329</c:v>
                </c:pt>
                <c:pt idx="1">
                  <c:v>0.9321666666666667</c:v>
                </c:pt>
                <c:pt idx="2">
                  <c:v>0.9345</c:v>
                </c:pt>
                <c:pt idx="3">
                  <c:v>0.9368333333333333</c:v>
                </c:pt>
                <c:pt idx="4">
                  <c:v>0.93916666666666671</c:v>
                </c:pt>
                <c:pt idx="5">
                  <c:v>0.9415</c:v>
                </c:pt>
                <c:pt idx="6">
                  <c:v>0.9438333333333333</c:v>
                </c:pt>
                <c:pt idx="7">
                  <c:v>0.94616666666666671</c:v>
                </c:pt>
                <c:pt idx="8">
                  <c:v>0.94850000000000001</c:v>
                </c:pt>
                <c:pt idx="9">
                  <c:v>0.95083333333333331</c:v>
                </c:pt>
                <c:pt idx="10">
                  <c:v>0.95316666666666661</c:v>
                </c:pt>
                <c:pt idx="11">
                  <c:v>0.95550000000000002</c:v>
                </c:pt>
                <c:pt idx="12">
                  <c:v>0.95783333333333331</c:v>
                </c:pt>
                <c:pt idx="13">
                  <c:v>0.96016666666666661</c:v>
                </c:pt>
                <c:pt idx="14">
                  <c:v>0.96250000000000002</c:v>
                </c:pt>
                <c:pt idx="15">
                  <c:v>0.96483333333333332</c:v>
                </c:pt>
                <c:pt idx="16">
                  <c:v>0.96716666666666662</c:v>
                </c:pt>
                <c:pt idx="17">
                  <c:v>0.96950000000000003</c:v>
                </c:pt>
                <c:pt idx="18">
                  <c:v>0.97183333333333333</c:v>
                </c:pt>
                <c:pt idx="19">
                  <c:v>0.97416666666666663</c:v>
                </c:pt>
                <c:pt idx="20">
                  <c:v>0.97650000000000003</c:v>
                </c:pt>
                <c:pt idx="21">
                  <c:v>0.97883333333333333</c:v>
                </c:pt>
                <c:pt idx="22">
                  <c:v>0.98116666666666663</c:v>
                </c:pt>
                <c:pt idx="23">
                  <c:v>0.98350000000000004</c:v>
                </c:pt>
                <c:pt idx="24">
                  <c:v>0.98583333333333334</c:v>
                </c:pt>
                <c:pt idx="25">
                  <c:v>0.98816666666666664</c:v>
                </c:pt>
                <c:pt idx="26">
                  <c:v>0.99049999999999994</c:v>
                </c:pt>
                <c:pt idx="27">
                  <c:v>0.99283333333333335</c:v>
                </c:pt>
                <c:pt idx="28">
                  <c:v>0.99516666666666664</c:v>
                </c:pt>
                <c:pt idx="29">
                  <c:v>0.99749999999999994</c:v>
                </c:pt>
                <c:pt idx="30">
                  <c:v>0.99983333333333335</c:v>
                </c:pt>
                <c:pt idx="31">
                  <c:v>1.0021666666666667</c:v>
                </c:pt>
                <c:pt idx="32">
                  <c:v>1.0044999999999999</c:v>
                </c:pt>
                <c:pt idx="33">
                  <c:v>1.0068333333333332</c:v>
                </c:pt>
                <c:pt idx="34">
                  <c:v>1.0091666666666668</c:v>
                </c:pt>
                <c:pt idx="35">
                  <c:v>1.0115000000000001</c:v>
                </c:pt>
                <c:pt idx="36">
                  <c:v>1.0138333333333334</c:v>
                </c:pt>
                <c:pt idx="37">
                  <c:v>1.0161666666666667</c:v>
                </c:pt>
                <c:pt idx="38">
                  <c:v>1.0185</c:v>
                </c:pt>
                <c:pt idx="39">
                  <c:v>1.0208333333333333</c:v>
                </c:pt>
                <c:pt idx="40">
                  <c:v>1.0231666666666666</c:v>
                </c:pt>
                <c:pt idx="41">
                  <c:v>1.0255000000000001</c:v>
                </c:pt>
                <c:pt idx="42">
                  <c:v>1.0278333333333334</c:v>
                </c:pt>
                <c:pt idx="43">
                  <c:v>1.0301666666666667</c:v>
                </c:pt>
                <c:pt idx="44">
                  <c:v>1.0325</c:v>
                </c:pt>
                <c:pt idx="45">
                  <c:v>1.0348333333333333</c:v>
                </c:pt>
                <c:pt idx="46">
                  <c:v>1.0371666666666666</c:v>
                </c:pt>
                <c:pt idx="47">
                  <c:v>1.0394999999999999</c:v>
                </c:pt>
                <c:pt idx="48">
                  <c:v>1.0418333333333334</c:v>
                </c:pt>
                <c:pt idx="49">
                  <c:v>1.0441666666666667</c:v>
                </c:pt>
                <c:pt idx="50">
                  <c:v>1.0465</c:v>
                </c:pt>
                <c:pt idx="51">
                  <c:v>1.0488333333333333</c:v>
                </c:pt>
                <c:pt idx="52">
                  <c:v>1.0511666666666666</c:v>
                </c:pt>
                <c:pt idx="53">
                  <c:v>1.0535000000000001</c:v>
                </c:pt>
                <c:pt idx="54">
                  <c:v>1.0558333333333334</c:v>
                </c:pt>
                <c:pt idx="55">
                  <c:v>1.0581666666666667</c:v>
                </c:pt>
                <c:pt idx="56">
                  <c:v>1.0605</c:v>
                </c:pt>
                <c:pt idx="57">
                  <c:v>1.0628333333333333</c:v>
                </c:pt>
                <c:pt idx="58">
                  <c:v>1.0651666666666666</c:v>
                </c:pt>
                <c:pt idx="59">
                  <c:v>1.0674999999999999</c:v>
                </c:pt>
                <c:pt idx="60">
                  <c:v>1.0698333333333334</c:v>
                </c:pt>
                <c:pt idx="61">
                  <c:v>1.0721666666666667</c:v>
                </c:pt>
                <c:pt idx="62">
                  <c:v>1.0745</c:v>
                </c:pt>
                <c:pt idx="63">
                  <c:v>1.0768333333333333</c:v>
                </c:pt>
                <c:pt idx="64">
                  <c:v>1.0791666666666666</c:v>
                </c:pt>
                <c:pt idx="65">
                  <c:v>1.0814999999999999</c:v>
                </c:pt>
                <c:pt idx="66">
                  <c:v>1.0838333333333332</c:v>
                </c:pt>
                <c:pt idx="67">
                  <c:v>1.0861666666666667</c:v>
                </c:pt>
                <c:pt idx="68">
                  <c:v>1.0885</c:v>
                </c:pt>
                <c:pt idx="69">
                  <c:v>1.0908333333333333</c:v>
                </c:pt>
                <c:pt idx="70">
                  <c:v>1.0931666666666666</c:v>
                </c:pt>
                <c:pt idx="71">
                  <c:v>1.0954999999999999</c:v>
                </c:pt>
                <c:pt idx="72">
                  <c:v>1.0978333333333334</c:v>
                </c:pt>
                <c:pt idx="73">
                  <c:v>1.1001666666666667</c:v>
                </c:pt>
                <c:pt idx="74">
                  <c:v>1.1025</c:v>
                </c:pt>
                <c:pt idx="75">
                  <c:v>1.1048333333333333</c:v>
                </c:pt>
                <c:pt idx="76">
                  <c:v>1.1071666666666666</c:v>
                </c:pt>
                <c:pt idx="77">
                  <c:v>1.1094999999999999</c:v>
                </c:pt>
                <c:pt idx="78">
                  <c:v>1.1118333333333332</c:v>
                </c:pt>
                <c:pt idx="79">
                  <c:v>1.1141666666666667</c:v>
                </c:pt>
                <c:pt idx="80">
                  <c:v>1.1165</c:v>
                </c:pt>
                <c:pt idx="81">
                  <c:v>1.1188333333333333</c:v>
                </c:pt>
                <c:pt idx="82">
                  <c:v>1.1211666666666666</c:v>
                </c:pt>
                <c:pt idx="83">
                  <c:v>1.1234999999999999</c:v>
                </c:pt>
                <c:pt idx="84">
                  <c:v>1.1258333333333332</c:v>
                </c:pt>
                <c:pt idx="85">
                  <c:v>1.1281666666666665</c:v>
                </c:pt>
                <c:pt idx="86">
                  <c:v>1.1305000000000001</c:v>
                </c:pt>
                <c:pt idx="87">
                  <c:v>1.1328333333333334</c:v>
                </c:pt>
                <c:pt idx="88">
                  <c:v>1.1351666666666667</c:v>
                </c:pt>
                <c:pt idx="89">
                  <c:v>1.1375</c:v>
                </c:pt>
                <c:pt idx="90">
                  <c:v>1.1398333333333333</c:v>
                </c:pt>
                <c:pt idx="91">
                  <c:v>1.1421666666666666</c:v>
                </c:pt>
                <c:pt idx="92">
                  <c:v>1.1445000000000001</c:v>
                </c:pt>
                <c:pt idx="93">
                  <c:v>1.1468333333333334</c:v>
                </c:pt>
                <c:pt idx="94">
                  <c:v>1.1491666666666667</c:v>
                </c:pt>
                <c:pt idx="95">
                  <c:v>1.1515</c:v>
                </c:pt>
                <c:pt idx="96">
                  <c:v>1.1538333333333333</c:v>
                </c:pt>
                <c:pt idx="97">
                  <c:v>1.1561666666666666</c:v>
                </c:pt>
                <c:pt idx="98">
                  <c:v>1.1585000000000001</c:v>
                </c:pt>
                <c:pt idx="99">
                  <c:v>1.1608333333333334</c:v>
                </c:pt>
                <c:pt idx="100">
                  <c:v>1.1631666666666667</c:v>
                </c:pt>
                <c:pt idx="101">
                  <c:v>1.1655</c:v>
                </c:pt>
                <c:pt idx="102">
                  <c:v>1.1678333333333333</c:v>
                </c:pt>
                <c:pt idx="103">
                  <c:v>1.1701666666666666</c:v>
                </c:pt>
                <c:pt idx="104">
                  <c:v>1.1724999999999999</c:v>
                </c:pt>
                <c:pt idx="105">
                  <c:v>1.1748333333333334</c:v>
                </c:pt>
                <c:pt idx="106">
                  <c:v>1.1771666666666667</c:v>
                </c:pt>
                <c:pt idx="107">
                  <c:v>1.1795</c:v>
                </c:pt>
                <c:pt idx="108">
                  <c:v>1.1818333333333333</c:v>
                </c:pt>
                <c:pt idx="109">
                  <c:v>1.1841666666666666</c:v>
                </c:pt>
                <c:pt idx="110">
                  <c:v>1.1865000000000001</c:v>
                </c:pt>
                <c:pt idx="111">
                  <c:v>1.1888333333333332</c:v>
                </c:pt>
                <c:pt idx="112">
                  <c:v>1.1911666666666667</c:v>
                </c:pt>
                <c:pt idx="113">
                  <c:v>1.1935</c:v>
                </c:pt>
                <c:pt idx="114">
                  <c:v>1.1958333333333333</c:v>
                </c:pt>
                <c:pt idx="115">
                  <c:v>1.1981666666666666</c:v>
                </c:pt>
                <c:pt idx="116">
                  <c:v>1.2004999999999999</c:v>
                </c:pt>
                <c:pt idx="117">
                  <c:v>1.2028333333333334</c:v>
                </c:pt>
                <c:pt idx="118">
                  <c:v>1.2051666666666667</c:v>
                </c:pt>
                <c:pt idx="119">
                  <c:v>1.2075</c:v>
                </c:pt>
                <c:pt idx="120">
                  <c:v>1.2098333333333333</c:v>
                </c:pt>
                <c:pt idx="121">
                  <c:v>1.2121666666666666</c:v>
                </c:pt>
                <c:pt idx="122">
                  <c:v>1.2144999999999999</c:v>
                </c:pt>
                <c:pt idx="123">
                  <c:v>1.2168333333333332</c:v>
                </c:pt>
                <c:pt idx="124">
                  <c:v>1.2191666666666667</c:v>
                </c:pt>
                <c:pt idx="125">
                  <c:v>1.2215</c:v>
                </c:pt>
                <c:pt idx="126">
                  <c:v>1.2238333333333333</c:v>
                </c:pt>
                <c:pt idx="127">
                  <c:v>1.2261666666666666</c:v>
                </c:pt>
                <c:pt idx="128">
                  <c:v>1.2284999999999999</c:v>
                </c:pt>
                <c:pt idx="129">
                  <c:v>1.2308333333333334</c:v>
                </c:pt>
                <c:pt idx="130">
                  <c:v>1.2331666666666665</c:v>
                </c:pt>
                <c:pt idx="131">
                  <c:v>1.2355</c:v>
                </c:pt>
                <c:pt idx="132">
                  <c:v>1.2378333333333333</c:v>
                </c:pt>
                <c:pt idx="133">
                  <c:v>1.2401666666666666</c:v>
                </c:pt>
                <c:pt idx="134">
                  <c:v>1.2424999999999999</c:v>
                </c:pt>
                <c:pt idx="135">
                  <c:v>1.2448333333333332</c:v>
                </c:pt>
                <c:pt idx="136">
                  <c:v>1.2471666666666668</c:v>
                </c:pt>
                <c:pt idx="137">
                  <c:v>1.2495000000000001</c:v>
                </c:pt>
                <c:pt idx="138">
                  <c:v>1.2518333333333334</c:v>
                </c:pt>
                <c:pt idx="139">
                  <c:v>1.2541666666666667</c:v>
                </c:pt>
                <c:pt idx="140">
                  <c:v>1.2565</c:v>
                </c:pt>
                <c:pt idx="141">
                  <c:v>1.2588333333333332</c:v>
                </c:pt>
                <c:pt idx="142">
                  <c:v>1.2611666666666665</c:v>
                </c:pt>
                <c:pt idx="143">
                  <c:v>1.2635000000000001</c:v>
                </c:pt>
                <c:pt idx="144">
                  <c:v>1.2658333333333334</c:v>
                </c:pt>
                <c:pt idx="145">
                  <c:v>1.2681666666666667</c:v>
                </c:pt>
                <c:pt idx="146">
                  <c:v>1.2705</c:v>
                </c:pt>
                <c:pt idx="147">
                  <c:v>1.2728333333333333</c:v>
                </c:pt>
                <c:pt idx="148">
                  <c:v>1.2751666666666666</c:v>
                </c:pt>
                <c:pt idx="149">
                  <c:v>1.2774999999999999</c:v>
                </c:pt>
              </c:numCache>
            </c:numRef>
          </c:yVal>
          <c:smooth val="1"/>
          <c:extLst>
            <c:ext xmlns:c16="http://schemas.microsoft.com/office/drawing/2014/chart" uri="{C3380CC4-5D6E-409C-BE32-E72D297353CC}">
              <c16:uniqueId val="{00000003-2D92-4CB2-A641-52AD34A639BE}"/>
            </c:ext>
          </c:extLst>
        </c:ser>
        <c:dLbls>
          <c:showLegendKey val="0"/>
          <c:showVal val="0"/>
          <c:showCatName val="0"/>
          <c:showSerName val="0"/>
          <c:showPercent val="0"/>
          <c:showBubbleSize val="0"/>
        </c:dLbls>
        <c:axId val="586288512"/>
        <c:axId val="586286592"/>
      </c:scatterChart>
      <c:valAx>
        <c:axId val="586594176"/>
        <c:scaling>
          <c:orientation val="minMax"/>
        </c:scaling>
        <c:delete val="0"/>
        <c:axPos val="b"/>
        <c:majorGridlines/>
        <c:numFmt formatCode="General" sourceLinked="1"/>
        <c:majorTickMark val="out"/>
        <c:minorTickMark val="none"/>
        <c:tickLblPos val="nextTo"/>
        <c:crossAx val="586595712"/>
        <c:crosses val="autoZero"/>
        <c:crossBetween val="midCat"/>
      </c:valAx>
      <c:valAx>
        <c:axId val="586595712"/>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6594176"/>
        <c:crosses val="autoZero"/>
        <c:crossBetween val="midCat"/>
      </c:valAx>
      <c:valAx>
        <c:axId val="58628659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6288512"/>
        <c:crosses val="max"/>
        <c:crossBetween val="midCat"/>
      </c:valAx>
      <c:valAx>
        <c:axId val="586288512"/>
        <c:scaling>
          <c:orientation val="minMax"/>
        </c:scaling>
        <c:delete val="1"/>
        <c:axPos val="b"/>
        <c:title>
          <c:tx>
            <c:rich>
              <a:bodyPr/>
              <a:lstStyle/>
              <a:p>
                <a:pPr>
                  <a:defRPr sz="1100"/>
                </a:pPr>
                <a:r>
                  <a:rPr lang="en-US" sz="1100"/>
                  <a:t>P</a:t>
                </a:r>
                <a:r>
                  <a:rPr lang="en-US" sz="1100" baseline="-25000"/>
                  <a:t>OUT</a:t>
                </a:r>
                <a:r>
                  <a:rPr lang="en-US" sz="1100"/>
                  <a:t> </a:t>
                </a:r>
                <a:r>
                  <a:rPr lang="en-US" sz="1100" baseline="0"/>
                  <a:t>(W)</a:t>
                </a:r>
                <a:endParaRPr lang="en-US" sz="1100"/>
              </a:p>
            </c:rich>
          </c:tx>
          <c:overlay val="0"/>
        </c:title>
        <c:numFmt formatCode="General" sourceLinked="1"/>
        <c:majorTickMark val="out"/>
        <c:minorTickMark val="none"/>
        <c:tickLblPos val="nextTo"/>
        <c:crossAx val="586286592"/>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Eff_vs_IOUT!$BZ$7:$BZ$157</c:f>
              <c:numCache>
                <c:formatCode>General</c:formatCode>
                <c:ptCount val="151"/>
                <c:pt idx="0">
                  <c:v>0</c:v>
                </c:pt>
                <c:pt idx="1">
                  <c:v>18.876580415263494</c:v>
                </c:pt>
                <c:pt idx="2">
                  <c:v>30.9579989421165</c:v>
                </c:pt>
                <c:pt idx="3">
                  <c:v>39.488763681716357</c:v>
                </c:pt>
                <c:pt idx="4">
                  <c:v>45.869495168920224</c:v>
                </c:pt>
                <c:pt idx="5">
                  <c:v>50.838148376447592</c:v>
                </c:pt>
                <c:pt idx="6">
                  <c:v>54.825443896429938</c:v>
                </c:pt>
                <c:pt idx="7">
                  <c:v>58.101189362502815</c:v>
                </c:pt>
                <c:pt idx="8">
                  <c:v>60.843597051015344</c:v>
                </c:pt>
                <c:pt idx="9">
                  <c:v>63.17538463101058</c:v>
                </c:pt>
                <c:pt idx="10">
                  <c:v>65.183955774447909</c:v>
                </c:pt>
                <c:pt idx="11">
                  <c:v>66.933327936740241</c:v>
                </c:pt>
                <c:pt idx="12">
                  <c:v>68.471509434147919</c:v>
                </c:pt>
                <c:pt idx="13">
                  <c:v>69.835237726311135</c:v>
                </c:pt>
                <c:pt idx="14">
                  <c:v>71.053121932662066</c:v>
                </c:pt>
                <c:pt idx="15">
                  <c:v>72.147785279677564</c:v>
                </c:pt>
                <c:pt idx="16">
                  <c:v>73.137361225129553</c:v>
                </c:pt>
                <c:pt idx="17">
                  <c:v>74.036560520587898</c:v>
                </c:pt>
                <c:pt idx="18">
                  <c:v>74.857446631561245</c:v>
                </c:pt>
                <c:pt idx="19">
                  <c:v>75.61000871893367</c:v>
                </c:pt>
                <c:pt idx="20">
                  <c:v>76.302591438763372</c:v>
                </c:pt>
                <c:pt idx="21">
                  <c:v>76.942221746558118</c:v>
                </c:pt>
                <c:pt idx="22">
                  <c:v>77.534860471503279</c:v>
                </c:pt>
                <c:pt idx="23">
                  <c:v>78.085598171210123</c:v>
                </c:pt>
                <c:pt idx="24">
                  <c:v>78.598809189466863</c:v>
                </c:pt>
                <c:pt idx="25">
                  <c:v>79.078273992729834</c:v>
                </c:pt>
                <c:pt idx="26">
                  <c:v>79.527277172093775</c:v>
                </c:pt>
                <c:pt idx="27">
                  <c:v>79.948686591062625</c:v>
                </c:pt>
                <c:pt idx="28">
                  <c:v>80.345017790128466</c:v>
                </c:pt>
                <c:pt idx="29">
                  <c:v>80.718486763704732</c:v>
                </c:pt>
                <c:pt idx="30">
                  <c:v>81.071053493128346</c:v>
                </c:pt>
                <c:pt idx="31">
                  <c:v>81.404458075789464</c:v>
                </c:pt>
                <c:pt idx="32">
                  <c:v>81.72025088262636</c:v>
                </c:pt>
                <c:pt idx="33">
                  <c:v>82.019817867502468</c:v>
                </c:pt>
                <c:pt idx="34">
                  <c:v>82.304401916272226</c:v>
                </c:pt>
                <c:pt idx="35">
                  <c:v>82.575120941926045</c:v>
                </c:pt>
                <c:pt idx="36">
                  <c:v>82.832983291517138</c:v>
                </c:pt>
                <c:pt idx="37">
                  <c:v>83.078900920688241</c:v>
                </c:pt>
                <c:pt idx="38">
                  <c:v>83.313700705209953</c:v>
                </c:pt>
                <c:pt idx="39">
                  <c:v>83.538134190564108</c:v>
                </c:pt>
                <c:pt idx="40">
                  <c:v>83.752886026164646</c:v>
                </c:pt>
                <c:pt idx="41">
                  <c:v>83.958581287214926</c:v>
                </c:pt>
                <c:pt idx="42">
                  <c:v>84.155791852102368</c:v>
                </c:pt>
                <c:pt idx="43">
                  <c:v>84.345041974825193</c:v>
                </c:pt>
                <c:pt idx="44">
                  <c:v>84.526813168842736</c:v>
                </c:pt>
                <c:pt idx="45">
                  <c:v>84.701548499861048</c:v>
                </c:pt>
                <c:pt idx="46">
                  <c:v>84.869656369567167</c:v>
                </c:pt>
                <c:pt idx="47">
                  <c:v>85.03151385954915</c:v>
                </c:pt>
                <c:pt idx="48">
                  <c:v>85.187469694061065</c:v>
                </c:pt>
                <c:pt idx="49">
                  <c:v>85.337846871502109</c:v>
                </c:pt>
                <c:pt idx="50">
                  <c:v>85.482945007144664</c:v>
                </c:pt>
                <c:pt idx="51">
                  <c:v>85.623042423506021</c:v>
                </c:pt>
                <c:pt idx="52">
                  <c:v>85.758398019598332</c:v>
                </c:pt>
                <c:pt idx="53">
                  <c:v>85.889252945942133</c:v>
                </c:pt>
                <c:pt idx="54">
                  <c:v>86.015832108549418</c:v>
                </c:pt>
                <c:pt idx="55">
                  <c:v>86.138345521961043</c:v>
                </c:pt>
                <c:pt idx="56">
                  <c:v>86.256989528767051</c:v>
                </c:pt>
                <c:pt idx="57">
                  <c:v>86.371947900771701</c:v>
                </c:pt>
                <c:pt idx="58">
                  <c:v>86.483392835024929</c:v>
                </c:pt>
                <c:pt idx="59">
                  <c:v>86.591485856277643</c:v>
                </c:pt>
                <c:pt idx="60">
                  <c:v>86.696378635985099</c:v>
                </c:pt>
                <c:pt idx="61">
                  <c:v>86.798213736748622</c:v>
                </c:pt>
                <c:pt idx="62">
                  <c:v>86.89712529001676</c:v>
                </c:pt>
                <c:pt idx="63">
                  <c:v>86.99323961394181</c:v>
                </c:pt>
                <c:pt idx="64">
                  <c:v>87.086675777483691</c:v>
                </c:pt>
                <c:pt idx="65">
                  <c:v>87.177546116153266</c:v>
                </c:pt>
                <c:pt idx="66">
                  <c:v>87.265956704176091</c:v>
                </c:pt>
                <c:pt idx="67">
                  <c:v>87.352007787324894</c:v>
                </c:pt>
                <c:pt idx="68">
                  <c:v>87.435794180200105</c:v>
                </c:pt>
                <c:pt idx="69">
                  <c:v>87.517405631328714</c:v>
                </c:pt>
                <c:pt idx="70">
                  <c:v>87.596927159090015</c:v>
                </c:pt>
                <c:pt idx="71">
                  <c:v>87.674439361159372</c:v>
                </c:pt>
                <c:pt idx="72">
                  <c:v>87.750018699880272</c:v>
                </c:pt>
                <c:pt idx="73">
                  <c:v>87.823737765727202</c:v>
                </c:pt>
                <c:pt idx="74">
                  <c:v>87.895665520802297</c:v>
                </c:pt>
                <c:pt idx="75">
                  <c:v>87.965867524113392</c:v>
                </c:pt>
                <c:pt idx="76">
                  <c:v>88.034406140208731</c:v>
                </c:pt>
                <c:pt idx="77">
                  <c:v>88.10134073258908</c:v>
                </c:pt>
                <c:pt idx="78">
                  <c:v>88.166727843181064</c:v>
                </c:pt>
                <c:pt idx="79">
                  <c:v>88.230621359032767</c:v>
                </c:pt>
                <c:pt idx="80">
                  <c:v>88.293072667283397</c:v>
                </c:pt>
                <c:pt idx="81">
                  <c:v>88.354130799360831</c:v>
                </c:pt>
                <c:pt idx="82">
                  <c:v>88.413842565272887</c:v>
                </c:pt>
                <c:pt idx="83">
                  <c:v>88.472252678779483</c:v>
                </c:pt>
                <c:pt idx="84">
                  <c:v>88.529403874161943</c:v>
                </c:pt>
                <c:pt idx="85">
                  <c:v>88.585337015242189</c:v>
                </c:pt>
                <c:pt idx="86">
                  <c:v>88.640091197246946</c:v>
                </c:pt>
                <c:pt idx="87">
                  <c:v>88.693703842060188</c:v>
                </c:pt>
                <c:pt idx="88">
                  <c:v>88.746210787360823</c:v>
                </c:pt>
                <c:pt idx="89">
                  <c:v>88.797646370099727</c:v>
                </c:pt>
                <c:pt idx="90">
                  <c:v>88.848043504732416</c:v>
                </c:pt>
                <c:pt idx="91">
                  <c:v>88.897433756588782</c:v>
                </c:pt>
                <c:pt idx="92">
                  <c:v>88.94584741072984</c:v>
                </c:pt>
                <c:pt idx="93">
                  <c:v>88.993313536613044</c:v>
                </c:pt>
                <c:pt idx="94">
                  <c:v>89.039860048861598</c:v>
                </c:pt>
                <c:pt idx="95">
                  <c:v>89.085513764409725</c:v>
                </c:pt>
                <c:pt idx="96">
                  <c:v>89.130300456274142</c:v>
                </c:pt>
                <c:pt idx="97">
                  <c:v>89.174244904182586</c:v>
                </c:pt>
                <c:pt idx="98">
                  <c:v>89.217370942272339</c:v>
                </c:pt>
                <c:pt idx="99">
                  <c:v>89.259701504054846</c:v>
                </c:pt>
                <c:pt idx="100">
                  <c:v>89.30125866482868</c:v>
                </c:pt>
                <c:pt idx="101">
                  <c:v>89.34206368170797</c:v>
                </c:pt>
                <c:pt idx="102">
                  <c:v>89.382137031422189</c:v>
                </c:pt>
                <c:pt idx="103">
                  <c:v>89.421498446030938</c:v>
                </c:pt>
                <c:pt idx="104">
                  <c:v>89.460166946687039</c:v>
                </c:pt>
                <c:pt idx="105">
                  <c:v>89.498160875571685</c:v>
                </c:pt>
                <c:pt idx="106">
                  <c:v>89.535497926116363</c:v>
                </c:pt>
                <c:pt idx="107">
                  <c:v>89.572195171618077</c:v>
                </c:pt>
                <c:pt idx="108">
                  <c:v>89.608269092346973</c:v>
                </c:pt>
                <c:pt idx="109">
                  <c:v>89.643735601238532</c:v>
                </c:pt>
                <c:pt idx="110">
                  <c:v>89.678610068255992</c:v>
                </c:pt>
                <c:pt idx="111">
                  <c:v>89.712907343502906</c:v>
                </c:pt>
                <c:pt idx="112">
                  <c:v>89.746641779160058</c:v>
                </c:pt>
                <c:pt idx="113">
                  <c:v>89.77982725031643</c:v>
                </c:pt>
                <c:pt idx="114">
                  <c:v>89.812477174758456</c:v>
                </c:pt>
                <c:pt idx="115">
                  <c:v>89.8446045317786</c:v>
                </c:pt>
                <c:pt idx="116">
                  <c:v>89.876221880059035</c:v>
                </c:pt>
                <c:pt idx="117">
                  <c:v>89.907341374683682</c:v>
                </c:pt>
                <c:pt idx="118">
                  <c:v>89.937974783327661</c:v>
                </c:pt>
                <c:pt idx="119">
                  <c:v>89.968133501670451</c:v>
                </c:pt>
                <c:pt idx="120">
                  <c:v>89.997828568075789</c:v>
                </c:pt>
                <c:pt idx="121">
                  <c:v>90.027070677579061</c:v>
                </c:pt>
                <c:pt idx="122">
                  <c:v>90.055870195219967</c:v>
                </c:pt>
                <c:pt idx="123">
                  <c:v>90.084237168755891</c:v>
                </c:pt>
                <c:pt idx="124">
                  <c:v>90.11218134078976</c:v>
                </c:pt>
                <c:pt idx="125">
                  <c:v>90.139712160343294</c:v>
                </c:pt>
                <c:pt idx="126">
                  <c:v>90.166838793905413</c:v>
                </c:pt>
                <c:pt idx="127">
                  <c:v>90.193570135983165</c:v>
                </c:pt>
                <c:pt idx="128">
                  <c:v>90.219914819181525</c:v>
                </c:pt>
                <c:pt idx="129">
                  <c:v>90.245881223836179</c:v>
                </c:pt>
                <c:pt idx="130">
                  <c:v>90.271477487222455</c:v>
                </c:pt>
                <c:pt idx="131">
                  <c:v>90.296711512362165</c:v>
                </c:pt>
                <c:pt idx="132">
                  <c:v>90.321590976448434</c:v>
                </c:pt>
                <c:pt idx="133">
                  <c:v>90.346123338908328</c:v>
                </c:pt>
                <c:pt idx="134">
                  <c:v>90.370315849120573</c:v>
                </c:pt>
                <c:pt idx="135">
                  <c:v>90.394175553806463</c:v>
                </c:pt>
                <c:pt idx="136">
                  <c:v>90.417709304109096</c:v>
                </c:pt>
                <c:pt idx="137">
                  <c:v>90.440923762376883</c:v>
                </c:pt>
                <c:pt idx="138">
                  <c:v>90.463825408665429</c:v>
                </c:pt>
                <c:pt idx="139">
                  <c:v>90.486420546971303</c:v>
                </c:pt>
                <c:pt idx="140">
                  <c:v>90.50871531121075</c:v>
                </c:pt>
                <c:pt idx="141">
                  <c:v>90.530715670955303</c:v>
                </c:pt>
                <c:pt idx="142">
                  <c:v>90.552427436935858</c:v>
                </c:pt>
                <c:pt idx="143">
                  <c:v>90.57385626632599</c:v>
                </c:pt>
                <c:pt idx="144">
                  <c:v>90.595007667815025</c:v>
                </c:pt>
                <c:pt idx="145">
                  <c:v>90.61588700648025</c:v>
                </c:pt>
                <c:pt idx="146">
                  <c:v>90.636499508467949</c:v>
                </c:pt>
                <c:pt idx="147">
                  <c:v>90.656850265491485</c:v>
                </c:pt>
                <c:pt idx="148">
                  <c:v>90.676944239155048</c:v>
                </c:pt>
                <c:pt idx="149">
                  <c:v>90.696786265111015</c:v>
                </c:pt>
                <c:pt idx="150">
                  <c:v>90.716381057058115</c:v>
                </c:pt>
              </c:numCache>
            </c:numRef>
          </c:yVal>
          <c:smooth val="0"/>
          <c:extLst>
            <c:ext xmlns:c16="http://schemas.microsoft.com/office/drawing/2014/chart" uri="{C3380CC4-5D6E-409C-BE32-E72D297353CC}">
              <c16:uniqueId val="{00000000-98B9-4A0F-9AF3-241E82BDC034}"/>
            </c:ext>
          </c:extLst>
        </c:ser>
        <c:dLbls>
          <c:showLegendKey val="0"/>
          <c:showVal val="0"/>
          <c:showCatName val="0"/>
          <c:showSerName val="0"/>
          <c:showPercent val="0"/>
          <c:showBubbleSize val="0"/>
        </c:dLbls>
        <c:axId val="586339072"/>
        <c:axId val="586340608"/>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Eff_vs_IOUT!$AJ$7:$AJ$157</c:f>
              <c:numCache>
                <c:formatCode>General</c:formatCode>
                <c:ptCount val="151"/>
                <c:pt idx="0">
                  <c:v>0</c:v>
                </c:pt>
                <c:pt idx="1">
                  <c:v>6.8139988440205732E-2</c:v>
                </c:pt>
                <c:pt idx="2">
                  <c:v>9.6425075006918312E-2</c:v>
                </c:pt>
                <c:pt idx="3">
                  <c:v>0.11817031017095275</c:v>
                </c:pt>
                <c:pt idx="4">
                  <c:v>0.13653699272205774</c:v>
                </c:pt>
                <c:pt idx="5">
                  <c:v>0.15274878273382678</c:v>
                </c:pt>
                <c:pt idx="6">
                  <c:v>0.16743283414751936</c:v>
                </c:pt>
                <c:pt idx="7">
                  <c:v>0.18096146375160038</c:v>
                </c:pt>
                <c:pt idx="8">
                  <c:v>0.19357710059183841</c:v>
                </c:pt>
                <c:pt idx="9">
                  <c:v>0.20544802868720224</c:v>
                </c:pt>
                <c:pt idx="10">
                  <c:v>0.21669669639011521</c:v>
                </c:pt>
                <c:pt idx="11">
                  <c:v>0.2274154833951802</c:v>
                </c:pt>
                <c:pt idx="12">
                  <c:v>0.23767611383014978</c:v>
                </c:pt>
                <c:pt idx="13">
                  <c:v>0.24753558982200957</c:v>
                </c:pt>
                <c:pt idx="14">
                  <c:v>0.25704009906388309</c:v>
                </c:pt>
                <c:pt idx="15">
                  <c:v>0.26622768261330015</c:v>
                </c:pt>
                <c:pt idx="16">
                  <c:v>0.27513011217728567</c:v>
                </c:pt>
                <c:pt idx="17">
                  <c:v>0.28377424556750691</c:v>
                </c:pt>
                <c:pt idx="18">
                  <c:v>0.29218302733276219</c:v>
                </c:pt>
                <c:pt idx="19">
                  <c:v>0.30037624186676198</c:v>
                </c:pt>
                <c:pt idx="20">
                  <c:v>0.30837108993373052</c:v>
                </c:pt>
                <c:pt idx="21">
                  <c:v>0.3161826367111481</c:v>
                </c:pt>
                <c:pt idx="22">
                  <c:v>0.32382416469376413</c:v>
                </c:pt>
                <c:pt idx="23">
                  <c:v>0.33130745503601544</c:v>
                </c:pt>
                <c:pt idx="24">
                  <c:v>0.33864301430211075</c:v>
                </c:pt>
                <c:pt idx="25">
                  <c:v>0.34584025903395404</c:v>
                </c:pt>
                <c:pt idx="26">
                  <c:v>0.35290766734533252</c:v>
                </c:pt>
                <c:pt idx="27">
                  <c:v>0.35985290446583534</c:v>
                </c:pt>
                <c:pt idx="28">
                  <c:v>0.36668292750320075</c:v>
                </c:pt>
                <c:pt idx="29">
                  <c:v>0.37340407347819238</c:v>
                </c:pt>
                <c:pt idx="30">
                  <c:v>0.38002213378353489</c:v>
                </c:pt>
                <c:pt idx="31">
                  <c:v>0.3865424175400316</c:v>
                </c:pt>
                <c:pt idx="32">
                  <c:v>0.3929698058076912</c:v>
                </c:pt>
                <c:pt idx="33">
                  <c:v>0.39930879821441734</c:v>
                </c:pt>
                <c:pt idx="34">
                  <c:v>0.4055635532588438</c:v>
                </c:pt>
                <c:pt idx="35">
                  <c:v>0.41173792330504178</c:v>
                </c:pt>
                <c:pt idx="36">
                  <c:v>0.41783548509885393</c:v>
                </c:pt>
                <c:pt idx="37">
                  <c:v>0.42385956648659129</c:v>
                </c:pt>
                <c:pt idx="38">
                  <c:v>0.42981326989786145</c:v>
                </c:pt>
                <c:pt idx="39">
                  <c:v>0.43569949305867989</c:v>
                </c:pt>
                <c:pt idx="40">
                  <c:v>0.44152094732370428</c:v>
                </c:pt>
                <c:pt idx="41">
                  <c:v>0.44728017395353842</c:v>
                </c:pt>
                <c:pt idx="42">
                  <c:v>0.45297955861161482</c:v>
                </c:pt>
                <c:pt idx="43">
                  <c:v>0.45862134431286827</c:v>
                </c:pt>
                <c:pt idx="44">
                  <c:v>0.46420764302145939</c:v>
                </c:pt>
                <c:pt idx="45">
                  <c:v>0.4697404460657883</c:v>
                </c:pt>
                <c:pt idx="46">
                  <c:v>0.47522163351483421</c:v>
                </c:pt>
                <c:pt idx="47">
                  <c:v>0.48065298263958339</c:v>
                </c:pt>
                <c:pt idx="48">
                  <c:v>0.48603617556625373</c:v>
                </c:pt>
                <c:pt idx="49">
                  <c:v>0.49137280621363144</c:v>
                </c:pt>
                <c:pt idx="50">
                  <c:v>0.49666438659462753</c:v>
                </c:pt>
                <c:pt idx="51">
                  <c:v>0.50191235255178768</c:v>
                </c:pt>
                <c:pt idx="52">
                  <c:v>0.50711806898762735</c:v>
                </c:pt>
                <c:pt idx="53">
                  <c:v>0.51228283464308211</c:v>
                </c:pt>
                <c:pt idx="54">
                  <c:v>0.51740788647084601</c:v>
                </c:pt>
                <c:pt idx="55">
                  <c:v>0.52249440364475996</c:v>
                </c:pt>
                <c:pt idx="56">
                  <c:v>0.52754351124155807</c:v>
                </c:pt>
                <c:pt idx="57">
                  <c:v>0.53255628362708007</c:v>
                </c:pt>
                <c:pt idx="58">
                  <c:v>0.53753374757540784</c:v>
                </c:pt>
                <c:pt idx="59">
                  <c:v>0.54247688514619841</c:v>
                </c:pt>
                <c:pt idx="60">
                  <c:v>0.5473866363427129</c:v>
                </c:pt>
                <c:pt idx="61">
                  <c:v>0.5522639015706069</c:v>
                </c:pt>
                <c:pt idx="62">
                  <c:v>0.55710954391541712</c:v>
                </c:pt>
                <c:pt idx="63">
                  <c:v>0.56192439125480098</c:v>
                </c:pt>
                <c:pt idx="64">
                  <c:v>0.56670923821993291</c:v>
                </c:pt>
                <c:pt idx="65">
                  <c:v>0.57146484801900255</c:v>
                </c:pt>
                <c:pt idx="66">
                  <c:v>0.57619195413446844</c:v>
                </c:pt>
                <c:pt idx="67">
                  <c:v>0.58089126190457374</c:v>
                </c:pt>
                <c:pt idx="68">
                  <c:v>0.58556344999861221</c:v>
                </c:pt>
                <c:pt idx="69">
                  <c:v>0.59020917179453303</c:v>
                </c:pt>
                <c:pt idx="70">
                  <c:v>0.59482905666665797</c:v>
                </c:pt>
                <c:pt idx="71">
                  <c:v>0.59942371119056803</c:v>
                </c:pt>
                <c:pt idx="72">
                  <c:v>0.60399372027157283</c:v>
                </c:pt>
                <c:pt idx="73">
                  <c:v>0.60853964820259154</c:v>
                </c:pt>
                <c:pt idx="74">
                  <c:v>0.61306203965676587</c:v>
                </c:pt>
                <c:pt idx="75">
                  <c:v>0.61756142061964936</c:v>
                </c:pt>
                <c:pt idx="76">
                  <c:v>0.62203829926540199</c:v>
                </c:pt>
                <c:pt idx="77">
                  <c:v>0.62649316678104394</c:v>
                </c:pt>
                <c:pt idx="78">
                  <c:v>0.63092649814247348</c:v>
                </c:pt>
                <c:pt idx="79">
                  <c:v>0.63533875284565233</c:v>
                </c:pt>
                <c:pt idx="80">
                  <c:v>0.63973037559607671</c:v>
                </c:pt>
                <c:pt idx="81">
                  <c:v>0.64410179695940439</c:v>
                </c:pt>
                <c:pt idx="82">
                  <c:v>0.64845343397587318</c:v>
                </c:pt>
                <c:pt idx="83">
                  <c:v>0.65278569074093995</c:v>
                </c:pt>
                <c:pt idx="84">
                  <c:v>0.65709895895437975</c:v>
                </c:pt>
                <c:pt idx="85">
                  <c:v>0.6613936184399094</c:v>
                </c:pt>
                <c:pt idx="86">
                  <c:v>0.66567003763724431</c:v>
                </c:pt>
                <c:pt idx="87">
                  <c:v>0.6699285740683516</c:v>
                </c:pt>
                <c:pt idx="88">
                  <c:v>0.67416957477953154</c:v>
                </c:pt>
                <c:pt idx="89">
                  <c:v>0.678393376760838</c:v>
                </c:pt>
                <c:pt idx="90">
                  <c:v>0.68260030734424126</c:v>
                </c:pt>
                <c:pt idx="91">
                  <c:v>0.68679068458183024</c:v>
                </c:pt>
                <c:pt idx="92">
                  <c:v>0.69096481760526385</c:v>
                </c:pt>
                <c:pt idx="93">
                  <c:v>0.69512300696759088</c:v>
                </c:pt>
                <c:pt idx="94">
                  <c:v>0.69926554496848559</c:v>
                </c:pt>
                <c:pt idx="95">
                  <c:v>0.70339271596386477</c:v>
                </c:pt>
                <c:pt idx="96">
                  <c:v>0.70750479666079757</c:v>
                </c:pt>
                <c:pt idx="97">
                  <c:v>0.71160205639854612</c:v>
                </c:pt>
                <c:pt idx="98">
                  <c:v>0.71568475741652882</c:v>
                </c:pt>
                <c:pt idx="99">
                  <c:v>0.71975315510993654</c:v>
                </c:pt>
                <c:pt idx="100">
                  <c:v>0.7238074982736924</c:v>
                </c:pt>
                <c:pt idx="101">
                  <c:v>0.7278480293353955</c:v>
                </c:pt>
                <c:pt idx="102">
                  <c:v>0.73187498457784705</c:v>
                </c:pt>
                <c:pt idx="103">
                  <c:v>0.73588859435172738</c:v>
                </c:pt>
                <c:pt idx="104">
                  <c:v>0.73988908327894254</c:v>
                </c:pt>
                <c:pt idx="105">
                  <c:v>0.74387667044714223</c:v>
                </c:pt>
                <c:pt idx="106">
                  <c:v>0.74785156959586707</c:v>
                </c:pt>
                <c:pt idx="107">
                  <c:v>0.75181398929476217</c:v>
                </c:pt>
                <c:pt idx="108">
                  <c:v>0.75576413311426616</c:v>
                </c:pt>
                <c:pt idx="109">
                  <c:v>0.75970219978915843</c:v>
                </c:pt>
                <c:pt idx="110">
                  <c:v>0.76362838337532546</c:v>
                </c:pt>
                <c:pt idx="111">
                  <c:v>0.76754287340008709</c:v>
                </c:pt>
                <c:pt idx="112">
                  <c:v>0.7714458550064015</c:v>
                </c:pt>
                <c:pt idx="113">
                  <c:v>0.7753375090912491</c:v>
                </c:pt>
                <c:pt idx="114">
                  <c:v>0.7792180124384841</c:v>
                </c:pt>
                <c:pt idx="115">
                  <c:v>0.7830875378464135</c:v>
                </c:pt>
                <c:pt idx="116">
                  <c:v>0.78694625425036235</c:v>
                </c:pt>
                <c:pt idx="117">
                  <c:v>0.79079432684046191</c:v>
                </c:pt>
                <c:pt idx="118">
                  <c:v>0.79463191717488368</c:v>
                </c:pt>
                <c:pt idx="119">
                  <c:v>0.79845918328873633</c:v>
                </c:pt>
                <c:pt idx="120">
                  <c:v>0.80227627979882188</c:v>
                </c:pt>
                <c:pt idx="121">
                  <c:v>0.80608335800444342</c:v>
                </c:pt>
                <c:pt idx="122">
                  <c:v>0.80988056598444558</c:v>
                </c:pt>
                <c:pt idx="123">
                  <c:v>0.81366804869065601</c:v>
                </c:pt>
                <c:pt idx="124">
                  <c:v>0.81744594803789083</c:v>
                </c:pt>
                <c:pt idx="125">
                  <c:v>0.82121440299067305</c:v>
                </c:pt>
                <c:pt idx="126">
                  <c:v>0.82497354964681657</c:v>
                </c:pt>
                <c:pt idx="127">
                  <c:v>0.82872352131800453</c:v>
                </c:pt>
                <c:pt idx="128">
                  <c:v>0.83246444860749724</c:v>
                </c:pt>
                <c:pt idx="129">
                  <c:v>0.83619645948509458</c:v>
                </c:pt>
                <c:pt idx="130">
                  <c:v>0.83991967935946377</c:v>
                </c:pt>
                <c:pt idx="131">
                  <c:v>0.84363423114795422</c:v>
                </c:pt>
                <c:pt idx="132">
                  <c:v>0.8473402353439955</c:v>
                </c:pt>
                <c:pt idx="133">
                  <c:v>0.85103781008218549</c:v>
                </c:pt>
                <c:pt idx="134">
                  <c:v>0.85472707120116187</c:v>
                </c:pt>
                <c:pt idx="135">
                  <c:v>0.85840813230435087</c:v>
                </c:pt>
                <c:pt idx="136">
                  <c:v>0.86208110481867606</c:v>
                </c:pt>
                <c:pt idx="137">
                  <c:v>0.86574609805131431</c:v>
                </c:pt>
                <c:pt idx="138">
                  <c:v>0.86940321924457331</c:v>
                </c:pt>
                <c:pt idx="139">
                  <c:v>0.87305257362897026</c:v>
                </c:pt>
                <c:pt idx="140">
                  <c:v>0.87669426447457854</c:v>
                </c:pt>
                <c:pt idx="141">
                  <c:v>0.88032839314071465</c:v>
                </c:pt>
                <c:pt idx="142">
                  <c:v>0.88395505912402772</c:v>
                </c:pt>
                <c:pt idx="143">
                  <c:v>0.88757436010505519</c:v>
                </c:pt>
                <c:pt idx="144">
                  <c:v>0.89118639199330318</c:v>
                </c:pt>
                <c:pt idx="145">
                  <c:v>0.89479124897090712</c:v>
                </c:pt>
                <c:pt idx="146">
                  <c:v>0.89838902353493111</c:v>
                </c:pt>
                <c:pt idx="147">
                  <c:v>0.90197980653834864</c:v>
                </c:pt>
                <c:pt idx="148">
                  <c:v>0.90556368722976632</c:v>
                </c:pt>
                <c:pt idx="149">
                  <c:v>0.90914075329192579</c:v>
                </c:pt>
                <c:pt idx="150">
                  <c:v>0.9127110908790369</c:v>
                </c:pt>
              </c:numCache>
            </c:numRef>
          </c:yVal>
          <c:smooth val="1"/>
          <c:extLst>
            <c:ext xmlns:c16="http://schemas.microsoft.com/office/drawing/2014/chart" uri="{C3380CC4-5D6E-409C-BE32-E72D297353CC}">
              <c16:uniqueId val="{00000001-98B9-4A0F-9AF3-241E82BDC034}"/>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Eff_vs_IOUT!$BU$7:$BU$157</c:f>
              <c:numCache>
                <c:formatCode>General</c:formatCode>
                <c:ptCount val="151"/>
                <c:pt idx="0">
                  <c:v>0</c:v>
                </c:pt>
                <c:pt idx="1">
                  <c:v>1.8898223650461362E-5</c:v>
                </c:pt>
                <c:pt idx="2">
                  <c:v>5.345224838248487E-5</c:v>
                </c:pt>
                <c:pt idx="3">
                  <c:v>9.8198050606196531E-5</c:v>
                </c:pt>
                <c:pt idx="4">
                  <c:v>1.5118578920369087E-4</c:v>
                </c:pt>
                <c:pt idx="5">
                  <c:v>2.1128856368212912E-4</c:v>
                </c:pt>
                <c:pt idx="6">
                  <c:v>2.7774602993176539E-4</c:v>
                </c:pt>
                <c:pt idx="7">
                  <c:v>3.4999999999999994E-4</c:v>
                </c:pt>
                <c:pt idx="8">
                  <c:v>4.2761798705987913E-4</c:v>
                </c:pt>
                <c:pt idx="9">
                  <c:v>5.1025203856245682E-4</c:v>
                </c:pt>
                <c:pt idx="10">
                  <c:v>5.9761430466719653E-4</c:v>
                </c:pt>
                <c:pt idx="11">
                  <c:v>6.8946148758080954E-4</c:v>
                </c:pt>
                <c:pt idx="12">
                  <c:v>7.8558440484957246E-4</c:v>
                </c:pt>
                <c:pt idx="13">
                  <c:v>8.8580068703002083E-4</c:v>
                </c:pt>
                <c:pt idx="14">
                  <c:v>9.899494936611668E-4</c:v>
                </c:pt>
                <c:pt idx="15">
                  <c:v>1.0978875820671001E-3</c:v>
                </c:pt>
                <c:pt idx="16">
                  <c:v>1.2094863136295271E-3</c:v>
                </c:pt>
                <c:pt idx="17">
                  <c:v>1.3246293282057652E-3</c:v>
                </c:pt>
                <c:pt idx="18">
                  <c:v>1.4432107063270915E-3</c:v>
                </c:pt>
                <c:pt idx="19">
                  <c:v>1.5651334949910365E-3</c:v>
                </c:pt>
                <c:pt idx="20">
                  <c:v>1.6903085094570325E-3</c:v>
                </c:pt>
                <c:pt idx="21">
                  <c:v>1.8186533479473208E-3</c:v>
                </c:pt>
                <c:pt idx="22">
                  <c:v>1.9500915729414206E-3</c:v>
                </c:pt>
                <c:pt idx="23">
                  <c:v>2.0845520245024209E-3</c:v>
                </c:pt>
                <c:pt idx="24">
                  <c:v>2.2219682394541231E-3</c:v>
                </c:pt>
                <c:pt idx="25">
                  <c:v>2.3622779563076696E-3</c:v>
                </c:pt>
                <c:pt idx="26">
                  <c:v>2.5054226903145215E-3</c:v>
                </c:pt>
                <c:pt idx="27">
                  <c:v>2.6513473663673077E-3</c:v>
                </c:pt>
                <c:pt idx="28">
                  <c:v>2.7999999999999995E-3</c:v>
                </c:pt>
                <c:pt idx="29">
                  <c:v>2.9513314186748237E-3</c:v>
                </c:pt>
                <c:pt idx="30">
                  <c:v>3.1052950170405939E-3</c:v>
                </c:pt>
                <c:pt idx="31">
                  <c:v>3.261846541016738E-3</c:v>
                </c:pt>
                <c:pt idx="32">
                  <c:v>3.4209438964790317E-3</c:v>
                </c:pt>
                <c:pt idx="33">
                  <c:v>3.5825469790559425E-3</c:v>
                </c:pt>
                <c:pt idx="34">
                  <c:v>3.7466175221315093E-3</c:v>
                </c:pt>
                <c:pt idx="35">
                  <c:v>3.9131189606246312E-3</c:v>
                </c:pt>
                <c:pt idx="36">
                  <c:v>4.0820163084996537E-3</c:v>
                </c:pt>
                <c:pt idx="37">
                  <c:v>4.2532760482782142E-3</c:v>
                </c:pt>
                <c:pt idx="38">
                  <c:v>4.426866031081454E-3</c:v>
                </c:pt>
                <c:pt idx="39">
                  <c:v>4.6027553859462429E-3</c:v>
                </c:pt>
                <c:pt idx="40">
                  <c:v>4.780914437337574E-3</c:v>
                </c:pt>
                <c:pt idx="41">
                  <c:v>4.9613146299285283E-3</c:v>
                </c:pt>
                <c:pt idx="42">
                  <c:v>5.1439284598446744E-3</c:v>
                </c:pt>
                <c:pt idx="43">
                  <c:v>5.3287294116756527E-3</c:v>
                </c:pt>
                <c:pt idx="44">
                  <c:v>5.5156919006464763E-3</c:v>
                </c:pt>
                <c:pt idx="45">
                  <c:v>5.7047912194174875E-3</c:v>
                </c:pt>
                <c:pt idx="46">
                  <c:v>5.896003489047231E-3</c:v>
                </c:pt>
                <c:pt idx="47">
                  <c:v>6.0893056137085828E-3</c:v>
                </c:pt>
                <c:pt idx="48">
                  <c:v>6.284675238796578E-3</c:v>
                </c:pt>
                <c:pt idx="49">
                  <c:v>6.4820907121082467E-3</c:v>
                </c:pt>
                <c:pt idx="50">
                  <c:v>6.681531047810608E-3</c:v>
                </c:pt>
                <c:pt idx="51">
                  <c:v>6.8829758929446466E-3</c:v>
                </c:pt>
                <c:pt idx="52">
                  <c:v>7.0864054962401675E-3</c:v>
                </c:pt>
                <c:pt idx="53">
                  <c:v>7.291800679040613E-3</c:v>
                </c:pt>
                <c:pt idx="54">
                  <c:v>7.4991428081576652E-3</c:v>
                </c:pt>
                <c:pt idx="55">
                  <c:v>7.7084137704940877E-3</c:v>
                </c:pt>
                <c:pt idx="56">
                  <c:v>7.9195959492893309E-3</c:v>
                </c:pt>
                <c:pt idx="57">
                  <c:v>8.1326722018569726E-3</c:v>
                </c:pt>
                <c:pt idx="58">
                  <c:v>8.3476258386955219E-3</c:v>
                </c:pt>
                <c:pt idx="59">
                  <c:v>8.5644406038656654E-3</c:v>
                </c:pt>
                <c:pt idx="60">
                  <c:v>8.7831006565368009E-3</c:v>
                </c:pt>
                <c:pt idx="61">
                  <c:v>9.0035905536148646E-3</c:v>
                </c:pt>
                <c:pt idx="62">
                  <c:v>9.2258952333712767E-3</c:v>
                </c:pt>
                <c:pt idx="63">
                  <c:v>9.4499999999999983E-3</c:v>
                </c:pt>
                <c:pt idx="64">
                  <c:v>9.6758905090362154E-3</c:v>
                </c:pt>
                <c:pt idx="65">
                  <c:v>9.9035527535757169E-3</c:v>
                </c:pt>
                <c:pt idx="66">
                  <c:v>1.0132973051239346E-2</c:v>
                </c:pt>
                <c:pt idx="67">
                  <c:v>1.0364138031831551E-2</c:v>
                </c:pt>
                <c:pt idx="68">
                  <c:v>1.0597034625646122E-2</c:v>
                </c:pt>
                <c:pt idx="69">
                  <c:v>1.0831650052376272E-2</c:v>
                </c:pt>
                <c:pt idx="70">
                  <c:v>1.1067971810589326E-2</c:v>
                </c:pt>
                <c:pt idx="71">
                  <c:v>1.130598766772975E-2</c:v>
                </c:pt>
                <c:pt idx="72">
                  <c:v>1.1545685650616736E-2</c:v>
                </c:pt>
                <c:pt idx="73">
                  <c:v>1.1787054036405488E-2</c:v>
                </c:pt>
                <c:pt idx="74">
                  <c:v>1.2030081343983388E-2</c:v>
                </c:pt>
                <c:pt idx="75">
                  <c:v>1.2274756325774575E-2</c:v>
                </c:pt>
                <c:pt idx="76">
                  <c:v>1.2521067959928292E-2</c:v>
                </c:pt>
                <c:pt idx="77">
                  <c:v>1.2769005442868291E-2</c:v>
                </c:pt>
                <c:pt idx="78">
                  <c:v>1.301855818218197E-2</c:v>
                </c:pt>
                <c:pt idx="79">
                  <c:v>1.3269715789829753E-2</c:v>
                </c:pt>
                <c:pt idx="80">
                  <c:v>1.3522468075656264E-2</c:v>
                </c:pt>
                <c:pt idx="81">
                  <c:v>1.3776805041186332E-2</c:v>
                </c:pt>
                <c:pt idx="82">
                  <c:v>1.4032716873689956E-2</c:v>
                </c:pt>
                <c:pt idx="83">
                  <c:v>1.4290193940501399E-2</c:v>
                </c:pt>
                <c:pt idx="84">
                  <c:v>1.4549226783578565E-2</c:v>
                </c:pt>
                <c:pt idx="85">
                  <c:v>1.4809806114289854E-2</c:v>
                </c:pt>
                <c:pt idx="86">
                  <c:v>1.5071922808416223E-2</c:v>
                </c:pt>
                <c:pt idx="87">
                  <c:v>1.5335567901357386E-2</c:v>
                </c:pt>
                <c:pt idx="88">
                  <c:v>1.5600732583531365E-2</c:v>
                </c:pt>
                <c:pt idx="89">
                  <c:v>1.5867408195957607E-2</c:v>
                </c:pt>
                <c:pt idx="90">
                  <c:v>1.6135586226014319E-2</c:v>
                </c:pt>
                <c:pt idx="91">
                  <c:v>1.6405258303361155E-2</c:v>
                </c:pt>
                <c:pt idx="92">
                  <c:v>1.6676416196019367E-2</c:v>
                </c:pt>
                <c:pt idx="93">
                  <c:v>1.6949051806601369E-2</c:v>
                </c:pt>
                <c:pt idx="94">
                  <c:v>1.7223157168682598E-2</c:v>
                </c:pt>
                <c:pt idx="95">
                  <c:v>1.7498724443308914E-2</c:v>
                </c:pt>
                <c:pt idx="96">
                  <c:v>1.7775745915632985E-2</c:v>
                </c:pt>
                <c:pt idx="97">
                  <c:v>1.8054213991673604E-2</c:v>
                </c:pt>
                <c:pt idx="98">
                  <c:v>1.8334121195192312E-2</c:v>
                </c:pt>
                <c:pt idx="99">
                  <c:v>1.8615460164681852E-2</c:v>
                </c:pt>
                <c:pt idx="100">
                  <c:v>1.8898223650461361E-2</c:v>
                </c:pt>
                <c:pt idx="101">
                  <c:v>1.9182404511873443E-2</c:v>
                </c:pt>
                <c:pt idx="102">
                  <c:v>1.9467995714578759E-2</c:v>
                </c:pt>
                <c:pt idx="103">
                  <c:v>1.975499032794354E-2</c:v>
                </c:pt>
                <c:pt idx="104">
                  <c:v>2.0043381522516172E-2</c:v>
                </c:pt>
                <c:pt idx="105">
                  <c:v>2.0333162567588943E-2</c:v>
                </c:pt>
                <c:pt idx="106">
                  <c:v>2.0624326828841157E-2</c:v>
                </c:pt>
                <c:pt idx="107">
                  <c:v>2.0916867766060412E-2</c:v>
                </c:pt>
                <c:pt idx="108">
                  <c:v>2.1210778930938458E-2</c:v>
                </c:pt>
                <c:pt idx="109">
                  <c:v>2.1506053964938734E-2</c:v>
                </c:pt>
                <c:pt idx="110">
                  <c:v>2.1802686597232529E-2</c:v>
                </c:pt>
                <c:pt idx="111">
                  <c:v>2.2100670642700933E-2</c:v>
                </c:pt>
                <c:pt idx="112">
                  <c:v>2.2399999999999996E-2</c:v>
                </c:pt>
                <c:pt idx="113">
                  <c:v>2.2700668649686458E-2</c:v>
                </c:pt>
                <c:pt idx="114">
                  <c:v>2.3002670652401573E-2</c:v>
                </c:pt>
                <c:pt idx="115">
                  <c:v>2.3306000147111105E-2</c:v>
                </c:pt>
                <c:pt idx="116">
                  <c:v>2.3610651349398586E-2</c:v>
                </c:pt>
                <c:pt idx="117">
                  <c:v>2.3916618549810562E-2</c:v>
                </c:pt>
                <c:pt idx="118">
                  <c:v>2.4223896112251286E-2</c:v>
                </c:pt>
                <c:pt idx="119">
                  <c:v>2.4532478472425071E-2</c:v>
                </c:pt>
                <c:pt idx="120">
                  <c:v>2.4842360136324751E-2</c:v>
                </c:pt>
                <c:pt idx="121">
                  <c:v>2.5153535678764063E-2</c:v>
                </c:pt>
                <c:pt idx="122">
                  <c:v>2.5465999741952846E-2</c:v>
                </c:pt>
                <c:pt idx="123">
                  <c:v>2.5779747034112996E-2</c:v>
                </c:pt>
                <c:pt idx="124">
                  <c:v>2.6094772328133908E-2</c:v>
                </c:pt>
                <c:pt idx="125">
                  <c:v>2.6411070460266143E-2</c:v>
                </c:pt>
                <c:pt idx="126">
                  <c:v>2.6728636328851498E-2</c:v>
                </c:pt>
                <c:pt idx="127">
                  <c:v>2.7047464893088551E-2</c:v>
                </c:pt>
                <c:pt idx="128">
                  <c:v>2.7367551171832264E-2</c:v>
                </c:pt>
                <c:pt idx="129">
                  <c:v>2.7688890242426521E-2</c:v>
                </c:pt>
                <c:pt idx="130">
                  <c:v>2.8011477239568379E-2</c:v>
                </c:pt>
                <c:pt idx="131">
                  <c:v>2.8335307354202859E-2</c:v>
                </c:pt>
                <c:pt idx="132">
                  <c:v>2.8660375832447529E-2</c:v>
                </c:pt>
                <c:pt idx="133">
                  <c:v>2.8986677974545478E-2</c:v>
                </c:pt>
                <c:pt idx="134">
                  <c:v>2.9314209133845935E-2</c:v>
                </c:pt>
                <c:pt idx="135">
                  <c:v>2.9642964715811706E-2</c:v>
                </c:pt>
                <c:pt idx="136">
                  <c:v>2.9972940177052081E-2</c:v>
                </c:pt>
                <c:pt idx="137">
                  <c:v>3.0304131024381103E-2</c:v>
                </c:pt>
                <c:pt idx="138">
                  <c:v>3.0636532813899543E-2</c:v>
                </c:pt>
                <c:pt idx="139">
                  <c:v>3.0970141150100414E-2</c:v>
                </c:pt>
                <c:pt idx="140">
                  <c:v>3.1304951684997064E-2</c:v>
                </c:pt>
                <c:pt idx="141">
                  <c:v>3.1640960117272944E-2</c:v>
                </c:pt>
                <c:pt idx="142">
                  <c:v>3.1978162191452726E-2</c:v>
                </c:pt>
                <c:pt idx="143">
                  <c:v>3.2316553697093742E-2</c:v>
                </c:pt>
                <c:pt idx="144">
                  <c:v>3.2656130467997237E-2</c:v>
                </c:pt>
                <c:pt idx="145">
                  <c:v>3.2996888381438987E-2</c:v>
                </c:pt>
                <c:pt idx="146">
                  <c:v>3.3338823357418342E-2</c:v>
                </c:pt>
                <c:pt idx="147">
                  <c:v>3.3681931357925445E-2</c:v>
                </c:pt>
                <c:pt idx="148">
                  <c:v>3.4026208386225713E-2</c:v>
                </c:pt>
                <c:pt idx="149">
                  <c:v>3.4371650486161663E-2</c:v>
                </c:pt>
                <c:pt idx="150">
                  <c:v>3.471825374147066E-2</c:v>
                </c:pt>
              </c:numCache>
            </c:numRef>
          </c:yVal>
          <c:smooth val="1"/>
          <c:extLst>
            <c:ext xmlns:c16="http://schemas.microsoft.com/office/drawing/2014/chart" uri="{C3380CC4-5D6E-409C-BE32-E72D297353CC}">
              <c16:uniqueId val="{00000002-98B9-4A0F-9AF3-241E82BDC034}"/>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Eff_vs_IOUT!$AY$8:$AY$157</c:f>
              <c:numCache>
                <c:formatCode>General</c:formatCode>
                <c:ptCount val="150"/>
                <c:pt idx="0">
                  <c:v>0.92983333333333329</c:v>
                </c:pt>
                <c:pt idx="1">
                  <c:v>0.9321666666666667</c:v>
                </c:pt>
                <c:pt idx="2">
                  <c:v>0.9345</c:v>
                </c:pt>
                <c:pt idx="3">
                  <c:v>0.9368333333333333</c:v>
                </c:pt>
                <c:pt idx="4">
                  <c:v>0.93916666666666671</c:v>
                </c:pt>
                <c:pt idx="5">
                  <c:v>0.9415</c:v>
                </c:pt>
                <c:pt idx="6">
                  <c:v>0.9438333333333333</c:v>
                </c:pt>
                <c:pt idx="7">
                  <c:v>0.94616666666666671</c:v>
                </c:pt>
                <c:pt idx="8">
                  <c:v>0.94850000000000001</c:v>
                </c:pt>
                <c:pt idx="9">
                  <c:v>0.95083333333333331</c:v>
                </c:pt>
                <c:pt idx="10">
                  <c:v>0.95316666666666661</c:v>
                </c:pt>
                <c:pt idx="11">
                  <c:v>0.95550000000000002</c:v>
                </c:pt>
                <c:pt idx="12">
                  <c:v>0.95783333333333331</c:v>
                </c:pt>
                <c:pt idx="13">
                  <c:v>0.96016666666666661</c:v>
                </c:pt>
                <c:pt idx="14">
                  <c:v>0.96250000000000002</c:v>
                </c:pt>
                <c:pt idx="15">
                  <c:v>0.96483333333333332</c:v>
                </c:pt>
                <c:pt idx="16">
                  <c:v>0.96716666666666662</c:v>
                </c:pt>
                <c:pt idx="17">
                  <c:v>0.96950000000000003</c:v>
                </c:pt>
                <c:pt idx="18">
                  <c:v>0.97183333333333333</c:v>
                </c:pt>
                <c:pt idx="19">
                  <c:v>0.97416666666666663</c:v>
                </c:pt>
                <c:pt idx="20">
                  <c:v>0.97650000000000003</c:v>
                </c:pt>
                <c:pt idx="21">
                  <c:v>0.97883333333333333</c:v>
                </c:pt>
                <c:pt idx="22">
                  <c:v>0.98116666666666663</c:v>
                </c:pt>
                <c:pt idx="23">
                  <c:v>0.98350000000000004</c:v>
                </c:pt>
                <c:pt idx="24">
                  <c:v>0.98583333333333334</c:v>
                </c:pt>
                <c:pt idx="25">
                  <c:v>0.98816666666666664</c:v>
                </c:pt>
                <c:pt idx="26">
                  <c:v>0.99049999999999994</c:v>
                </c:pt>
                <c:pt idx="27">
                  <c:v>0.99283333333333335</c:v>
                </c:pt>
                <c:pt idx="28">
                  <c:v>0.99516666666666664</c:v>
                </c:pt>
                <c:pt idx="29">
                  <c:v>0.99749999999999994</c:v>
                </c:pt>
                <c:pt idx="30">
                  <c:v>0.99983333333333335</c:v>
                </c:pt>
                <c:pt idx="31">
                  <c:v>1.0021666666666667</c:v>
                </c:pt>
                <c:pt idx="32">
                  <c:v>1.0044999999999999</c:v>
                </c:pt>
                <c:pt idx="33">
                  <c:v>1.0068333333333332</c:v>
                </c:pt>
                <c:pt idx="34">
                  <c:v>1.0091666666666668</c:v>
                </c:pt>
                <c:pt idx="35">
                  <c:v>1.0115000000000001</c:v>
                </c:pt>
                <c:pt idx="36">
                  <c:v>1.0138333333333334</c:v>
                </c:pt>
                <c:pt idx="37">
                  <c:v>1.0161666666666667</c:v>
                </c:pt>
                <c:pt idx="38">
                  <c:v>1.0185</c:v>
                </c:pt>
                <c:pt idx="39">
                  <c:v>1.0208333333333333</c:v>
                </c:pt>
                <c:pt idx="40">
                  <c:v>1.0231666666666666</c:v>
                </c:pt>
                <c:pt idx="41">
                  <c:v>1.0255000000000001</c:v>
                </c:pt>
                <c:pt idx="42">
                  <c:v>1.0278333333333334</c:v>
                </c:pt>
                <c:pt idx="43">
                  <c:v>1.0301666666666667</c:v>
                </c:pt>
                <c:pt idx="44">
                  <c:v>1.0325</c:v>
                </c:pt>
                <c:pt idx="45">
                  <c:v>1.0348333333333333</c:v>
                </c:pt>
                <c:pt idx="46">
                  <c:v>1.0371666666666666</c:v>
                </c:pt>
                <c:pt idx="47">
                  <c:v>1.0394999999999999</c:v>
                </c:pt>
                <c:pt idx="48">
                  <c:v>1.0418333333333334</c:v>
                </c:pt>
                <c:pt idx="49">
                  <c:v>1.0441666666666667</c:v>
                </c:pt>
                <c:pt idx="50">
                  <c:v>1.0465</c:v>
                </c:pt>
                <c:pt idx="51">
                  <c:v>1.0488333333333333</c:v>
                </c:pt>
                <c:pt idx="52">
                  <c:v>1.0511666666666666</c:v>
                </c:pt>
                <c:pt idx="53">
                  <c:v>1.0535000000000001</c:v>
                </c:pt>
                <c:pt idx="54">
                  <c:v>1.0558333333333334</c:v>
                </c:pt>
                <c:pt idx="55">
                  <c:v>1.0581666666666667</c:v>
                </c:pt>
                <c:pt idx="56">
                  <c:v>1.0605</c:v>
                </c:pt>
                <c:pt idx="57">
                  <c:v>1.0628333333333333</c:v>
                </c:pt>
                <c:pt idx="58">
                  <c:v>1.0651666666666666</c:v>
                </c:pt>
                <c:pt idx="59">
                  <c:v>1.0674999999999999</c:v>
                </c:pt>
                <c:pt idx="60">
                  <c:v>1.0698333333333334</c:v>
                </c:pt>
                <c:pt idx="61">
                  <c:v>1.0721666666666667</c:v>
                </c:pt>
                <c:pt idx="62">
                  <c:v>1.0745</c:v>
                </c:pt>
                <c:pt idx="63">
                  <c:v>1.0768333333333333</c:v>
                </c:pt>
                <c:pt idx="64">
                  <c:v>1.0791666666666666</c:v>
                </c:pt>
                <c:pt idx="65">
                  <c:v>1.0814999999999999</c:v>
                </c:pt>
                <c:pt idx="66">
                  <c:v>1.0838333333333332</c:v>
                </c:pt>
                <c:pt idx="67">
                  <c:v>1.0861666666666667</c:v>
                </c:pt>
                <c:pt idx="68">
                  <c:v>1.0885</c:v>
                </c:pt>
                <c:pt idx="69">
                  <c:v>1.0908333333333333</c:v>
                </c:pt>
                <c:pt idx="70">
                  <c:v>1.0931666666666666</c:v>
                </c:pt>
                <c:pt idx="71">
                  <c:v>1.0954999999999999</c:v>
                </c:pt>
                <c:pt idx="72">
                  <c:v>1.0978333333333334</c:v>
                </c:pt>
                <c:pt idx="73">
                  <c:v>1.1001666666666667</c:v>
                </c:pt>
                <c:pt idx="74">
                  <c:v>1.1025</c:v>
                </c:pt>
                <c:pt idx="75">
                  <c:v>1.1048333333333333</c:v>
                </c:pt>
                <c:pt idx="76">
                  <c:v>1.1071666666666666</c:v>
                </c:pt>
                <c:pt idx="77">
                  <c:v>1.1094999999999999</c:v>
                </c:pt>
                <c:pt idx="78">
                  <c:v>1.1118333333333332</c:v>
                </c:pt>
                <c:pt idx="79">
                  <c:v>1.1141666666666667</c:v>
                </c:pt>
                <c:pt idx="80">
                  <c:v>1.1165</c:v>
                </c:pt>
                <c:pt idx="81">
                  <c:v>1.1188333333333333</c:v>
                </c:pt>
                <c:pt idx="82">
                  <c:v>1.1211666666666666</c:v>
                </c:pt>
                <c:pt idx="83">
                  <c:v>1.1234999999999999</c:v>
                </c:pt>
                <c:pt idx="84">
                  <c:v>1.1258333333333332</c:v>
                </c:pt>
                <c:pt idx="85">
                  <c:v>1.1281666666666665</c:v>
                </c:pt>
                <c:pt idx="86">
                  <c:v>1.1305000000000001</c:v>
                </c:pt>
                <c:pt idx="87">
                  <c:v>1.1328333333333334</c:v>
                </c:pt>
                <c:pt idx="88">
                  <c:v>1.1351666666666667</c:v>
                </c:pt>
                <c:pt idx="89">
                  <c:v>1.1375</c:v>
                </c:pt>
                <c:pt idx="90">
                  <c:v>1.1398333333333333</c:v>
                </c:pt>
                <c:pt idx="91">
                  <c:v>1.1421666666666666</c:v>
                </c:pt>
                <c:pt idx="92">
                  <c:v>1.1445000000000001</c:v>
                </c:pt>
                <c:pt idx="93">
                  <c:v>1.1468333333333334</c:v>
                </c:pt>
                <c:pt idx="94">
                  <c:v>1.1491666666666667</c:v>
                </c:pt>
                <c:pt idx="95">
                  <c:v>1.1515</c:v>
                </c:pt>
                <c:pt idx="96">
                  <c:v>1.1538333333333333</c:v>
                </c:pt>
                <c:pt idx="97">
                  <c:v>1.1561666666666666</c:v>
                </c:pt>
                <c:pt idx="98">
                  <c:v>1.1585000000000001</c:v>
                </c:pt>
                <c:pt idx="99">
                  <c:v>1.1608333333333334</c:v>
                </c:pt>
                <c:pt idx="100">
                  <c:v>1.1631666666666667</c:v>
                </c:pt>
                <c:pt idx="101">
                  <c:v>1.1655</c:v>
                </c:pt>
                <c:pt idx="102">
                  <c:v>1.1678333333333333</c:v>
                </c:pt>
                <c:pt idx="103">
                  <c:v>1.1701666666666666</c:v>
                </c:pt>
                <c:pt idx="104">
                  <c:v>1.1724999999999999</c:v>
                </c:pt>
                <c:pt idx="105">
                  <c:v>1.1748333333333334</c:v>
                </c:pt>
                <c:pt idx="106">
                  <c:v>1.1771666666666667</c:v>
                </c:pt>
                <c:pt idx="107">
                  <c:v>1.1795</c:v>
                </c:pt>
                <c:pt idx="108">
                  <c:v>1.1818333333333333</c:v>
                </c:pt>
                <c:pt idx="109">
                  <c:v>1.1841666666666666</c:v>
                </c:pt>
                <c:pt idx="110">
                  <c:v>1.1865000000000001</c:v>
                </c:pt>
                <c:pt idx="111">
                  <c:v>1.1888333333333332</c:v>
                </c:pt>
                <c:pt idx="112">
                  <c:v>1.1911666666666667</c:v>
                </c:pt>
                <c:pt idx="113">
                  <c:v>1.1935</c:v>
                </c:pt>
                <c:pt idx="114">
                  <c:v>1.1958333333333333</c:v>
                </c:pt>
                <c:pt idx="115">
                  <c:v>1.1981666666666666</c:v>
                </c:pt>
                <c:pt idx="116">
                  <c:v>1.2004999999999999</c:v>
                </c:pt>
                <c:pt idx="117">
                  <c:v>1.2028333333333334</c:v>
                </c:pt>
                <c:pt idx="118">
                  <c:v>1.2051666666666667</c:v>
                </c:pt>
                <c:pt idx="119">
                  <c:v>1.2075</c:v>
                </c:pt>
                <c:pt idx="120">
                  <c:v>1.2098333333333333</c:v>
                </c:pt>
                <c:pt idx="121">
                  <c:v>1.2121666666666666</c:v>
                </c:pt>
                <c:pt idx="122">
                  <c:v>1.2144999999999999</c:v>
                </c:pt>
                <c:pt idx="123">
                  <c:v>1.2168333333333332</c:v>
                </c:pt>
                <c:pt idx="124">
                  <c:v>1.2191666666666667</c:v>
                </c:pt>
                <c:pt idx="125">
                  <c:v>1.2215</c:v>
                </c:pt>
                <c:pt idx="126">
                  <c:v>1.2238333333333333</c:v>
                </c:pt>
                <c:pt idx="127">
                  <c:v>1.2261666666666666</c:v>
                </c:pt>
                <c:pt idx="128">
                  <c:v>1.2284999999999999</c:v>
                </c:pt>
                <c:pt idx="129">
                  <c:v>1.2308333333333334</c:v>
                </c:pt>
                <c:pt idx="130">
                  <c:v>1.2331666666666665</c:v>
                </c:pt>
                <c:pt idx="131">
                  <c:v>1.2355</c:v>
                </c:pt>
                <c:pt idx="132">
                  <c:v>1.2378333333333333</c:v>
                </c:pt>
                <c:pt idx="133">
                  <c:v>1.2401666666666666</c:v>
                </c:pt>
                <c:pt idx="134">
                  <c:v>1.2424999999999999</c:v>
                </c:pt>
                <c:pt idx="135">
                  <c:v>1.2448333333333332</c:v>
                </c:pt>
                <c:pt idx="136">
                  <c:v>1.2471666666666668</c:v>
                </c:pt>
                <c:pt idx="137">
                  <c:v>1.2495000000000001</c:v>
                </c:pt>
                <c:pt idx="138">
                  <c:v>1.2518333333333334</c:v>
                </c:pt>
                <c:pt idx="139">
                  <c:v>1.2541666666666667</c:v>
                </c:pt>
                <c:pt idx="140">
                  <c:v>1.2565</c:v>
                </c:pt>
                <c:pt idx="141">
                  <c:v>1.2588333333333332</c:v>
                </c:pt>
                <c:pt idx="142">
                  <c:v>1.2611666666666665</c:v>
                </c:pt>
                <c:pt idx="143">
                  <c:v>1.2635000000000001</c:v>
                </c:pt>
                <c:pt idx="144">
                  <c:v>1.2658333333333334</c:v>
                </c:pt>
                <c:pt idx="145">
                  <c:v>1.2681666666666667</c:v>
                </c:pt>
                <c:pt idx="146">
                  <c:v>1.2705</c:v>
                </c:pt>
                <c:pt idx="147">
                  <c:v>1.2728333333333333</c:v>
                </c:pt>
                <c:pt idx="148">
                  <c:v>1.2751666666666666</c:v>
                </c:pt>
                <c:pt idx="149">
                  <c:v>1.2774999999999999</c:v>
                </c:pt>
              </c:numCache>
            </c:numRef>
          </c:yVal>
          <c:smooth val="1"/>
          <c:extLst>
            <c:ext xmlns:c16="http://schemas.microsoft.com/office/drawing/2014/chart" uri="{C3380CC4-5D6E-409C-BE32-E72D297353CC}">
              <c16:uniqueId val="{00000003-98B9-4A0F-9AF3-241E82BDC034}"/>
            </c:ext>
          </c:extLst>
        </c:ser>
        <c:ser>
          <c:idx val="4"/>
          <c:order val="4"/>
          <c:tx>
            <c:v>D2</c:v>
          </c:tx>
          <c:marker>
            <c:symbol val="none"/>
          </c:marker>
          <c:xVal>
            <c:numRef>
              <c:f>Eff_vs_IOUT!$R$8:$R$157</c:f>
              <c:numCache>
                <c:formatCode>General</c:formatCode>
                <c:ptCount val="150"/>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pt idx="14">
                  <c:v>3.75</c:v>
                </c:pt>
                <c:pt idx="15">
                  <c:v>4</c:v>
                </c:pt>
                <c:pt idx="16">
                  <c:v>4.25</c:v>
                </c:pt>
                <c:pt idx="17">
                  <c:v>4.5</c:v>
                </c:pt>
                <c:pt idx="18">
                  <c:v>4.75</c:v>
                </c:pt>
                <c:pt idx="19">
                  <c:v>5</c:v>
                </c:pt>
                <c:pt idx="20">
                  <c:v>5.25</c:v>
                </c:pt>
                <c:pt idx="21">
                  <c:v>5.5</c:v>
                </c:pt>
                <c:pt idx="22">
                  <c:v>5.75</c:v>
                </c:pt>
                <c:pt idx="23">
                  <c:v>6</c:v>
                </c:pt>
                <c:pt idx="24">
                  <c:v>6.25</c:v>
                </c:pt>
                <c:pt idx="25">
                  <c:v>6.5</c:v>
                </c:pt>
                <c:pt idx="26">
                  <c:v>6.75</c:v>
                </c:pt>
                <c:pt idx="27">
                  <c:v>7</c:v>
                </c:pt>
                <c:pt idx="28">
                  <c:v>7.25</c:v>
                </c:pt>
                <c:pt idx="29">
                  <c:v>7.5</c:v>
                </c:pt>
                <c:pt idx="30">
                  <c:v>7.75</c:v>
                </c:pt>
                <c:pt idx="31">
                  <c:v>8</c:v>
                </c:pt>
                <c:pt idx="32">
                  <c:v>8.25</c:v>
                </c:pt>
                <c:pt idx="33">
                  <c:v>8.5</c:v>
                </c:pt>
                <c:pt idx="34">
                  <c:v>8.75</c:v>
                </c:pt>
                <c:pt idx="35">
                  <c:v>9</c:v>
                </c:pt>
                <c:pt idx="36">
                  <c:v>9.25</c:v>
                </c:pt>
                <c:pt idx="37">
                  <c:v>9.5</c:v>
                </c:pt>
                <c:pt idx="38">
                  <c:v>9.75</c:v>
                </c:pt>
                <c:pt idx="39">
                  <c:v>10</c:v>
                </c:pt>
                <c:pt idx="40">
                  <c:v>10.25</c:v>
                </c:pt>
                <c:pt idx="41">
                  <c:v>10.5</c:v>
                </c:pt>
                <c:pt idx="42">
                  <c:v>10.75</c:v>
                </c:pt>
                <c:pt idx="43">
                  <c:v>11</c:v>
                </c:pt>
                <c:pt idx="44">
                  <c:v>11.25</c:v>
                </c:pt>
                <c:pt idx="45">
                  <c:v>11.5</c:v>
                </c:pt>
                <c:pt idx="46">
                  <c:v>11.75</c:v>
                </c:pt>
                <c:pt idx="47">
                  <c:v>12</c:v>
                </c:pt>
                <c:pt idx="48">
                  <c:v>12.25</c:v>
                </c:pt>
                <c:pt idx="49">
                  <c:v>12.5</c:v>
                </c:pt>
                <c:pt idx="50">
                  <c:v>12.75</c:v>
                </c:pt>
                <c:pt idx="51">
                  <c:v>13</c:v>
                </c:pt>
                <c:pt idx="52">
                  <c:v>13.25</c:v>
                </c:pt>
                <c:pt idx="53">
                  <c:v>13.5</c:v>
                </c:pt>
                <c:pt idx="54">
                  <c:v>13.75</c:v>
                </c:pt>
                <c:pt idx="55">
                  <c:v>14</c:v>
                </c:pt>
                <c:pt idx="56">
                  <c:v>14.25</c:v>
                </c:pt>
                <c:pt idx="57">
                  <c:v>14.5</c:v>
                </c:pt>
                <c:pt idx="58">
                  <c:v>14.75</c:v>
                </c:pt>
                <c:pt idx="59">
                  <c:v>15</c:v>
                </c:pt>
                <c:pt idx="60">
                  <c:v>15.25</c:v>
                </c:pt>
                <c:pt idx="61">
                  <c:v>15.5</c:v>
                </c:pt>
                <c:pt idx="62">
                  <c:v>15.75</c:v>
                </c:pt>
                <c:pt idx="63">
                  <c:v>16</c:v>
                </c:pt>
                <c:pt idx="64">
                  <c:v>16.25</c:v>
                </c:pt>
                <c:pt idx="65">
                  <c:v>16.5</c:v>
                </c:pt>
                <c:pt idx="66">
                  <c:v>16.75</c:v>
                </c:pt>
                <c:pt idx="67">
                  <c:v>17</c:v>
                </c:pt>
                <c:pt idx="68">
                  <c:v>17.25</c:v>
                </c:pt>
                <c:pt idx="69">
                  <c:v>17.5</c:v>
                </c:pt>
                <c:pt idx="70">
                  <c:v>17.75</c:v>
                </c:pt>
                <c:pt idx="71">
                  <c:v>18</c:v>
                </c:pt>
                <c:pt idx="72">
                  <c:v>18.25</c:v>
                </c:pt>
                <c:pt idx="73">
                  <c:v>18.5</c:v>
                </c:pt>
                <c:pt idx="74">
                  <c:v>18.75</c:v>
                </c:pt>
                <c:pt idx="75">
                  <c:v>19</c:v>
                </c:pt>
                <c:pt idx="76">
                  <c:v>19.25</c:v>
                </c:pt>
                <c:pt idx="77">
                  <c:v>19.5</c:v>
                </c:pt>
                <c:pt idx="78">
                  <c:v>19.75</c:v>
                </c:pt>
                <c:pt idx="79">
                  <c:v>20</c:v>
                </c:pt>
                <c:pt idx="80">
                  <c:v>20.25</c:v>
                </c:pt>
                <c:pt idx="81">
                  <c:v>20.5</c:v>
                </c:pt>
                <c:pt idx="82">
                  <c:v>20.75</c:v>
                </c:pt>
                <c:pt idx="83">
                  <c:v>21</c:v>
                </c:pt>
                <c:pt idx="84">
                  <c:v>21.25</c:v>
                </c:pt>
                <c:pt idx="85">
                  <c:v>21.5</c:v>
                </c:pt>
                <c:pt idx="86">
                  <c:v>21.75</c:v>
                </c:pt>
                <c:pt idx="87">
                  <c:v>22</c:v>
                </c:pt>
                <c:pt idx="88">
                  <c:v>22.25</c:v>
                </c:pt>
                <c:pt idx="89">
                  <c:v>22.5</c:v>
                </c:pt>
                <c:pt idx="90">
                  <c:v>22.75</c:v>
                </c:pt>
                <c:pt idx="91">
                  <c:v>23</c:v>
                </c:pt>
                <c:pt idx="92">
                  <c:v>23.25</c:v>
                </c:pt>
                <c:pt idx="93">
                  <c:v>23.5</c:v>
                </c:pt>
                <c:pt idx="94">
                  <c:v>23.75</c:v>
                </c:pt>
                <c:pt idx="95">
                  <c:v>24</c:v>
                </c:pt>
                <c:pt idx="96">
                  <c:v>24.25</c:v>
                </c:pt>
                <c:pt idx="97">
                  <c:v>24.5</c:v>
                </c:pt>
                <c:pt idx="98">
                  <c:v>24.75</c:v>
                </c:pt>
                <c:pt idx="99">
                  <c:v>25</c:v>
                </c:pt>
                <c:pt idx="100">
                  <c:v>25.25</c:v>
                </c:pt>
                <c:pt idx="101">
                  <c:v>25.5</c:v>
                </c:pt>
                <c:pt idx="102">
                  <c:v>25.75</c:v>
                </c:pt>
                <c:pt idx="103">
                  <c:v>26</c:v>
                </c:pt>
                <c:pt idx="104">
                  <c:v>26.25</c:v>
                </c:pt>
                <c:pt idx="105">
                  <c:v>26.5</c:v>
                </c:pt>
                <c:pt idx="106">
                  <c:v>26.75</c:v>
                </c:pt>
                <c:pt idx="107">
                  <c:v>27</c:v>
                </c:pt>
                <c:pt idx="108">
                  <c:v>27.25</c:v>
                </c:pt>
                <c:pt idx="109">
                  <c:v>27.5</c:v>
                </c:pt>
                <c:pt idx="110">
                  <c:v>27.75</c:v>
                </c:pt>
                <c:pt idx="111">
                  <c:v>28</c:v>
                </c:pt>
                <c:pt idx="112">
                  <c:v>28.25</c:v>
                </c:pt>
                <c:pt idx="113">
                  <c:v>28.5</c:v>
                </c:pt>
                <c:pt idx="114">
                  <c:v>28.75</c:v>
                </c:pt>
                <c:pt idx="115">
                  <c:v>29</c:v>
                </c:pt>
                <c:pt idx="116">
                  <c:v>29.25</c:v>
                </c:pt>
                <c:pt idx="117">
                  <c:v>29.5</c:v>
                </c:pt>
                <c:pt idx="118">
                  <c:v>29.75</c:v>
                </c:pt>
                <c:pt idx="119">
                  <c:v>30</c:v>
                </c:pt>
                <c:pt idx="120">
                  <c:v>30.25</c:v>
                </c:pt>
                <c:pt idx="121">
                  <c:v>30.5</c:v>
                </c:pt>
                <c:pt idx="122">
                  <c:v>30.75</c:v>
                </c:pt>
                <c:pt idx="123">
                  <c:v>31</c:v>
                </c:pt>
                <c:pt idx="124">
                  <c:v>31.25</c:v>
                </c:pt>
                <c:pt idx="125">
                  <c:v>31.5</c:v>
                </c:pt>
                <c:pt idx="126">
                  <c:v>31.75</c:v>
                </c:pt>
                <c:pt idx="127">
                  <c:v>32</c:v>
                </c:pt>
                <c:pt idx="128">
                  <c:v>32.25</c:v>
                </c:pt>
                <c:pt idx="129">
                  <c:v>32.5</c:v>
                </c:pt>
                <c:pt idx="130">
                  <c:v>32.75</c:v>
                </c:pt>
                <c:pt idx="131">
                  <c:v>33</c:v>
                </c:pt>
                <c:pt idx="132">
                  <c:v>33.25</c:v>
                </c:pt>
                <c:pt idx="133">
                  <c:v>33.5</c:v>
                </c:pt>
                <c:pt idx="134">
                  <c:v>33.75</c:v>
                </c:pt>
                <c:pt idx="135">
                  <c:v>34</c:v>
                </c:pt>
                <c:pt idx="136">
                  <c:v>34.25</c:v>
                </c:pt>
                <c:pt idx="137">
                  <c:v>34.5</c:v>
                </c:pt>
                <c:pt idx="138">
                  <c:v>34.75</c:v>
                </c:pt>
                <c:pt idx="139">
                  <c:v>35</c:v>
                </c:pt>
                <c:pt idx="140">
                  <c:v>35.25</c:v>
                </c:pt>
                <c:pt idx="141">
                  <c:v>35.5</c:v>
                </c:pt>
                <c:pt idx="142">
                  <c:v>35.75</c:v>
                </c:pt>
                <c:pt idx="143">
                  <c:v>36</c:v>
                </c:pt>
                <c:pt idx="144">
                  <c:v>36.25</c:v>
                </c:pt>
                <c:pt idx="145">
                  <c:v>36.5</c:v>
                </c:pt>
                <c:pt idx="146">
                  <c:v>36.75</c:v>
                </c:pt>
                <c:pt idx="147">
                  <c:v>37</c:v>
                </c:pt>
                <c:pt idx="148">
                  <c:v>37.25</c:v>
                </c:pt>
                <c:pt idx="149">
                  <c:v>37.5</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98B9-4A0F-9AF3-241E82BDC034}"/>
            </c:ext>
          </c:extLst>
        </c:ser>
        <c:dLbls>
          <c:showLegendKey val="0"/>
          <c:showVal val="0"/>
          <c:showCatName val="0"/>
          <c:showSerName val="0"/>
          <c:showPercent val="0"/>
          <c:showBubbleSize val="0"/>
        </c:dLbls>
        <c:axId val="586422528"/>
        <c:axId val="586420608"/>
      </c:scatterChart>
      <c:valAx>
        <c:axId val="586339072"/>
        <c:scaling>
          <c:orientation val="minMax"/>
        </c:scaling>
        <c:delete val="0"/>
        <c:axPos val="b"/>
        <c:majorGridlines/>
        <c:numFmt formatCode="General" sourceLinked="1"/>
        <c:majorTickMark val="out"/>
        <c:minorTickMark val="none"/>
        <c:tickLblPos val="nextTo"/>
        <c:crossAx val="586340608"/>
        <c:crosses val="autoZero"/>
        <c:crossBetween val="midCat"/>
      </c:valAx>
      <c:valAx>
        <c:axId val="586340608"/>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6339072"/>
        <c:crosses val="autoZero"/>
        <c:crossBetween val="midCat"/>
      </c:valAx>
      <c:valAx>
        <c:axId val="58642060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6422528"/>
        <c:crosses val="max"/>
        <c:crossBetween val="midCat"/>
      </c:valAx>
      <c:valAx>
        <c:axId val="586422528"/>
        <c:scaling>
          <c:orientation val="minMax"/>
        </c:scaling>
        <c:delete val="1"/>
        <c:axPos val="b"/>
        <c:title>
          <c:tx>
            <c:rich>
              <a:bodyPr/>
              <a:lstStyle/>
              <a:p>
                <a:pPr>
                  <a:defRPr sz="1200"/>
                </a:pPr>
                <a:r>
                  <a:rPr lang="en-US" sz="1200" b="1" i="0" baseline="0">
                    <a:effectLst/>
                  </a:rPr>
                  <a:t>P</a:t>
                </a:r>
                <a:r>
                  <a:rPr lang="en-US" sz="1200" b="1" i="0" baseline="-25000">
                    <a:effectLst/>
                  </a:rPr>
                  <a:t>OUT</a:t>
                </a:r>
                <a:r>
                  <a:rPr lang="en-US" sz="1200" b="1" i="0" baseline="0">
                    <a:effectLst/>
                  </a:rPr>
                  <a:t> (W)</a:t>
                </a:r>
                <a:endParaRPr lang="en-US" sz="1200">
                  <a:effectLst/>
                </a:endParaRPr>
              </a:p>
            </c:rich>
          </c:tx>
          <c:overlay val="0"/>
        </c:title>
        <c:numFmt formatCode="General" sourceLinked="1"/>
        <c:majorTickMark val="out"/>
        <c:minorTickMark val="none"/>
        <c:tickLblPos val="nextTo"/>
        <c:crossAx val="586420608"/>
        <c:crosses val="autoZero"/>
        <c:crossBetween val="midCat"/>
      </c:valAx>
    </c:plotArea>
    <c:legend>
      <c:legendPos val="r"/>
      <c:layout>
        <c:manualLayout>
          <c:xMode val="edge"/>
          <c:yMode val="edge"/>
          <c:x val="0.49339941826540429"/>
          <c:y val="6.4862204724409449E-3"/>
          <c:w val="0.42227913565687919"/>
          <c:h val="0.1165233360670469"/>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Eff_vs_IOUT!$BZ$7:$BZ$157</c:f>
              <c:numCache>
                <c:formatCode>General</c:formatCode>
                <c:ptCount val="151"/>
                <c:pt idx="0">
                  <c:v>0</c:v>
                </c:pt>
                <c:pt idx="1">
                  <c:v>18.876580415263494</c:v>
                </c:pt>
                <c:pt idx="2">
                  <c:v>30.9579989421165</c:v>
                </c:pt>
                <c:pt idx="3">
                  <c:v>39.488763681716357</c:v>
                </c:pt>
                <c:pt idx="4">
                  <c:v>45.869495168920224</c:v>
                </c:pt>
                <c:pt idx="5">
                  <c:v>50.838148376447592</c:v>
                </c:pt>
                <c:pt idx="6">
                  <c:v>54.825443896429938</c:v>
                </c:pt>
                <c:pt idx="7">
                  <c:v>58.101189362502815</c:v>
                </c:pt>
                <c:pt idx="8">
                  <c:v>60.843597051015344</c:v>
                </c:pt>
                <c:pt idx="9">
                  <c:v>63.17538463101058</c:v>
                </c:pt>
                <c:pt idx="10">
                  <c:v>65.183955774447909</c:v>
                </c:pt>
                <c:pt idx="11">
                  <c:v>66.933327936740241</c:v>
                </c:pt>
                <c:pt idx="12">
                  <c:v>68.471509434147919</c:v>
                </c:pt>
                <c:pt idx="13">
                  <c:v>69.835237726311135</c:v>
                </c:pt>
                <c:pt idx="14">
                  <c:v>71.053121932662066</c:v>
                </c:pt>
                <c:pt idx="15">
                  <c:v>72.147785279677564</c:v>
                </c:pt>
                <c:pt idx="16">
                  <c:v>73.137361225129553</c:v>
                </c:pt>
                <c:pt idx="17">
                  <c:v>74.036560520587898</c:v>
                </c:pt>
                <c:pt idx="18">
                  <c:v>74.857446631561245</c:v>
                </c:pt>
                <c:pt idx="19">
                  <c:v>75.61000871893367</c:v>
                </c:pt>
                <c:pt idx="20">
                  <c:v>76.302591438763372</c:v>
                </c:pt>
                <c:pt idx="21">
                  <c:v>76.942221746558118</c:v>
                </c:pt>
                <c:pt idx="22">
                  <c:v>77.534860471503279</c:v>
                </c:pt>
                <c:pt idx="23">
                  <c:v>78.085598171210123</c:v>
                </c:pt>
                <c:pt idx="24">
                  <c:v>78.598809189466863</c:v>
                </c:pt>
                <c:pt idx="25">
                  <c:v>79.078273992729834</c:v>
                </c:pt>
                <c:pt idx="26">
                  <c:v>79.527277172093775</c:v>
                </c:pt>
                <c:pt idx="27">
                  <c:v>79.948686591062625</c:v>
                </c:pt>
                <c:pt idx="28">
                  <c:v>80.345017790128466</c:v>
                </c:pt>
                <c:pt idx="29">
                  <c:v>80.718486763704732</c:v>
                </c:pt>
                <c:pt idx="30">
                  <c:v>81.071053493128346</c:v>
                </c:pt>
                <c:pt idx="31">
                  <c:v>81.404458075789464</c:v>
                </c:pt>
                <c:pt idx="32">
                  <c:v>81.72025088262636</c:v>
                </c:pt>
                <c:pt idx="33">
                  <c:v>82.019817867502468</c:v>
                </c:pt>
                <c:pt idx="34">
                  <c:v>82.304401916272226</c:v>
                </c:pt>
                <c:pt idx="35">
                  <c:v>82.575120941926045</c:v>
                </c:pt>
                <c:pt idx="36">
                  <c:v>82.832983291517138</c:v>
                </c:pt>
                <c:pt idx="37">
                  <c:v>83.078900920688241</c:v>
                </c:pt>
                <c:pt idx="38">
                  <c:v>83.313700705209953</c:v>
                </c:pt>
                <c:pt idx="39">
                  <c:v>83.538134190564108</c:v>
                </c:pt>
                <c:pt idx="40">
                  <c:v>83.752886026164646</c:v>
                </c:pt>
                <c:pt idx="41">
                  <c:v>83.958581287214926</c:v>
                </c:pt>
                <c:pt idx="42">
                  <c:v>84.155791852102368</c:v>
                </c:pt>
                <c:pt idx="43">
                  <c:v>84.345041974825193</c:v>
                </c:pt>
                <c:pt idx="44">
                  <c:v>84.526813168842736</c:v>
                </c:pt>
                <c:pt idx="45">
                  <c:v>84.701548499861048</c:v>
                </c:pt>
                <c:pt idx="46">
                  <c:v>84.869656369567167</c:v>
                </c:pt>
                <c:pt idx="47">
                  <c:v>85.03151385954915</c:v>
                </c:pt>
                <c:pt idx="48">
                  <c:v>85.187469694061065</c:v>
                </c:pt>
                <c:pt idx="49">
                  <c:v>85.337846871502109</c:v>
                </c:pt>
                <c:pt idx="50">
                  <c:v>85.482945007144664</c:v>
                </c:pt>
                <c:pt idx="51">
                  <c:v>85.623042423506021</c:v>
                </c:pt>
                <c:pt idx="52">
                  <c:v>85.758398019598332</c:v>
                </c:pt>
                <c:pt idx="53">
                  <c:v>85.889252945942133</c:v>
                </c:pt>
                <c:pt idx="54">
                  <c:v>86.015832108549418</c:v>
                </c:pt>
                <c:pt idx="55">
                  <c:v>86.138345521961043</c:v>
                </c:pt>
                <c:pt idx="56">
                  <c:v>86.256989528767051</c:v>
                </c:pt>
                <c:pt idx="57">
                  <c:v>86.371947900771701</c:v>
                </c:pt>
                <c:pt idx="58">
                  <c:v>86.483392835024929</c:v>
                </c:pt>
                <c:pt idx="59">
                  <c:v>86.591485856277643</c:v>
                </c:pt>
                <c:pt idx="60">
                  <c:v>86.696378635985099</c:v>
                </c:pt>
                <c:pt idx="61">
                  <c:v>86.798213736748622</c:v>
                </c:pt>
                <c:pt idx="62">
                  <c:v>86.89712529001676</c:v>
                </c:pt>
                <c:pt idx="63">
                  <c:v>86.99323961394181</c:v>
                </c:pt>
                <c:pt idx="64">
                  <c:v>87.086675777483691</c:v>
                </c:pt>
                <c:pt idx="65">
                  <c:v>87.177546116153266</c:v>
                </c:pt>
                <c:pt idx="66">
                  <c:v>87.265956704176091</c:v>
                </c:pt>
                <c:pt idx="67">
                  <c:v>87.352007787324894</c:v>
                </c:pt>
                <c:pt idx="68">
                  <c:v>87.435794180200105</c:v>
                </c:pt>
                <c:pt idx="69">
                  <c:v>87.517405631328714</c:v>
                </c:pt>
                <c:pt idx="70">
                  <c:v>87.596927159090015</c:v>
                </c:pt>
                <c:pt idx="71">
                  <c:v>87.674439361159372</c:v>
                </c:pt>
                <c:pt idx="72">
                  <c:v>87.750018699880272</c:v>
                </c:pt>
                <c:pt idx="73">
                  <c:v>87.823737765727202</c:v>
                </c:pt>
                <c:pt idx="74">
                  <c:v>87.895665520802297</c:v>
                </c:pt>
                <c:pt idx="75">
                  <c:v>87.965867524113392</c:v>
                </c:pt>
                <c:pt idx="76">
                  <c:v>88.034406140208731</c:v>
                </c:pt>
                <c:pt idx="77">
                  <c:v>88.10134073258908</c:v>
                </c:pt>
                <c:pt idx="78">
                  <c:v>88.166727843181064</c:v>
                </c:pt>
                <c:pt idx="79">
                  <c:v>88.230621359032767</c:v>
                </c:pt>
                <c:pt idx="80">
                  <c:v>88.293072667283397</c:v>
                </c:pt>
                <c:pt idx="81">
                  <c:v>88.354130799360831</c:v>
                </c:pt>
                <c:pt idx="82">
                  <c:v>88.413842565272887</c:v>
                </c:pt>
                <c:pt idx="83">
                  <c:v>88.472252678779483</c:v>
                </c:pt>
                <c:pt idx="84">
                  <c:v>88.529403874161943</c:v>
                </c:pt>
                <c:pt idx="85">
                  <c:v>88.585337015242189</c:v>
                </c:pt>
                <c:pt idx="86">
                  <c:v>88.640091197246946</c:v>
                </c:pt>
                <c:pt idx="87">
                  <c:v>88.693703842060188</c:v>
                </c:pt>
                <c:pt idx="88">
                  <c:v>88.746210787360823</c:v>
                </c:pt>
                <c:pt idx="89">
                  <c:v>88.797646370099727</c:v>
                </c:pt>
                <c:pt idx="90">
                  <c:v>88.848043504732416</c:v>
                </c:pt>
                <c:pt idx="91">
                  <c:v>88.897433756588782</c:v>
                </c:pt>
                <c:pt idx="92">
                  <c:v>88.94584741072984</c:v>
                </c:pt>
                <c:pt idx="93">
                  <c:v>88.993313536613044</c:v>
                </c:pt>
                <c:pt idx="94">
                  <c:v>89.039860048861598</c:v>
                </c:pt>
                <c:pt idx="95">
                  <c:v>89.085513764409725</c:v>
                </c:pt>
                <c:pt idx="96">
                  <c:v>89.130300456274142</c:v>
                </c:pt>
                <c:pt idx="97">
                  <c:v>89.174244904182586</c:v>
                </c:pt>
                <c:pt idx="98">
                  <c:v>89.217370942272339</c:v>
                </c:pt>
                <c:pt idx="99">
                  <c:v>89.259701504054846</c:v>
                </c:pt>
                <c:pt idx="100">
                  <c:v>89.30125866482868</c:v>
                </c:pt>
                <c:pt idx="101">
                  <c:v>89.34206368170797</c:v>
                </c:pt>
                <c:pt idx="102">
                  <c:v>89.382137031422189</c:v>
                </c:pt>
                <c:pt idx="103">
                  <c:v>89.421498446030938</c:v>
                </c:pt>
                <c:pt idx="104">
                  <c:v>89.460166946687039</c:v>
                </c:pt>
                <c:pt idx="105">
                  <c:v>89.498160875571685</c:v>
                </c:pt>
                <c:pt idx="106">
                  <c:v>89.535497926116363</c:v>
                </c:pt>
                <c:pt idx="107">
                  <c:v>89.572195171618077</c:v>
                </c:pt>
                <c:pt idx="108">
                  <c:v>89.608269092346973</c:v>
                </c:pt>
                <c:pt idx="109">
                  <c:v>89.643735601238532</c:v>
                </c:pt>
                <c:pt idx="110">
                  <c:v>89.678610068255992</c:v>
                </c:pt>
                <c:pt idx="111">
                  <c:v>89.712907343502906</c:v>
                </c:pt>
                <c:pt idx="112">
                  <c:v>89.746641779160058</c:v>
                </c:pt>
                <c:pt idx="113">
                  <c:v>89.77982725031643</c:v>
                </c:pt>
                <c:pt idx="114">
                  <c:v>89.812477174758456</c:v>
                </c:pt>
                <c:pt idx="115">
                  <c:v>89.8446045317786</c:v>
                </c:pt>
                <c:pt idx="116">
                  <c:v>89.876221880059035</c:v>
                </c:pt>
                <c:pt idx="117">
                  <c:v>89.907341374683682</c:v>
                </c:pt>
                <c:pt idx="118">
                  <c:v>89.937974783327661</c:v>
                </c:pt>
                <c:pt idx="119">
                  <c:v>89.968133501670451</c:v>
                </c:pt>
                <c:pt idx="120">
                  <c:v>89.997828568075789</c:v>
                </c:pt>
                <c:pt idx="121">
                  <c:v>90.027070677579061</c:v>
                </c:pt>
                <c:pt idx="122">
                  <c:v>90.055870195219967</c:v>
                </c:pt>
                <c:pt idx="123">
                  <c:v>90.084237168755891</c:v>
                </c:pt>
                <c:pt idx="124">
                  <c:v>90.11218134078976</c:v>
                </c:pt>
                <c:pt idx="125">
                  <c:v>90.139712160343294</c:v>
                </c:pt>
                <c:pt idx="126">
                  <c:v>90.166838793905413</c:v>
                </c:pt>
                <c:pt idx="127">
                  <c:v>90.193570135983165</c:v>
                </c:pt>
                <c:pt idx="128">
                  <c:v>90.219914819181525</c:v>
                </c:pt>
                <c:pt idx="129">
                  <c:v>90.245881223836179</c:v>
                </c:pt>
                <c:pt idx="130">
                  <c:v>90.271477487222455</c:v>
                </c:pt>
                <c:pt idx="131">
                  <c:v>90.296711512362165</c:v>
                </c:pt>
                <c:pt idx="132">
                  <c:v>90.321590976448434</c:v>
                </c:pt>
                <c:pt idx="133">
                  <c:v>90.346123338908328</c:v>
                </c:pt>
                <c:pt idx="134">
                  <c:v>90.370315849120573</c:v>
                </c:pt>
                <c:pt idx="135">
                  <c:v>90.394175553806463</c:v>
                </c:pt>
                <c:pt idx="136">
                  <c:v>90.417709304109096</c:v>
                </c:pt>
                <c:pt idx="137">
                  <c:v>90.440923762376883</c:v>
                </c:pt>
                <c:pt idx="138">
                  <c:v>90.463825408665429</c:v>
                </c:pt>
                <c:pt idx="139">
                  <c:v>90.486420546971303</c:v>
                </c:pt>
                <c:pt idx="140">
                  <c:v>90.50871531121075</c:v>
                </c:pt>
                <c:pt idx="141">
                  <c:v>90.530715670955303</c:v>
                </c:pt>
                <c:pt idx="142">
                  <c:v>90.552427436935858</c:v>
                </c:pt>
                <c:pt idx="143">
                  <c:v>90.57385626632599</c:v>
                </c:pt>
                <c:pt idx="144">
                  <c:v>90.595007667815025</c:v>
                </c:pt>
                <c:pt idx="145">
                  <c:v>90.61588700648025</c:v>
                </c:pt>
                <c:pt idx="146">
                  <c:v>90.636499508467949</c:v>
                </c:pt>
                <c:pt idx="147">
                  <c:v>90.656850265491485</c:v>
                </c:pt>
                <c:pt idx="148">
                  <c:v>90.676944239155048</c:v>
                </c:pt>
                <c:pt idx="149">
                  <c:v>90.696786265111015</c:v>
                </c:pt>
                <c:pt idx="150">
                  <c:v>90.716381057058115</c:v>
                </c:pt>
              </c:numCache>
            </c:numRef>
          </c:yVal>
          <c:smooth val="0"/>
          <c:extLst>
            <c:ext xmlns:c16="http://schemas.microsoft.com/office/drawing/2014/chart" uri="{C3380CC4-5D6E-409C-BE32-E72D297353CC}">
              <c16:uniqueId val="{00000000-53D1-4006-8366-E2C9DA64EC11}"/>
            </c:ext>
          </c:extLst>
        </c:ser>
        <c:dLbls>
          <c:showLegendKey val="0"/>
          <c:showVal val="0"/>
          <c:showCatName val="0"/>
          <c:showSerName val="0"/>
          <c:showPercent val="0"/>
          <c:showBubbleSize val="0"/>
        </c:dLbls>
        <c:axId val="586473472"/>
        <c:axId val="586475008"/>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Eff_vs_IOUT!$AJ$7:$AJ$157</c:f>
              <c:numCache>
                <c:formatCode>General</c:formatCode>
                <c:ptCount val="151"/>
                <c:pt idx="0">
                  <c:v>0</c:v>
                </c:pt>
                <c:pt idx="1">
                  <c:v>6.8139988440205732E-2</c:v>
                </c:pt>
                <c:pt idx="2">
                  <c:v>9.6425075006918312E-2</c:v>
                </c:pt>
                <c:pt idx="3">
                  <c:v>0.11817031017095275</c:v>
                </c:pt>
                <c:pt idx="4">
                  <c:v>0.13653699272205774</c:v>
                </c:pt>
                <c:pt idx="5">
                  <c:v>0.15274878273382678</c:v>
                </c:pt>
                <c:pt idx="6">
                  <c:v>0.16743283414751936</c:v>
                </c:pt>
                <c:pt idx="7">
                  <c:v>0.18096146375160038</c:v>
                </c:pt>
                <c:pt idx="8">
                  <c:v>0.19357710059183841</c:v>
                </c:pt>
                <c:pt idx="9">
                  <c:v>0.20544802868720224</c:v>
                </c:pt>
                <c:pt idx="10">
                  <c:v>0.21669669639011521</c:v>
                </c:pt>
                <c:pt idx="11">
                  <c:v>0.2274154833951802</c:v>
                </c:pt>
                <c:pt idx="12">
                  <c:v>0.23767611383014978</c:v>
                </c:pt>
                <c:pt idx="13">
                  <c:v>0.24753558982200957</c:v>
                </c:pt>
                <c:pt idx="14">
                  <c:v>0.25704009906388309</c:v>
                </c:pt>
                <c:pt idx="15">
                  <c:v>0.26622768261330015</c:v>
                </c:pt>
                <c:pt idx="16">
                  <c:v>0.27513011217728567</c:v>
                </c:pt>
                <c:pt idx="17">
                  <c:v>0.28377424556750691</c:v>
                </c:pt>
                <c:pt idx="18">
                  <c:v>0.29218302733276219</c:v>
                </c:pt>
                <c:pt idx="19">
                  <c:v>0.30037624186676198</c:v>
                </c:pt>
                <c:pt idx="20">
                  <c:v>0.30837108993373052</c:v>
                </c:pt>
                <c:pt idx="21">
                  <c:v>0.3161826367111481</c:v>
                </c:pt>
                <c:pt idx="22">
                  <c:v>0.32382416469376413</c:v>
                </c:pt>
                <c:pt idx="23">
                  <c:v>0.33130745503601544</c:v>
                </c:pt>
                <c:pt idx="24">
                  <c:v>0.33864301430211075</c:v>
                </c:pt>
                <c:pt idx="25">
                  <c:v>0.34584025903395404</c:v>
                </c:pt>
                <c:pt idx="26">
                  <c:v>0.35290766734533252</c:v>
                </c:pt>
                <c:pt idx="27">
                  <c:v>0.35985290446583534</c:v>
                </c:pt>
                <c:pt idx="28">
                  <c:v>0.36668292750320075</c:v>
                </c:pt>
                <c:pt idx="29">
                  <c:v>0.37340407347819238</c:v>
                </c:pt>
                <c:pt idx="30">
                  <c:v>0.38002213378353489</c:v>
                </c:pt>
                <c:pt idx="31">
                  <c:v>0.3865424175400316</c:v>
                </c:pt>
                <c:pt idx="32">
                  <c:v>0.3929698058076912</c:v>
                </c:pt>
                <c:pt idx="33">
                  <c:v>0.39930879821441734</c:v>
                </c:pt>
                <c:pt idx="34">
                  <c:v>0.4055635532588438</c:v>
                </c:pt>
                <c:pt idx="35">
                  <c:v>0.41173792330504178</c:v>
                </c:pt>
                <c:pt idx="36">
                  <c:v>0.41783548509885393</c:v>
                </c:pt>
                <c:pt idx="37">
                  <c:v>0.42385956648659129</c:v>
                </c:pt>
                <c:pt idx="38">
                  <c:v>0.42981326989786145</c:v>
                </c:pt>
                <c:pt idx="39">
                  <c:v>0.43569949305867989</c:v>
                </c:pt>
                <c:pt idx="40">
                  <c:v>0.44152094732370428</c:v>
                </c:pt>
                <c:pt idx="41">
                  <c:v>0.44728017395353842</c:v>
                </c:pt>
                <c:pt idx="42">
                  <c:v>0.45297955861161482</c:v>
                </c:pt>
                <c:pt idx="43">
                  <c:v>0.45862134431286827</c:v>
                </c:pt>
                <c:pt idx="44">
                  <c:v>0.46420764302145939</c:v>
                </c:pt>
                <c:pt idx="45">
                  <c:v>0.4697404460657883</c:v>
                </c:pt>
                <c:pt idx="46">
                  <c:v>0.47522163351483421</c:v>
                </c:pt>
                <c:pt idx="47">
                  <c:v>0.48065298263958339</c:v>
                </c:pt>
                <c:pt idx="48">
                  <c:v>0.48603617556625373</c:v>
                </c:pt>
                <c:pt idx="49">
                  <c:v>0.49137280621363144</c:v>
                </c:pt>
                <c:pt idx="50">
                  <c:v>0.49666438659462753</c:v>
                </c:pt>
                <c:pt idx="51">
                  <c:v>0.50191235255178768</c:v>
                </c:pt>
                <c:pt idx="52">
                  <c:v>0.50711806898762735</c:v>
                </c:pt>
                <c:pt idx="53">
                  <c:v>0.51228283464308211</c:v>
                </c:pt>
                <c:pt idx="54">
                  <c:v>0.51740788647084601</c:v>
                </c:pt>
                <c:pt idx="55">
                  <c:v>0.52249440364475996</c:v>
                </c:pt>
                <c:pt idx="56">
                  <c:v>0.52754351124155807</c:v>
                </c:pt>
                <c:pt idx="57">
                  <c:v>0.53255628362708007</c:v>
                </c:pt>
                <c:pt idx="58">
                  <c:v>0.53753374757540784</c:v>
                </c:pt>
                <c:pt idx="59">
                  <c:v>0.54247688514619841</c:v>
                </c:pt>
                <c:pt idx="60">
                  <c:v>0.5473866363427129</c:v>
                </c:pt>
                <c:pt idx="61">
                  <c:v>0.5522639015706069</c:v>
                </c:pt>
                <c:pt idx="62">
                  <c:v>0.55710954391541712</c:v>
                </c:pt>
                <c:pt idx="63">
                  <c:v>0.56192439125480098</c:v>
                </c:pt>
                <c:pt idx="64">
                  <c:v>0.56670923821993291</c:v>
                </c:pt>
                <c:pt idx="65">
                  <c:v>0.57146484801900255</c:v>
                </c:pt>
                <c:pt idx="66">
                  <c:v>0.57619195413446844</c:v>
                </c:pt>
                <c:pt idx="67">
                  <c:v>0.58089126190457374</c:v>
                </c:pt>
                <c:pt idx="68">
                  <c:v>0.58556344999861221</c:v>
                </c:pt>
                <c:pt idx="69">
                  <c:v>0.59020917179453303</c:v>
                </c:pt>
                <c:pt idx="70">
                  <c:v>0.59482905666665797</c:v>
                </c:pt>
                <c:pt idx="71">
                  <c:v>0.59942371119056803</c:v>
                </c:pt>
                <c:pt idx="72">
                  <c:v>0.60399372027157283</c:v>
                </c:pt>
                <c:pt idx="73">
                  <c:v>0.60853964820259154</c:v>
                </c:pt>
                <c:pt idx="74">
                  <c:v>0.61306203965676587</c:v>
                </c:pt>
                <c:pt idx="75">
                  <c:v>0.61756142061964936</c:v>
                </c:pt>
                <c:pt idx="76">
                  <c:v>0.62203829926540199</c:v>
                </c:pt>
                <c:pt idx="77">
                  <c:v>0.62649316678104394</c:v>
                </c:pt>
                <c:pt idx="78">
                  <c:v>0.63092649814247348</c:v>
                </c:pt>
                <c:pt idx="79">
                  <c:v>0.63533875284565233</c:v>
                </c:pt>
                <c:pt idx="80">
                  <c:v>0.63973037559607671</c:v>
                </c:pt>
                <c:pt idx="81">
                  <c:v>0.64410179695940439</c:v>
                </c:pt>
                <c:pt idx="82">
                  <c:v>0.64845343397587318</c:v>
                </c:pt>
                <c:pt idx="83">
                  <c:v>0.65278569074093995</c:v>
                </c:pt>
                <c:pt idx="84">
                  <c:v>0.65709895895437975</c:v>
                </c:pt>
                <c:pt idx="85">
                  <c:v>0.6613936184399094</c:v>
                </c:pt>
                <c:pt idx="86">
                  <c:v>0.66567003763724431</c:v>
                </c:pt>
                <c:pt idx="87">
                  <c:v>0.6699285740683516</c:v>
                </c:pt>
                <c:pt idx="88">
                  <c:v>0.67416957477953154</c:v>
                </c:pt>
                <c:pt idx="89">
                  <c:v>0.678393376760838</c:v>
                </c:pt>
                <c:pt idx="90">
                  <c:v>0.68260030734424126</c:v>
                </c:pt>
                <c:pt idx="91">
                  <c:v>0.68679068458183024</c:v>
                </c:pt>
                <c:pt idx="92">
                  <c:v>0.69096481760526385</c:v>
                </c:pt>
                <c:pt idx="93">
                  <c:v>0.69512300696759088</c:v>
                </c:pt>
                <c:pt idx="94">
                  <c:v>0.69926554496848559</c:v>
                </c:pt>
                <c:pt idx="95">
                  <c:v>0.70339271596386477</c:v>
                </c:pt>
                <c:pt idx="96">
                  <c:v>0.70750479666079757</c:v>
                </c:pt>
                <c:pt idx="97">
                  <c:v>0.71160205639854612</c:v>
                </c:pt>
                <c:pt idx="98">
                  <c:v>0.71568475741652882</c:v>
                </c:pt>
                <c:pt idx="99">
                  <c:v>0.71975315510993654</c:v>
                </c:pt>
                <c:pt idx="100">
                  <c:v>0.7238074982736924</c:v>
                </c:pt>
                <c:pt idx="101">
                  <c:v>0.7278480293353955</c:v>
                </c:pt>
                <c:pt idx="102">
                  <c:v>0.73187498457784705</c:v>
                </c:pt>
                <c:pt idx="103">
                  <c:v>0.73588859435172738</c:v>
                </c:pt>
                <c:pt idx="104">
                  <c:v>0.73988908327894254</c:v>
                </c:pt>
                <c:pt idx="105">
                  <c:v>0.74387667044714223</c:v>
                </c:pt>
                <c:pt idx="106">
                  <c:v>0.74785156959586707</c:v>
                </c:pt>
                <c:pt idx="107">
                  <c:v>0.75181398929476217</c:v>
                </c:pt>
                <c:pt idx="108">
                  <c:v>0.75576413311426616</c:v>
                </c:pt>
                <c:pt idx="109">
                  <c:v>0.75970219978915843</c:v>
                </c:pt>
                <c:pt idx="110">
                  <c:v>0.76362838337532546</c:v>
                </c:pt>
                <c:pt idx="111">
                  <c:v>0.76754287340008709</c:v>
                </c:pt>
                <c:pt idx="112">
                  <c:v>0.7714458550064015</c:v>
                </c:pt>
                <c:pt idx="113">
                  <c:v>0.7753375090912491</c:v>
                </c:pt>
                <c:pt idx="114">
                  <c:v>0.7792180124384841</c:v>
                </c:pt>
                <c:pt idx="115">
                  <c:v>0.7830875378464135</c:v>
                </c:pt>
                <c:pt idx="116">
                  <c:v>0.78694625425036235</c:v>
                </c:pt>
                <c:pt idx="117">
                  <c:v>0.79079432684046191</c:v>
                </c:pt>
                <c:pt idx="118">
                  <c:v>0.79463191717488368</c:v>
                </c:pt>
                <c:pt idx="119">
                  <c:v>0.79845918328873633</c:v>
                </c:pt>
                <c:pt idx="120">
                  <c:v>0.80227627979882188</c:v>
                </c:pt>
                <c:pt idx="121">
                  <c:v>0.80608335800444342</c:v>
                </c:pt>
                <c:pt idx="122">
                  <c:v>0.80988056598444558</c:v>
                </c:pt>
                <c:pt idx="123">
                  <c:v>0.81366804869065601</c:v>
                </c:pt>
                <c:pt idx="124">
                  <c:v>0.81744594803789083</c:v>
                </c:pt>
                <c:pt idx="125">
                  <c:v>0.82121440299067305</c:v>
                </c:pt>
                <c:pt idx="126">
                  <c:v>0.82497354964681657</c:v>
                </c:pt>
                <c:pt idx="127">
                  <c:v>0.82872352131800453</c:v>
                </c:pt>
                <c:pt idx="128">
                  <c:v>0.83246444860749724</c:v>
                </c:pt>
                <c:pt idx="129">
                  <c:v>0.83619645948509458</c:v>
                </c:pt>
                <c:pt idx="130">
                  <c:v>0.83991967935946377</c:v>
                </c:pt>
                <c:pt idx="131">
                  <c:v>0.84363423114795422</c:v>
                </c:pt>
                <c:pt idx="132">
                  <c:v>0.8473402353439955</c:v>
                </c:pt>
                <c:pt idx="133">
                  <c:v>0.85103781008218549</c:v>
                </c:pt>
                <c:pt idx="134">
                  <c:v>0.85472707120116187</c:v>
                </c:pt>
                <c:pt idx="135">
                  <c:v>0.85840813230435087</c:v>
                </c:pt>
                <c:pt idx="136">
                  <c:v>0.86208110481867606</c:v>
                </c:pt>
                <c:pt idx="137">
                  <c:v>0.86574609805131431</c:v>
                </c:pt>
                <c:pt idx="138">
                  <c:v>0.86940321924457331</c:v>
                </c:pt>
                <c:pt idx="139">
                  <c:v>0.87305257362897026</c:v>
                </c:pt>
                <c:pt idx="140">
                  <c:v>0.87669426447457854</c:v>
                </c:pt>
                <c:pt idx="141">
                  <c:v>0.88032839314071465</c:v>
                </c:pt>
                <c:pt idx="142">
                  <c:v>0.88395505912402772</c:v>
                </c:pt>
                <c:pt idx="143">
                  <c:v>0.88757436010505519</c:v>
                </c:pt>
                <c:pt idx="144">
                  <c:v>0.89118639199330318</c:v>
                </c:pt>
                <c:pt idx="145">
                  <c:v>0.89479124897090712</c:v>
                </c:pt>
                <c:pt idx="146">
                  <c:v>0.89838902353493111</c:v>
                </c:pt>
                <c:pt idx="147">
                  <c:v>0.90197980653834864</c:v>
                </c:pt>
                <c:pt idx="148">
                  <c:v>0.90556368722976632</c:v>
                </c:pt>
                <c:pt idx="149">
                  <c:v>0.90914075329192579</c:v>
                </c:pt>
                <c:pt idx="150">
                  <c:v>0.9127110908790369</c:v>
                </c:pt>
              </c:numCache>
            </c:numRef>
          </c:yVal>
          <c:smooth val="1"/>
          <c:extLst>
            <c:ext xmlns:c16="http://schemas.microsoft.com/office/drawing/2014/chart" uri="{C3380CC4-5D6E-409C-BE32-E72D297353CC}">
              <c16:uniqueId val="{00000001-53D1-4006-8366-E2C9DA64EC11}"/>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Eff_vs_IOUT!$BU$7:$BU$157</c:f>
              <c:numCache>
                <c:formatCode>General</c:formatCode>
                <c:ptCount val="151"/>
                <c:pt idx="0">
                  <c:v>0</c:v>
                </c:pt>
                <c:pt idx="1">
                  <c:v>1.8898223650461362E-5</c:v>
                </c:pt>
                <c:pt idx="2">
                  <c:v>5.345224838248487E-5</c:v>
                </c:pt>
                <c:pt idx="3">
                  <c:v>9.8198050606196531E-5</c:v>
                </c:pt>
                <c:pt idx="4">
                  <c:v>1.5118578920369087E-4</c:v>
                </c:pt>
                <c:pt idx="5">
                  <c:v>2.1128856368212912E-4</c:v>
                </c:pt>
                <c:pt idx="6">
                  <c:v>2.7774602993176539E-4</c:v>
                </c:pt>
                <c:pt idx="7">
                  <c:v>3.4999999999999994E-4</c:v>
                </c:pt>
                <c:pt idx="8">
                  <c:v>4.2761798705987913E-4</c:v>
                </c:pt>
                <c:pt idx="9">
                  <c:v>5.1025203856245682E-4</c:v>
                </c:pt>
                <c:pt idx="10">
                  <c:v>5.9761430466719653E-4</c:v>
                </c:pt>
                <c:pt idx="11">
                  <c:v>6.8946148758080954E-4</c:v>
                </c:pt>
                <c:pt idx="12">
                  <c:v>7.8558440484957246E-4</c:v>
                </c:pt>
                <c:pt idx="13">
                  <c:v>8.8580068703002083E-4</c:v>
                </c:pt>
                <c:pt idx="14">
                  <c:v>9.899494936611668E-4</c:v>
                </c:pt>
                <c:pt idx="15">
                  <c:v>1.0978875820671001E-3</c:v>
                </c:pt>
                <c:pt idx="16">
                  <c:v>1.2094863136295271E-3</c:v>
                </c:pt>
                <c:pt idx="17">
                  <c:v>1.3246293282057652E-3</c:v>
                </c:pt>
                <c:pt idx="18">
                  <c:v>1.4432107063270915E-3</c:v>
                </c:pt>
                <c:pt idx="19">
                  <c:v>1.5651334949910365E-3</c:v>
                </c:pt>
                <c:pt idx="20">
                  <c:v>1.6903085094570325E-3</c:v>
                </c:pt>
                <c:pt idx="21">
                  <c:v>1.8186533479473208E-3</c:v>
                </c:pt>
                <c:pt idx="22">
                  <c:v>1.9500915729414206E-3</c:v>
                </c:pt>
                <c:pt idx="23">
                  <c:v>2.0845520245024209E-3</c:v>
                </c:pt>
                <c:pt idx="24">
                  <c:v>2.2219682394541231E-3</c:v>
                </c:pt>
                <c:pt idx="25">
                  <c:v>2.3622779563076696E-3</c:v>
                </c:pt>
                <c:pt idx="26">
                  <c:v>2.5054226903145215E-3</c:v>
                </c:pt>
                <c:pt idx="27">
                  <c:v>2.6513473663673077E-3</c:v>
                </c:pt>
                <c:pt idx="28">
                  <c:v>2.7999999999999995E-3</c:v>
                </c:pt>
                <c:pt idx="29">
                  <c:v>2.9513314186748237E-3</c:v>
                </c:pt>
                <c:pt idx="30">
                  <c:v>3.1052950170405939E-3</c:v>
                </c:pt>
                <c:pt idx="31">
                  <c:v>3.261846541016738E-3</c:v>
                </c:pt>
                <c:pt idx="32">
                  <c:v>3.4209438964790317E-3</c:v>
                </c:pt>
                <c:pt idx="33">
                  <c:v>3.5825469790559425E-3</c:v>
                </c:pt>
                <c:pt idx="34">
                  <c:v>3.7466175221315093E-3</c:v>
                </c:pt>
                <c:pt idx="35">
                  <c:v>3.9131189606246312E-3</c:v>
                </c:pt>
                <c:pt idx="36">
                  <c:v>4.0820163084996537E-3</c:v>
                </c:pt>
                <c:pt idx="37">
                  <c:v>4.2532760482782142E-3</c:v>
                </c:pt>
                <c:pt idx="38">
                  <c:v>4.426866031081454E-3</c:v>
                </c:pt>
                <c:pt idx="39">
                  <c:v>4.6027553859462429E-3</c:v>
                </c:pt>
                <c:pt idx="40">
                  <c:v>4.780914437337574E-3</c:v>
                </c:pt>
                <c:pt idx="41">
                  <c:v>4.9613146299285283E-3</c:v>
                </c:pt>
                <c:pt idx="42">
                  <c:v>5.1439284598446744E-3</c:v>
                </c:pt>
                <c:pt idx="43">
                  <c:v>5.3287294116756527E-3</c:v>
                </c:pt>
                <c:pt idx="44">
                  <c:v>5.5156919006464763E-3</c:v>
                </c:pt>
                <c:pt idx="45">
                  <c:v>5.7047912194174875E-3</c:v>
                </c:pt>
                <c:pt idx="46">
                  <c:v>5.896003489047231E-3</c:v>
                </c:pt>
                <c:pt idx="47">
                  <c:v>6.0893056137085828E-3</c:v>
                </c:pt>
                <c:pt idx="48">
                  <c:v>6.284675238796578E-3</c:v>
                </c:pt>
                <c:pt idx="49">
                  <c:v>6.4820907121082467E-3</c:v>
                </c:pt>
                <c:pt idx="50">
                  <c:v>6.681531047810608E-3</c:v>
                </c:pt>
                <c:pt idx="51">
                  <c:v>6.8829758929446466E-3</c:v>
                </c:pt>
                <c:pt idx="52">
                  <c:v>7.0864054962401675E-3</c:v>
                </c:pt>
                <c:pt idx="53">
                  <c:v>7.291800679040613E-3</c:v>
                </c:pt>
                <c:pt idx="54">
                  <c:v>7.4991428081576652E-3</c:v>
                </c:pt>
                <c:pt idx="55">
                  <c:v>7.7084137704940877E-3</c:v>
                </c:pt>
                <c:pt idx="56">
                  <c:v>7.9195959492893309E-3</c:v>
                </c:pt>
                <c:pt idx="57">
                  <c:v>8.1326722018569726E-3</c:v>
                </c:pt>
                <c:pt idx="58">
                  <c:v>8.3476258386955219E-3</c:v>
                </c:pt>
                <c:pt idx="59">
                  <c:v>8.5644406038656654E-3</c:v>
                </c:pt>
                <c:pt idx="60">
                  <c:v>8.7831006565368009E-3</c:v>
                </c:pt>
                <c:pt idx="61">
                  <c:v>9.0035905536148646E-3</c:v>
                </c:pt>
                <c:pt idx="62">
                  <c:v>9.2258952333712767E-3</c:v>
                </c:pt>
                <c:pt idx="63">
                  <c:v>9.4499999999999983E-3</c:v>
                </c:pt>
                <c:pt idx="64">
                  <c:v>9.6758905090362154E-3</c:v>
                </c:pt>
                <c:pt idx="65">
                  <c:v>9.9035527535757169E-3</c:v>
                </c:pt>
                <c:pt idx="66">
                  <c:v>1.0132973051239346E-2</c:v>
                </c:pt>
                <c:pt idx="67">
                  <c:v>1.0364138031831551E-2</c:v>
                </c:pt>
                <c:pt idx="68">
                  <c:v>1.0597034625646122E-2</c:v>
                </c:pt>
                <c:pt idx="69">
                  <c:v>1.0831650052376272E-2</c:v>
                </c:pt>
                <c:pt idx="70">
                  <c:v>1.1067971810589326E-2</c:v>
                </c:pt>
                <c:pt idx="71">
                  <c:v>1.130598766772975E-2</c:v>
                </c:pt>
                <c:pt idx="72">
                  <c:v>1.1545685650616736E-2</c:v>
                </c:pt>
                <c:pt idx="73">
                  <c:v>1.1787054036405488E-2</c:v>
                </c:pt>
                <c:pt idx="74">
                  <c:v>1.2030081343983388E-2</c:v>
                </c:pt>
                <c:pt idx="75">
                  <c:v>1.2274756325774575E-2</c:v>
                </c:pt>
                <c:pt idx="76">
                  <c:v>1.2521067959928292E-2</c:v>
                </c:pt>
                <c:pt idx="77">
                  <c:v>1.2769005442868291E-2</c:v>
                </c:pt>
                <c:pt idx="78">
                  <c:v>1.301855818218197E-2</c:v>
                </c:pt>
                <c:pt idx="79">
                  <c:v>1.3269715789829753E-2</c:v>
                </c:pt>
                <c:pt idx="80">
                  <c:v>1.3522468075656264E-2</c:v>
                </c:pt>
                <c:pt idx="81">
                  <c:v>1.3776805041186332E-2</c:v>
                </c:pt>
                <c:pt idx="82">
                  <c:v>1.4032716873689956E-2</c:v>
                </c:pt>
                <c:pt idx="83">
                  <c:v>1.4290193940501399E-2</c:v>
                </c:pt>
                <c:pt idx="84">
                  <c:v>1.4549226783578565E-2</c:v>
                </c:pt>
                <c:pt idx="85">
                  <c:v>1.4809806114289854E-2</c:v>
                </c:pt>
                <c:pt idx="86">
                  <c:v>1.5071922808416223E-2</c:v>
                </c:pt>
                <c:pt idx="87">
                  <c:v>1.5335567901357386E-2</c:v>
                </c:pt>
                <c:pt idx="88">
                  <c:v>1.5600732583531365E-2</c:v>
                </c:pt>
                <c:pt idx="89">
                  <c:v>1.5867408195957607E-2</c:v>
                </c:pt>
                <c:pt idx="90">
                  <c:v>1.6135586226014319E-2</c:v>
                </c:pt>
                <c:pt idx="91">
                  <c:v>1.6405258303361155E-2</c:v>
                </c:pt>
                <c:pt idx="92">
                  <c:v>1.6676416196019367E-2</c:v>
                </c:pt>
                <c:pt idx="93">
                  <c:v>1.6949051806601369E-2</c:v>
                </c:pt>
                <c:pt idx="94">
                  <c:v>1.7223157168682598E-2</c:v>
                </c:pt>
                <c:pt idx="95">
                  <c:v>1.7498724443308914E-2</c:v>
                </c:pt>
                <c:pt idx="96">
                  <c:v>1.7775745915632985E-2</c:v>
                </c:pt>
                <c:pt idx="97">
                  <c:v>1.8054213991673604E-2</c:v>
                </c:pt>
                <c:pt idx="98">
                  <c:v>1.8334121195192312E-2</c:v>
                </c:pt>
                <c:pt idx="99">
                  <c:v>1.8615460164681852E-2</c:v>
                </c:pt>
                <c:pt idx="100">
                  <c:v>1.8898223650461361E-2</c:v>
                </c:pt>
                <c:pt idx="101">
                  <c:v>1.9182404511873443E-2</c:v>
                </c:pt>
                <c:pt idx="102">
                  <c:v>1.9467995714578759E-2</c:v>
                </c:pt>
                <c:pt idx="103">
                  <c:v>1.975499032794354E-2</c:v>
                </c:pt>
                <c:pt idx="104">
                  <c:v>2.0043381522516172E-2</c:v>
                </c:pt>
                <c:pt idx="105">
                  <c:v>2.0333162567588943E-2</c:v>
                </c:pt>
                <c:pt idx="106">
                  <c:v>2.0624326828841157E-2</c:v>
                </c:pt>
                <c:pt idx="107">
                  <c:v>2.0916867766060412E-2</c:v>
                </c:pt>
                <c:pt idx="108">
                  <c:v>2.1210778930938458E-2</c:v>
                </c:pt>
                <c:pt idx="109">
                  <c:v>2.1506053964938734E-2</c:v>
                </c:pt>
                <c:pt idx="110">
                  <c:v>2.1802686597232529E-2</c:v>
                </c:pt>
                <c:pt idx="111">
                  <c:v>2.2100670642700933E-2</c:v>
                </c:pt>
                <c:pt idx="112">
                  <c:v>2.2399999999999996E-2</c:v>
                </c:pt>
                <c:pt idx="113">
                  <c:v>2.2700668649686458E-2</c:v>
                </c:pt>
                <c:pt idx="114">
                  <c:v>2.3002670652401573E-2</c:v>
                </c:pt>
                <c:pt idx="115">
                  <c:v>2.3306000147111105E-2</c:v>
                </c:pt>
                <c:pt idx="116">
                  <c:v>2.3610651349398586E-2</c:v>
                </c:pt>
                <c:pt idx="117">
                  <c:v>2.3916618549810562E-2</c:v>
                </c:pt>
                <c:pt idx="118">
                  <c:v>2.4223896112251286E-2</c:v>
                </c:pt>
                <c:pt idx="119">
                  <c:v>2.4532478472425071E-2</c:v>
                </c:pt>
                <c:pt idx="120">
                  <c:v>2.4842360136324751E-2</c:v>
                </c:pt>
                <c:pt idx="121">
                  <c:v>2.5153535678764063E-2</c:v>
                </c:pt>
                <c:pt idx="122">
                  <c:v>2.5465999741952846E-2</c:v>
                </c:pt>
                <c:pt idx="123">
                  <c:v>2.5779747034112996E-2</c:v>
                </c:pt>
                <c:pt idx="124">
                  <c:v>2.6094772328133908E-2</c:v>
                </c:pt>
                <c:pt idx="125">
                  <c:v>2.6411070460266143E-2</c:v>
                </c:pt>
                <c:pt idx="126">
                  <c:v>2.6728636328851498E-2</c:v>
                </c:pt>
                <c:pt idx="127">
                  <c:v>2.7047464893088551E-2</c:v>
                </c:pt>
                <c:pt idx="128">
                  <c:v>2.7367551171832264E-2</c:v>
                </c:pt>
                <c:pt idx="129">
                  <c:v>2.7688890242426521E-2</c:v>
                </c:pt>
                <c:pt idx="130">
                  <c:v>2.8011477239568379E-2</c:v>
                </c:pt>
                <c:pt idx="131">
                  <c:v>2.8335307354202859E-2</c:v>
                </c:pt>
                <c:pt idx="132">
                  <c:v>2.8660375832447529E-2</c:v>
                </c:pt>
                <c:pt idx="133">
                  <c:v>2.8986677974545478E-2</c:v>
                </c:pt>
                <c:pt idx="134">
                  <c:v>2.9314209133845935E-2</c:v>
                </c:pt>
                <c:pt idx="135">
                  <c:v>2.9642964715811706E-2</c:v>
                </c:pt>
                <c:pt idx="136">
                  <c:v>2.9972940177052081E-2</c:v>
                </c:pt>
                <c:pt idx="137">
                  <c:v>3.0304131024381103E-2</c:v>
                </c:pt>
                <c:pt idx="138">
                  <c:v>3.0636532813899543E-2</c:v>
                </c:pt>
                <c:pt idx="139">
                  <c:v>3.0970141150100414E-2</c:v>
                </c:pt>
                <c:pt idx="140">
                  <c:v>3.1304951684997064E-2</c:v>
                </c:pt>
                <c:pt idx="141">
                  <c:v>3.1640960117272944E-2</c:v>
                </c:pt>
                <c:pt idx="142">
                  <c:v>3.1978162191452726E-2</c:v>
                </c:pt>
                <c:pt idx="143">
                  <c:v>3.2316553697093742E-2</c:v>
                </c:pt>
                <c:pt idx="144">
                  <c:v>3.2656130467997237E-2</c:v>
                </c:pt>
                <c:pt idx="145">
                  <c:v>3.2996888381438987E-2</c:v>
                </c:pt>
                <c:pt idx="146">
                  <c:v>3.3338823357418342E-2</c:v>
                </c:pt>
                <c:pt idx="147">
                  <c:v>3.3681931357925445E-2</c:v>
                </c:pt>
                <c:pt idx="148">
                  <c:v>3.4026208386225713E-2</c:v>
                </c:pt>
                <c:pt idx="149">
                  <c:v>3.4371650486161663E-2</c:v>
                </c:pt>
                <c:pt idx="150">
                  <c:v>3.471825374147066E-2</c:v>
                </c:pt>
              </c:numCache>
            </c:numRef>
          </c:yVal>
          <c:smooth val="1"/>
          <c:extLst>
            <c:ext xmlns:c16="http://schemas.microsoft.com/office/drawing/2014/chart" uri="{C3380CC4-5D6E-409C-BE32-E72D297353CC}">
              <c16:uniqueId val="{00000002-53D1-4006-8366-E2C9DA64EC11}"/>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Eff_vs_IOUT!$AY$8:$AY$157</c:f>
              <c:numCache>
                <c:formatCode>General</c:formatCode>
                <c:ptCount val="150"/>
                <c:pt idx="0">
                  <c:v>0.92983333333333329</c:v>
                </c:pt>
                <c:pt idx="1">
                  <c:v>0.9321666666666667</c:v>
                </c:pt>
                <c:pt idx="2">
                  <c:v>0.9345</c:v>
                </c:pt>
                <c:pt idx="3">
                  <c:v>0.9368333333333333</c:v>
                </c:pt>
                <c:pt idx="4">
                  <c:v>0.93916666666666671</c:v>
                </c:pt>
                <c:pt idx="5">
                  <c:v>0.9415</c:v>
                </c:pt>
                <c:pt idx="6">
                  <c:v>0.9438333333333333</c:v>
                </c:pt>
                <c:pt idx="7">
                  <c:v>0.94616666666666671</c:v>
                </c:pt>
                <c:pt idx="8">
                  <c:v>0.94850000000000001</c:v>
                </c:pt>
                <c:pt idx="9">
                  <c:v>0.95083333333333331</c:v>
                </c:pt>
                <c:pt idx="10">
                  <c:v>0.95316666666666661</c:v>
                </c:pt>
                <c:pt idx="11">
                  <c:v>0.95550000000000002</c:v>
                </c:pt>
                <c:pt idx="12">
                  <c:v>0.95783333333333331</c:v>
                </c:pt>
                <c:pt idx="13">
                  <c:v>0.96016666666666661</c:v>
                </c:pt>
                <c:pt idx="14">
                  <c:v>0.96250000000000002</c:v>
                </c:pt>
                <c:pt idx="15">
                  <c:v>0.96483333333333332</c:v>
                </c:pt>
                <c:pt idx="16">
                  <c:v>0.96716666666666662</c:v>
                </c:pt>
                <c:pt idx="17">
                  <c:v>0.96950000000000003</c:v>
                </c:pt>
                <c:pt idx="18">
                  <c:v>0.97183333333333333</c:v>
                </c:pt>
                <c:pt idx="19">
                  <c:v>0.97416666666666663</c:v>
                </c:pt>
                <c:pt idx="20">
                  <c:v>0.97650000000000003</c:v>
                </c:pt>
                <c:pt idx="21">
                  <c:v>0.97883333333333333</c:v>
                </c:pt>
                <c:pt idx="22">
                  <c:v>0.98116666666666663</c:v>
                </c:pt>
                <c:pt idx="23">
                  <c:v>0.98350000000000004</c:v>
                </c:pt>
                <c:pt idx="24">
                  <c:v>0.98583333333333334</c:v>
                </c:pt>
                <c:pt idx="25">
                  <c:v>0.98816666666666664</c:v>
                </c:pt>
                <c:pt idx="26">
                  <c:v>0.99049999999999994</c:v>
                </c:pt>
                <c:pt idx="27">
                  <c:v>0.99283333333333335</c:v>
                </c:pt>
                <c:pt idx="28">
                  <c:v>0.99516666666666664</c:v>
                </c:pt>
                <c:pt idx="29">
                  <c:v>0.99749999999999994</c:v>
                </c:pt>
                <c:pt idx="30">
                  <c:v>0.99983333333333335</c:v>
                </c:pt>
                <c:pt idx="31">
                  <c:v>1.0021666666666667</c:v>
                </c:pt>
                <c:pt idx="32">
                  <c:v>1.0044999999999999</c:v>
                </c:pt>
                <c:pt idx="33">
                  <c:v>1.0068333333333332</c:v>
                </c:pt>
                <c:pt idx="34">
                  <c:v>1.0091666666666668</c:v>
                </c:pt>
                <c:pt idx="35">
                  <c:v>1.0115000000000001</c:v>
                </c:pt>
                <c:pt idx="36">
                  <c:v>1.0138333333333334</c:v>
                </c:pt>
                <c:pt idx="37">
                  <c:v>1.0161666666666667</c:v>
                </c:pt>
                <c:pt idx="38">
                  <c:v>1.0185</c:v>
                </c:pt>
                <c:pt idx="39">
                  <c:v>1.0208333333333333</c:v>
                </c:pt>
                <c:pt idx="40">
                  <c:v>1.0231666666666666</c:v>
                </c:pt>
                <c:pt idx="41">
                  <c:v>1.0255000000000001</c:v>
                </c:pt>
                <c:pt idx="42">
                  <c:v>1.0278333333333334</c:v>
                </c:pt>
                <c:pt idx="43">
                  <c:v>1.0301666666666667</c:v>
                </c:pt>
                <c:pt idx="44">
                  <c:v>1.0325</c:v>
                </c:pt>
                <c:pt idx="45">
                  <c:v>1.0348333333333333</c:v>
                </c:pt>
                <c:pt idx="46">
                  <c:v>1.0371666666666666</c:v>
                </c:pt>
                <c:pt idx="47">
                  <c:v>1.0394999999999999</c:v>
                </c:pt>
                <c:pt idx="48">
                  <c:v>1.0418333333333334</c:v>
                </c:pt>
                <c:pt idx="49">
                  <c:v>1.0441666666666667</c:v>
                </c:pt>
                <c:pt idx="50">
                  <c:v>1.0465</c:v>
                </c:pt>
                <c:pt idx="51">
                  <c:v>1.0488333333333333</c:v>
                </c:pt>
                <c:pt idx="52">
                  <c:v>1.0511666666666666</c:v>
                </c:pt>
                <c:pt idx="53">
                  <c:v>1.0535000000000001</c:v>
                </c:pt>
                <c:pt idx="54">
                  <c:v>1.0558333333333334</c:v>
                </c:pt>
                <c:pt idx="55">
                  <c:v>1.0581666666666667</c:v>
                </c:pt>
                <c:pt idx="56">
                  <c:v>1.0605</c:v>
                </c:pt>
                <c:pt idx="57">
                  <c:v>1.0628333333333333</c:v>
                </c:pt>
                <c:pt idx="58">
                  <c:v>1.0651666666666666</c:v>
                </c:pt>
                <c:pt idx="59">
                  <c:v>1.0674999999999999</c:v>
                </c:pt>
                <c:pt idx="60">
                  <c:v>1.0698333333333334</c:v>
                </c:pt>
                <c:pt idx="61">
                  <c:v>1.0721666666666667</c:v>
                </c:pt>
                <c:pt idx="62">
                  <c:v>1.0745</c:v>
                </c:pt>
                <c:pt idx="63">
                  <c:v>1.0768333333333333</c:v>
                </c:pt>
                <c:pt idx="64">
                  <c:v>1.0791666666666666</c:v>
                </c:pt>
                <c:pt idx="65">
                  <c:v>1.0814999999999999</c:v>
                </c:pt>
                <c:pt idx="66">
                  <c:v>1.0838333333333332</c:v>
                </c:pt>
                <c:pt idx="67">
                  <c:v>1.0861666666666667</c:v>
                </c:pt>
                <c:pt idx="68">
                  <c:v>1.0885</c:v>
                </c:pt>
                <c:pt idx="69">
                  <c:v>1.0908333333333333</c:v>
                </c:pt>
                <c:pt idx="70">
                  <c:v>1.0931666666666666</c:v>
                </c:pt>
                <c:pt idx="71">
                  <c:v>1.0954999999999999</c:v>
                </c:pt>
                <c:pt idx="72">
                  <c:v>1.0978333333333334</c:v>
                </c:pt>
                <c:pt idx="73">
                  <c:v>1.1001666666666667</c:v>
                </c:pt>
                <c:pt idx="74">
                  <c:v>1.1025</c:v>
                </c:pt>
                <c:pt idx="75">
                  <c:v>1.1048333333333333</c:v>
                </c:pt>
                <c:pt idx="76">
                  <c:v>1.1071666666666666</c:v>
                </c:pt>
                <c:pt idx="77">
                  <c:v>1.1094999999999999</c:v>
                </c:pt>
                <c:pt idx="78">
                  <c:v>1.1118333333333332</c:v>
                </c:pt>
                <c:pt idx="79">
                  <c:v>1.1141666666666667</c:v>
                </c:pt>
                <c:pt idx="80">
                  <c:v>1.1165</c:v>
                </c:pt>
                <c:pt idx="81">
                  <c:v>1.1188333333333333</c:v>
                </c:pt>
                <c:pt idx="82">
                  <c:v>1.1211666666666666</c:v>
                </c:pt>
                <c:pt idx="83">
                  <c:v>1.1234999999999999</c:v>
                </c:pt>
                <c:pt idx="84">
                  <c:v>1.1258333333333332</c:v>
                </c:pt>
                <c:pt idx="85">
                  <c:v>1.1281666666666665</c:v>
                </c:pt>
                <c:pt idx="86">
                  <c:v>1.1305000000000001</c:v>
                </c:pt>
                <c:pt idx="87">
                  <c:v>1.1328333333333334</c:v>
                </c:pt>
                <c:pt idx="88">
                  <c:v>1.1351666666666667</c:v>
                </c:pt>
                <c:pt idx="89">
                  <c:v>1.1375</c:v>
                </c:pt>
                <c:pt idx="90">
                  <c:v>1.1398333333333333</c:v>
                </c:pt>
                <c:pt idx="91">
                  <c:v>1.1421666666666666</c:v>
                </c:pt>
                <c:pt idx="92">
                  <c:v>1.1445000000000001</c:v>
                </c:pt>
                <c:pt idx="93">
                  <c:v>1.1468333333333334</c:v>
                </c:pt>
                <c:pt idx="94">
                  <c:v>1.1491666666666667</c:v>
                </c:pt>
                <c:pt idx="95">
                  <c:v>1.1515</c:v>
                </c:pt>
                <c:pt idx="96">
                  <c:v>1.1538333333333333</c:v>
                </c:pt>
                <c:pt idx="97">
                  <c:v>1.1561666666666666</c:v>
                </c:pt>
                <c:pt idx="98">
                  <c:v>1.1585000000000001</c:v>
                </c:pt>
                <c:pt idx="99">
                  <c:v>1.1608333333333334</c:v>
                </c:pt>
                <c:pt idx="100">
                  <c:v>1.1631666666666667</c:v>
                </c:pt>
                <c:pt idx="101">
                  <c:v>1.1655</c:v>
                </c:pt>
                <c:pt idx="102">
                  <c:v>1.1678333333333333</c:v>
                </c:pt>
                <c:pt idx="103">
                  <c:v>1.1701666666666666</c:v>
                </c:pt>
                <c:pt idx="104">
                  <c:v>1.1724999999999999</c:v>
                </c:pt>
                <c:pt idx="105">
                  <c:v>1.1748333333333334</c:v>
                </c:pt>
                <c:pt idx="106">
                  <c:v>1.1771666666666667</c:v>
                </c:pt>
                <c:pt idx="107">
                  <c:v>1.1795</c:v>
                </c:pt>
                <c:pt idx="108">
                  <c:v>1.1818333333333333</c:v>
                </c:pt>
                <c:pt idx="109">
                  <c:v>1.1841666666666666</c:v>
                </c:pt>
                <c:pt idx="110">
                  <c:v>1.1865000000000001</c:v>
                </c:pt>
                <c:pt idx="111">
                  <c:v>1.1888333333333332</c:v>
                </c:pt>
                <c:pt idx="112">
                  <c:v>1.1911666666666667</c:v>
                </c:pt>
                <c:pt idx="113">
                  <c:v>1.1935</c:v>
                </c:pt>
                <c:pt idx="114">
                  <c:v>1.1958333333333333</c:v>
                </c:pt>
                <c:pt idx="115">
                  <c:v>1.1981666666666666</c:v>
                </c:pt>
                <c:pt idx="116">
                  <c:v>1.2004999999999999</c:v>
                </c:pt>
                <c:pt idx="117">
                  <c:v>1.2028333333333334</c:v>
                </c:pt>
                <c:pt idx="118">
                  <c:v>1.2051666666666667</c:v>
                </c:pt>
                <c:pt idx="119">
                  <c:v>1.2075</c:v>
                </c:pt>
                <c:pt idx="120">
                  <c:v>1.2098333333333333</c:v>
                </c:pt>
                <c:pt idx="121">
                  <c:v>1.2121666666666666</c:v>
                </c:pt>
                <c:pt idx="122">
                  <c:v>1.2144999999999999</c:v>
                </c:pt>
                <c:pt idx="123">
                  <c:v>1.2168333333333332</c:v>
                </c:pt>
                <c:pt idx="124">
                  <c:v>1.2191666666666667</c:v>
                </c:pt>
                <c:pt idx="125">
                  <c:v>1.2215</c:v>
                </c:pt>
                <c:pt idx="126">
                  <c:v>1.2238333333333333</c:v>
                </c:pt>
                <c:pt idx="127">
                  <c:v>1.2261666666666666</c:v>
                </c:pt>
                <c:pt idx="128">
                  <c:v>1.2284999999999999</c:v>
                </c:pt>
                <c:pt idx="129">
                  <c:v>1.2308333333333334</c:v>
                </c:pt>
                <c:pt idx="130">
                  <c:v>1.2331666666666665</c:v>
                </c:pt>
                <c:pt idx="131">
                  <c:v>1.2355</c:v>
                </c:pt>
                <c:pt idx="132">
                  <c:v>1.2378333333333333</c:v>
                </c:pt>
                <c:pt idx="133">
                  <c:v>1.2401666666666666</c:v>
                </c:pt>
                <c:pt idx="134">
                  <c:v>1.2424999999999999</c:v>
                </c:pt>
                <c:pt idx="135">
                  <c:v>1.2448333333333332</c:v>
                </c:pt>
                <c:pt idx="136">
                  <c:v>1.2471666666666668</c:v>
                </c:pt>
                <c:pt idx="137">
                  <c:v>1.2495000000000001</c:v>
                </c:pt>
                <c:pt idx="138">
                  <c:v>1.2518333333333334</c:v>
                </c:pt>
                <c:pt idx="139">
                  <c:v>1.2541666666666667</c:v>
                </c:pt>
                <c:pt idx="140">
                  <c:v>1.2565</c:v>
                </c:pt>
                <c:pt idx="141">
                  <c:v>1.2588333333333332</c:v>
                </c:pt>
                <c:pt idx="142">
                  <c:v>1.2611666666666665</c:v>
                </c:pt>
                <c:pt idx="143">
                  <c:v>1.2635000000000001</c:v>
                </c:pt>
                <c:pt idx="144">
                  <c:v>1.2658333333333334</c:v>
                </c:pt>
                <c:pt idx="145">
                  <c:v>1.2681666666666667</c:v>
                </c:pt>
                <c:pt idx="146">
                  <c:v>1.2705</c:v>
                </c:pt>
                <c:pt idx="147">
                  <c:v>1.2728333333333333</c:v>
                </c:pt>
                <c:pt idx="148">
                  <c:v>1.2751666666666666</c:v>
                </c:pt>
                <c:pt idx="149">
                  <c:v>1.2774999999999999</c:v>
                </c:pt>
              </c:numCache>
            </c:numRef>
          </c:yVal>
          <c:smooth val="1"/>
          <c:extLst>
            <c:ext xmlns:c16="http://schemas.microsoft.com/office/drawing/2014/chart" uri="{C3380CC4-5D6E-409C-BE32-E72D297353CC}">
              <c16:uniqueId val="{00000003-53D1-4006-8366-E2C9DA64EC11}"/>
            </c:ext>
          </c:extLst>
        </c:ser>
        <c:ser>
          <c:idx val="4"/>
          <c:order val="4"/>
          <c:tx>
            <c:v>D2</c:v>
          </c:tx>
          <c:marker>
            <c:symbol val="none"/>
          </c:marker>
          <c:xVal>
            <c:numRef>
              <c:f>Eff_vs_IOUT!$R$8:$R$157</c:f>
              <c:numCache>
                <c:formatCode>General</c:formatCode>
                <c:ptCount val="150"/>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pt idx="14">
                  <c:v>3.75</c:v>
                </c:pt>
                <c:pt idx="15">
                  <c:v>4</c:v>
                </c:pt>
                <c:pt idx="16">
                  <c:v>4.25</c:v>
                </c:pt>
                <c:pt idx="17">
                  <c:v>4.5</c:v>
                </c:pt>
                <c:pt idx="18">
                  <c:v>4.75</c:v>
                </c:pt>
                <c:pt idx="19">
                  <c:v>5</c:v>
                </c:pt>
                <c:pt idx="20">
                  <c:v>5.25</c:v>
                </c:pt>
                <c:pt idx="21">
                  <c:v>5.5</c:v>
                </c:pt>
                <c:pt idx="22">
                  <c:v>5.75</c:v>
                </c:pt>
                <c:pt idx="23">
                  <c:v>6</c:v>
                </c:pt>
                <c:pt idx="24">
                  <c:v>6.25</c:v>
                </c:pt>
                <c:pt idx="25">
                  <c:v>6.5</c:v>
                </c:pt>
                <c:pt idx="26">
                  <c:v>6.75</c:v>
                </c:pt>
                <c:pt idx="27">
                  <c:v>7</c:v>
                </c:pt>
                <c:pt idx="28">
                  <c:v>7.25</c:v>
                </c:pt>
                <c:pt idx="29">
                  <c:v>7.5</c:v>
                </c:pt>
                <c:pt idx="30">
                  <c:v>7.75</c:v>
                </c:pt>
                <c:pt idx="31">
                  <c:v>8</c:v>
                </c:pt>
                <c:pt idx="32">
                  <c:v>8.25</c:v>
                </c:pt>
                <c:pt idx="33">
                  <c:v>8.5</c:v>
                </c:pt>
                <c:pt idx="34">
                  <c:v>8.75</c:v>
                </c:pt>
                <c:pt idx="35">
                  <c:v>9</c:v>
                </c:pt>
                <c:pt idx="36">
                  <c:v>9.25</c:v>
                </c:pt>
                <c:pt idx="37">
                  <c:v>9.5</c:v>
                </c:pt>
                <c:pt idx="38">
                  <c:v>9.75</c:v>
                </c:pt>
                <c:pt idx="39">
                  <c:v>10</c:v>
                </c:pt>
                <c:pt idx="40">
                  <c:v>10.25</c:v>
                </c:pt>
                <c:pt idx="41">
                  <c:v>10.5</c:v>
                </c:pt>
                <c:pt idx="42">
                  <c:v>10.75</c:v>
                </c:pt>
                <c:pt idx="43">
                  <c:v>11</c:v>
                </c:pt>
                <c:pt idx="44">
                  <c:v>11.25</c:v>
                </c:pt>
                <c:pt idx="45">
                  <c:v>11.5</c:v>
                </c:pt>
                <c:pt idx="46">
                  <c:v>11.75</c:v>
                </c:pt>
                <c:pt idx="47">
                  <c:v>12</c:v>
                </c:pt>
                <c:pt idx="48">
                  <c:v>12.25</c:v>
                </c:pt>
                <c:pt idx="49">
                  <c:v>12.5</c:v>
                </c:pt>
                <c:pt idx="50">
                  <c:v>12.75</c:v>
                </c:pt>
                <c:pt idx="51">
                  <c:v>13</c:v>
                </c:pt>
                <c:pt idx="52">
                  <c:v>13.25</c:v>
                </c:pt>
                <c:pt idx="53">
                  <c:v>13.5</c:v>
                </c:pt>
                <c:pt idx="54">
                  <c:v>13.75</c:v>
                </c:pt>
                <c:pt idx="55">
                  <c:v>14</c:v>
                </c:pt>
                <c:pt idx="56">
                  <c:v>14.25</c:v>
                </c:pt>
                <c:pt idx="57">
                  <c:v>14.5</c:v>
                </c:pt>
                <c:pt idx="58">
                  <c:v>14.75</c:v>
                </c:pt>
                <c:pt idx="59">
                  <c:v>15</c:v>
                </c:pt>
                <c:pt idx="60">
                  <c:v>15.25</c:v>
                </c:pt>
                <c:pt idx="61">
                  <c:v>15.5</c:v>
                </c:pt>
                <c:pt idx="62">
                  <c:v>15.75</c:v>
                </c:pt>
                <c:pt idx="63">
                  <c:v>16</c:v>
                </c:pt>
                <c:pt idx="64">
                  <c:v>16.25</c:v>
                </c:pt>
                <c:pt idx="65">
                  <c:v>16.5</c:v>
                </c:pt>
                <c:pt idx="66">
                  <c:v>16.75</c:v>
                </c:pt>
                <c:pt idx="67">
                  <c:v>17</c:v>
                </c:pt>
                <c:pt idx="68">
                  <c:v>17.25</c:v>
                </c:pt>
                <c:pt idx="69">
                  <c:v>17.5</c:v>
                </c:pt>
                <c:pt idx="70">
                  <c:v>17.75</c:v>
                </c:pt>
                <c:pt idx="71">
                  <c:v>18</c:v>
                </c:pt>
                <c:pt idx="72">
                  <c:v>18.25</c:v>
                </c:pt>
                <c:pt idx="73">
                  <c:v>18.5</c:v>
                </c:pt>
                <c:pt idx="74">
                  <c:v>18.75</c:v>
                </c:pt>
                <c:pt idx="75">
                  <c:v>19</c:v>
                </c:pt>
                <c:pt idx="76">
                  <c:v>19.25</c:v>
                </c:pt>
                <c:pt idx="77">
                  <c:v>19.5</c:v>
                </c:pt>
                <c:pt idx="78">
                  <c:v>19.75</c:v>
                </c:pt>
                <c:pt idx="79">
                  <c:v>20</c:v>
                </c:pt>
                <c:pt idx="80">
                  <c:v>20.25</c:v>
                </c:pt>
                <c:pt idx="81">
                  <c:v>20.5</c:v>
                </c:pt>
                <c:pt idx="82">
                  <c:v>20.75</c:v>
                </c:pt>
                <c:pt idx="83">
                  <c:v>21</c:v>
                </c:pt>
                <c:pt idx="84">
                  <c:v>21.25</c:v>
                </c:pt>
                <c:pt idx="85">
                  <c:v>21.5</c:v>
                </c:pt>
                <c:pt idx="86">
                  <c:v>21.75</c:v>
                </c:pt>
                <c:pt idx="87">
                  <c:v>22</c:v>
                </c:pt>
                <c:pt idx="88">
                  <c:v>22.25</c:v>
                </c:pt>
                <c:pt idx="89">
                  <c:v>22.5</c:v>
                </c:pt>
                <c:pt idx="90">
                  <c:v>22.75</c:v>
                </c:pt>
                <c:pt idx="91">
                  <c:v>23</c:v>
                </c:pt>
                <c:pt idx="92">
                  <c:v>23.25</c:v>
                </c:pt>
                <c:pt idx="93">
                  <c:v>23.5</c:v>
                </c:pt>
                <c:pt idx="94">
                  <c:v>23.75</c:v>
                </c:pt>
                <c:pt idx="95">
                  <c:v>24</c:v>
                </c:pt>
                <c:pt idx="96">
                  <c:v>24.25</c:v>
                </c:pt>
                <c:pt idx="97">
                  <c:v>24.5</c:v>
                </c:pt>
                <c:pt idx="98">
                  <c:v>24.75</c:v>
                </c:pt>
                <c:pt idx="99">
                  <c:v>25</c:v>
                </c:pt>
                <c:pt idx="100">
                  <c:v>25.25</c:v>
                </c:pt>
                <c:pt idx="101">
                  <c:v>25.5</c:v>
                </c:pt>
                <c:pt idx="102">
                  <c:v>25.75</c:v>
                </c:pt>
                <c:pt idx="103">
                  <c:v>26</c:v>
                </c:pt>
                <c:pt idx="104">
                  <c:v>26.25</c:v>
                </c:pt>
                <c:pt idx="105">
                  <c:v>26.5</c:v>
                </c:pt>
                <c:pt idx="106">
                  <c:v>26.75</c:v>
                </c:pt>
                <c:pt idx="107">
                  <c:v>27</c:v>
                </c:pt>
                <c:pt idx="108">
                  <c:v>27.25</c:v>
                </c:pt>
                <c:pt idx="109">
                  <c:v>27.5</c:v>
                </c:pt>
                <c:pt idx="110">
                  <c:v>27.75</c:v>
                </c:pt>
                <c:pt idx="111">
                  <c:v>28</c:v>
                </c:pt>
                <c:pt idx="112">
                  <c:v>28.25</c:v>
                </c:pt>
                <c:pt idx="113">
                  <c:v>28.5</c:v>
                </c:pt>
                <c:pt idx="114">
                  <c:v>28.75</c:v>
                </c:pt>
                <c:pt idx="115">
                  <c:v>29</c:v>
                </c:pt>
                <c:pt idx="116">
                  <c:v>29.25</c:v>
                </c:pt>
                <c:pt idx="117">
                  <c:v>29.5</c:v>
                </c:pt>
                <c:pt idx="118">
                  <c:v>29.75</c:v>
                </c:pt>
                <c:pt idx="119">
                  <c:v>30</c:v>
                </c:pt>
                <c:pt idx="120">
                  <c:v>30.25</c:v>
                </c:pt>
                <c:pt idx="121">
                  <c:v>30.5</c:v>
                </c:pt>
                <c:pt idx="122">
                  <c:v>30.75</c:v>
                </c:pt>
                <c:pt idx="123">
                  <c:v>31</c:v>
                </c:pt>
                <c:pt idx="124">
                  <c:v>31.25</c:v>
                </c:pt>
                <c:pt idx="125">
                  <c:v>31.5</c:v>
                </c:pt>
                <c:pt idx="126">
                  <c:v>31.75</c:v>
                </c:pt>
                <c:pt idx="127">
                  <c:v>32</c:v>
                </c:pt>
                <c:pt idx="128">
                  <c:v>32.25</c:v>
                </c:pt>
                <c:pt idx="129">
                  <c:v>32.5</c:v>
                </c:pt>
                <c:pt idx="130">
                  <c:v>32.75</c:v>
                </c:pt>
                <c:pt idx="131">
                  <c:v>33</c:v>
                </c:pt>
                <c:pt idx="132">
                  <c:v>33.25</c:v>
                </c:pt>
                <c:pt idx="133">
                  <c:v>33.5</c:v>
                </c:pt>
                <c:pt idx="134">
                  <c:v>33.75</c:v>
                </c:pt>
                <c:pt idx="135">
                  <c:v>34</c:v>
                </c:pt>
                <c:pt idx="136">
                  <c:v>34.25</c:v>
                </c:pt>
                <c:pt idx="137">
                  <c:v>34.5</c:v>
                </c:pt>
                <c:pt idx="138">
                  <c:v>34.75</c:v>
                </c:pt>
                <c:pt idx="139">
                  <c:v>35</c:v>
                </c:pt>
                <c:pt idx="140">
                  <c:v>35.25</c:v>
                </c:pt>
                <c:pt idx="141">
                  <c:v>35.5</c:v>
                </c:pt>
                <c:pt idx="142">
                  <c:v>35.75</c:v>
                </c:pt>
                <c:pt idx="143">
                  <c:v>36</c:v>
                </c:pt>
                <c:pt idx="144">
                  <c:v>36.25</c:v>
                </c:pt>
                <c:pt idx="145">
                  <c:v>36.5</c:v>
                </c:pt>
                <c:pt idx="146">
                  <c:v>36.75</c:v>
                </c:pt>
                <c:pt idx="147">
                  <c:v>37</c:v>
                </c:pt>
                <c:pt idx="148">
                  <c:v>37.25</c:v>
                </c:pt>
                <c:pt idx="149">
                  <c:v>37.5</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53D1-4006-8366-E2C9DA64EC11}"/>
            </c:ext>
          </c:extLst>
        </c:ser>
        <c:ser>
          <c:idx val="5"/>
          <c:order val="5"/>
          <c:tx>
            <c:v>D3</c:v>
          </c:tx>
          <c:marker>
            <c:symbol val="none"/>
          </c:marker>
          <c:xVal>
            <c:numRef>
              <c:f>Eff_vs_IOUT!$R$8:$R$157</c:f>
              <c:numCache>
                <c:formatCode>General</c:formatCode>
                <c:ptCount val="150"/>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pt idx="14">
                  <c:v>3.75</c:v>
                </c:pt>
                <c:pt idx="15">
                  <c:v>4</c:v>
                </c:pt>
                <c:pt idx="16">
                  <c:v>4.25</c:v>
                </c:pt>
                <c:pt idx="17">
                  <c:v>4.5</c:v>
                </c:pt>
                <c:pt idx="18">
                  <c:v>4.75</c:v>
                </c:pt>
                <c:pt idx="19">
                  <c:v>5</c:v>
                </c:pt>
                <c:pt idx="20">
                  <c:v>5.25</c:v>
                </c:pt>
                <c:pt idx="21">
                  <c:v>5.5</c:v>
                </c:pt>
                <c:pt idx="22">
                  <c:v>5.75</c:v>
                </c:pt>
                <c:pt idx="23">
                  <c:v>6</c:v>
                </c:pt>
                <c:pt idx="24">
                  <c:v>6.25</c:v>
                </c:pt>
                <c:pt idx="25">
                  <c:v>6.5</c:v>
                </c:pt>
                <c:pt idx="26">
                  <c:v>6.75</c:v>
                </c:pt>
                <c:pt idx="27">
                  <c:v>7</c:v>
                </c:pt>
                <c:pt idx="28">
                  <c:v>7.25</c:v>
                </c:pt>
                <c:pt idx="29">
                  <c:v>7.5</c:v>
                </c:pt>
                <c:pt idx="30">
                  <c:v>7.75</c:v>
                </c:pt>
                <c:pt idx="31">
                  <c:v>8</c:v>
                </c:pt>
                <c:pt idx="32">
                  <c:v>8.25</c:v>
                </c:pt>
                <c:pt idx="33">
                  <c:v>8.5</c:v>
                </c:pt>
                <c:pt idx="34">
                  <c:v>8.75</c:v>
                </c:pt>
                <c:pt idx="35">
                  <c:v>9</c:v>
                </c:pt>
                <c:pt idx="36">
                  <c:v>9.25</c:v>
                </c:pt>
                <c:pt idx="37">
                  <c:v>9.5</c:v>
                </c:pt>
                <c:pt idx="38">
                  <c:v>9.75</c:v>
                </c:pt>
                <c:pt idx="39">
                  <c:v>10</c:v>
                </c:pt>
                <c:pt idx="40">
                  <c:v>10.25</c:v>
                </c:pt>
                <c:pt idx="41">
                  <c:v>10.5</c:v>
                </c:pt>
                <c:pt idx="42">
                  <c:v>10.75</c:v>
                </c:pt>
                <c:pt idx="43">
                  <c:v>11</c:v>
                </c:pt>
                <c:pt idx="44">
                  <c:v>11.25</c:v>
                </c:pt>
                <c:pt idx="45">
                  <c:v>11.5</c:v>
                </c:pt>
                <c:pt idx="46">
                  <c:v>11.75</c:v>
                </c:pt>
                <c:pt idx="47">
                  <c:v>12</c:v>
                </c:pt>
                <c:pt idx="48">
                  <c:v>12.25</c:v>
                </c:pt>
                <c:pt idx="49">
                  <c:v>12.5</c:v>
                </c:pt>
                <c:pt idx="50">
                  <c:v>12.75</c:v>
                </c:pt>
                <c:pt idx="51">
                  <c:v>13</c:v>
                </c:pt>
                <c:pt idx="52">
                  <c:v>13.25</c:v>
                </c:pt>
                <c:pt idx="53">
                  <c:v>13.5</c:v>
                </c:pt>
                <c:pt idx="54">
                  <c:v>13.75</c:v>
                </c:pt>
                <c:pt idx="55">
                  <c:v>14</c:v>
                </c:pt>
                <c:pt idx="56">
                  <c:v>14.25</c:v>
                </c:pt>
                <c:pt idx="57">
                  <c:v>14.5</c:v>
                </c:pt>
                <c:pt idx="58">
                  <c:v>14.75</c:v>
                </c:pt>
                <c:pt idx="59">
                  <c:v>15</c:v>
                </c:pt>
                <c:pt idx="60">
                  <c:v>15.25</c:v>
                </c:pt>
                <c:pt idx="61">
                  <c:v>15.5</c:v>
                </c:pt>
                <c:pt idx="62">
                  <c:v>15.75</c:v>
                </c:pt>
                <c:pt idx="63">
                  <c:v>16</c:v>
                </c:pt>
                <c:pt idx="64">
                  <c:v>16.25</c:v>
                </c:pt>
                <c:pt idx="65">
                  <c:v>16.5</c:v>
                </c:pt>
                <c:pt idx="66">
                  <c:v>16.75</c:v>
                </c:pt>
                <c:pt idx="67">
                  <c:v>17</c:v>
                </c:pt>
                <c:pt idx="68">
                  <c:v>17.25</c:v>
                </c:pt>
                <c:pt idx="69">
                  <c:v>17.5</c:v>
                </c:pt>
                <c:pt idx="70">
                  <c:v>17.75</c:v>
                </c:pt>
                <c:pt idx="71">
                  <c:v>18</c:v>
                </c:pt>
                <c:pt idx="72">
                  <c:v>18.25</c:v>
                </c:pt>
                <c:pt idx="73">
                  <c:v>18.5</c:v>
                </c:pt>
                <c:pt idx="74">
                  <c:v>18.75</c:v>
                </c:pt>
                <c:pt idx="75">
                  <c:v>19</c:v>
                </c:pt>
                <c:pt idx="76">
                  <c:v>19.25</c:v>
                </c:pt>
                <c:pt idx="77">
                  <c:v>19.5</c:v>
                </c:pt>
                <c:pt idx="78">
                  <c:v>19.75</c:v>
                </c:pt>
                <c:pt idx="79">
                  <c:v>20</c:v>
                </c:pt>
                <c:pt idx="80">
                  <c:v>20.25</c:v>
                </c:pt>
                <c:pt idx="81">
                  <c:v>20.5</c:v>
                </c:pt>
                <c:pt idx="82">
                  <c:v>20.75</c:v>
                </c:pt>
                <c:pt idx="83">
                  <c:v>21</c:v>
                </c:pt>
                <c:pt idx="84">
                  <c:v>21.25</c:v>
                </c:pt>
                <c:pt idx="85">
                  <c:v>21.5</c:v>
                </c:pt>
                <c:pt idx="86">
                  <c:v>21.75</c:v>
                </c:pt>
                <c:pt idx="87">
                  <c:v>22</c:v>
                </c:pt>
                <c:pt idx="88">
                  <c:v>22.25</c:v>
                </c:pt>
                <c:pt idx="89">
                  <c:v>22.5</c:v>
                </c:pt>
                <c:pt idx="90">
                  <c:v>22.75</c:v>
                </c:pt>
                <c:pt idx="91">
                  <c:v>23</c:v>
                </c:pt>
                <c:pt idx="92">
                  <c:v>23.25</c:v>
                </c:pt>
                <c:pt idx="93">
                  <c:v>23.5</c:v>
                </c:pt>
                <c:pt idx="94">
                  <c:v>23.75</c:v>
                </c:pt>
                <c:pt idx="95">
                  <c:v>24</c:v>
                </c:pt>
                <c:pt idx="96">
                  <c:v>24.25</c:v>
                </c:pt>
                <c:pt idx="97">
                  <c:v>24.5</c:v>
                </c:pt>
                <c:pt idx="98">
                  <c:v>24.75</c:v>
                </c:pt>
                <c:pt idx="99">
                  <c:v>25</c:v>
                </c:pt>
                <c:pt idx="100">
                  <c:v>25.25</c:v>
                </c:pt>
                <c:pt idx="101">
                  <c:v>25.5</c:v>
                </c:pt>
                <c:pt idx="102">
                  <c:v>25.75</c:v>
                </c:pt>
                <c:pt idx="103">
                  <c:v>26</c:v>
                </c:pt>
                <c:pt idx="104">
                  <c:v>26.25</c:v>
                </c:pt>
                <c:pt idx="105">
                  <c:v>26.5</c:v>
                </c:pt>
                <c:pt idx="106">
                  <c:v>26.75</c:v>
                </c:pt>
                <c:pt idx="107">
                  <c:v>27</c:v>
                </c:pt>
                <c:pt idx="108">
                  <c:v>27.25</c:v>
                </c:pt>
                <c:pt idx="109">
                  <c:v>27.5</c:v>
                </c:pt>
                <c:pt idx="110">
                  <c:v>27.75</c:v>
                </c:pt>
                <c:pt idx="111">
                  <c:v>28</c:v>
                </c:pt>
                <c:pt idx="112">
                  <c:v>28.25</c:v>
                </c:pt>
                <c:pt idx="113">
                  <c:v>28.5</c:v>
                </c:pt>
                <c:pt idx="114">
                  <c:v>28.75</c:v>
                </c:pt>
                <c:pt idx="115">
                  <c:v>29</c:v>
                </c:pt>
                <c:pt idx="116">
                  <c:v>29.25</c:v>
                </c:pt>
                <c:pt idx="117">
                  <c:v>29.5</c:v>
                </c:pt>
                <c:pt idx="118">
                  <c:v>29.75</c:v>
                </c:pt>
                <c:pt idx="119">
                  <c:v>30</c:v>
                </c:pt>
                <c:pt idx="120">
                  <c:v>30.25</c:v>
                </c:pt>
                <c:pt idx="121">
                  <c:v>30.5</c:v>
                </c:pt>
                <c:pt idx="122">
                  <c:v>30.75</c:v>
                </c:pt>
                <c:pt idx="123">
                  <c:v>31</c:v>
                </c:pt>
                <c:pt idx="124">
                  <c:v>31.25</c:v>
                </c:pt>
                <c:pt idx="125">
                  <c:v>31.5</c:v>
                </c:pt>
                <c:pt idx="126">
                  <c:v>31.75</c:v>
                </c:pt>
                <c:pt idx="127">
                  <c:v>32</c:v>
                </c:pt>
                <c:pt idx="128">
                  <c:v>32.25</c:v>
                </c:pt>
                <c:pt idx="129">
                  <c:v>32.5</c:v>
                </c:pt>
                <c:pt idx="130">
                  <c:v>32.75</c:v>
                </c:pt>
                <c:pt idx="131">
                  <c:v>33</c:v>
                </c:pt>
                <c:pt idx="132">
                  <c:v>33.25</c:v>
                </c:pt>
                <c:pt idx="133">
                  <c:v>33.5</c:v>
                </c:pt>
                <c:pt idx="134">
                  <c:v>33.75</c:v>
                </c:pt>
                <c:pt idx="135">
                  <c:v>34</c:v>
                </c:pt>
                <c:pt idx="136">
                  <c:v>34.25</c:v>
                </c:pt>
                <c:pt idx="137">
                  <c:v>34.5</c:v>
                </c:pt>
                <c:pt idx="138">
                  <c:v>34.75</c:v>
                </c:pt>
                <c:pt idx="139">
                  <c:v>35</c:v>
                </c:pt>
                <c:pt idx="140">
                  <c:v>35.25</c:v>
                </c:pt>
                <c:pt idx="141">
                  <c:v>35.5</c:v>
                </c:pt>
                <c:pt idx="142">
                  <c:v>35.75</c:v>
                </c:pt>
                <c:pt idx="143">
                  <c:v>36</c:v>
                </c:pt>
                <c:pt idx="144">
                  <c:v>36.25</c:v>
                </c:pt>
                <c:pt idx="145">
                  <c:v>36.5</c:v>
                </c:pt>
                <c:pt idx="146">
                  <c:v>36.75</c:v>
                </c:pt>
                <c:pt idx="147">
                  <c:v>37</c:v>
                </c:pt>
                <c:pt idx="148">
                  <c:v>37.25</c:v>
                </c:pt>
                <c:pt idx="149">
                  <c:v>37.5</c:v>
                </c:pt>
              </c:numCache>
            </c:numRef>
          </c:xVal>
          <c:yVal>
            <c:numRef>
              <c:f>Eff_vs_IOUT!$BT$8:$BT$157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5-53D1-4006-8366-E2C9DA64EC11}"/>
            </c:ext>
          </c:extLst>
        </c:ser>
        <c:dLbls>
          <c:showLegendKey val="0"/>
          <c:showVal val="0"/>
          <c:showCatName val="0"/>
          <c:showSerName val="0"/>
          <c:showPercent val="0"/>
          <c:showBubbleSize val="0"/>
        </c:dLbls>
        <c:axId val="586827264"/>
        <c:axId val="586476928"/>
      </c:scatterChart>
      <c:valAx>
        <c:axId val="586473472"/>
        <c:scaling>
          <c:orientation val="minMax"/>
        </c:scaling>
        <c:delete val="0"/>
        <c:axPos val="b"/>
        <c:majorGridlines/>
        <c:numFmt formatCode="General" sourceLinked="1"/>
        <c:majorTickMark val="out"/>
        <c:minorTickMark val="none"/>
        <c:tickLblPos val="nextTo"/>
        <c:crossAx val="586475008"/>
        <c:crosses val="autoZero"/>
        <c:crossBetween val="midCat"/>
      </c:valAx>
      <c:valAx>
        <c:axId val="586475008"/>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6473472"/>
        <c:crosses val="autoZero"/>
        <c:crossBetween val="midCat"/>
      </c:valAx>
      <c:valAx>
        <c:axId val="58647692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6827264"/>
        <c:crosses val="max"/>
        <c:crossBetween val="midCat"/>
      </c:valAx>
      <c:valAx>
        <c:axId val="586827264"/>
        <c:scaling>
          <c:orientation val="minMax"/>
        </c:scaling>
        <c:delete val="1"/>
        <c:axPos val="b"/>
        <c:title>
          <c:tx>
            <c:rich>
              <a:bodyPr/>
              <a:lstStyle/>
              <a:p>
                <a:pPr>
                  <a:defRPr sz="700"/>
                </a:pPr>
                <a:r>
                  <a:rPr lang="en-US" sz="1200" b="1" i="0" baseline="0">
                    <a:effectLst/>
                  </a:rPr>
                  <a:t>P</a:t>
                </a:r>
                <a:r>
                  <a:rPr lang="en-US" sz="1200" b="1" i="0" baseline="-25000">
                    <a:effectLst/>
                  </a:rPr>
                  <a:t>OUT</a:t>
                </a:r>
                <a:r>
                  <a:rPr lang="en-US" sz="1200" b="1" i="0" baseline="0">
                    <a:effectLst/>
                  </a:rPr>
                  <a:t> (W)</a:t>
                </a:r>
                <a:endParaRPr lang="en-US" sz="700">
                  <a:effectLst/>
                </a:endParaRPr>
              </a:p>
            </c:rich>
          </c:tx>
          <c:overlay val="0"/>
        </c:title>
        <c:numFmt formatCode="General" sourceLinked="1"/>
        <c:majorTickMark val="out"/>
        <c:minorTickMark val="none"/>
        <c:tickLblPos val="nextTo"/>
        <c:crossAx val="586476928"/>
        <c:crosses val="autoZero"/>
        <c:crossBetween val="midCat"/>
      </c:valAx>
    </c:plotArea>
    <c:legend>
      <c:legendPos val="r"/>
      <c:layout>
        <c:manualLayout>
          <c:xMode val="edge"/>
          <c:yMode val="edge"/>
          <c:x val="0.49723111871774606"/>
          <c:y val="6.4861313959085187E-3"/>
          <c:w val="0.41972466868865133"/>
          <c:h val="0.12461147870492213"/>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Non-Isolated Loop Response</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8.7413438847232044E-2"/>
          <c:y val="8.915804101931861E-2"/>
          <c:w val="0.85835006662757141"/>
          <c:h val="0.76159168715027026"/>
        </c:manualLayout>
      </c:layout>
      <c:scatterChart>
        <c:scatterStyle val="smoothMarker"/>
        <c:varyColors val="0"/>
        <c:ser>
          <c:idx val="0"/>
          <c:order val="0"/>
          <c:tx>
            <c:v>Gain (dB)</c:v>
          </c:tx>
          <c:spPr>
            <a:ln w="28575">
              <a:solidFill>
                <a:srgbClr val="FF0000"/>
              </a:solidFill>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CCM_Loop_Modeling_non_isolated!$AT$19:$AT$560</c:f>
              <c:numCache>
                <c:formatCode>0.000</c:formatCode>
                <c:ptCount val="542"/>
                <c:pt idx="0">
                  <c:v>89.767229455848025</c:v>
                </c:pt>
                <c:pt idx="1">
                  <c:v>89.436209605095684</c:v>
                </c:pt>
                <c:pt idx="2">
                  <c:v>89.103169118964516</c:v>
                </c:pt>
                <c:pt idx="3">
                  <c:v>88.768141340640824</c:v>
                </c:pt>
                <c:pt idx="4">
                  <c:v>88.43116105238542</c:v>
                </c:pt>
                <c:pt idx="5">
                  <c:v>88.092264365661464</c:v>
                </c:pt>
                <c:pt idx="6">
                  <c:v>87.751488610324174</c:v>
                </c:pt>
                <c:pt idx="7">
                  <c:v>87.408872223597612</c:v>
                </c:pt>
                <c:pt idx="8">
                  <c:v>87.064454639533167</c:v>
                </c:pt>
                <c:pt idx="9">
                  <c:v>86.718276179604601</c:v>
                </c:pt>
                <c:pt idx="10">
                  <c:v>86.370377945055466</c:v>
                </c:pt>
                <c:pt idx="11">
                  <c:v>86.020801711563578</c:v>
                </c:pt>
                <c:pt idx="12">
                  <c:v>85.66958982674366</c:v>
                </c:pt>
                <c:pt idx="13">
                  <c:v>85.316785110953589</c:v>
                </c:pt>
                <c:pt idx="14">
                  <c:v>84.962430761819093</c:v>
                </c:pt>
                <c:pt idx="15">
                  <c:v>84.606570262839057</c:v>
                </c:pt>
                <c:pt idx="16">
                  <c:v>84.249247296380332</c:v>
                </c:pt>
                <c:pt idx="17">
                  <c:v>83.890505661318855</c:v>
                </c:pt>
                <c:pt idx="18">
                  <c:v>83.530389195535335</c:v>
                </c:pt>
                <c:pt idx="19">
                  <c:v>83.168941703423968</c:v>
                </c:pt>
                <c:pt idx="20">
                  <c:v>82.806206888526859</c:v>
                </c:pt>
                <c:pt idx="21">
                  <c:v>82.442228291366249</c:v>
                </c:pt>
                <c:pt idx="22">
                  <c:v>82.077049232503697</c:v>
                </c:pt>
                <c:pt idx="23">
                  <c:v>81.710712760820343</c:v>
                </c:pt>
                <c:pt idx="24">
                  <c:v>81.343261606979183</c:v>
                </c:pt>
                <c:pt idx="25">
                  <c:v>80.97473814199914</c:v>
                </c:pt>
                <c:pt idx="26">
                  <c:v>80.605184340846293</c:v>
                </c:pt>
                <c:pt idx="27">
                  <c:v>80.234641750920446</c:v>
                </c:pt>
                <c:pt idx="28">
                  <c:v>79.863151465301272</c:v>
                </c:pt>
                <c:pt idx="29">
                  <c:v>79.490754100594472</c:v>
                </c:pt>
                <c:pt idx="30">
                  <c:v>79.117489779210445</c:v>
                </c:pt>
                <c:pt idx="31">
                  <c:v>78.743398115892077</c:v>
                </c:pt>
                <c:pt idx="32">
                  <c:v>78.368518208304195</c:v>
                </c:pt>
                <c:pt idx="33">
                  <c:v>77.992888631485968</c:v>
                </c:pt>
                <c:pt idx="34">
                  <c:v>77.616547435968087</c:v>
                </c:pt>
                <c:pt idx="35">
                  <c:v>77.239532149351206</c:v>
                </c:pt>
                <c:pt idx="36">
                  <c:v>76.861879781142903</c:v>
                </c:pt>
                <c:pt idx="37">
                  <c:v>76.483626830651474</c:v>
                </c:pt>
                <c:pt idx="38">
                  <c:v>76.104809297735926</c:v>
                </c:pt>
                <c:pt idx="39">
                  <c:v>75.725462696216681</c:v>
                </c:pt>
                <c:pt idx="40">
                  <c:v>75.345622069753858</c:v>
                </c:pt>
                <c:pt idx="41">
                  <c:v>74.96532201000602</c:v>
                </c:pt>
                <c:pt idx="42">
                  <c:v>74.584596676886065</c:v>
                </c:pt>
                <c:pt idx="43">
                  <c:v>74.203479820739972</c:v>
                </c:pt>
                <c:pt idx="44">
                  <c:v>73.822004806274407</c:v>
                </c:pt>
                <c:pt idx="45">
                  <c:v>73.440204638071862</c:v>
                </c:pt>
                <c:pt idx="46">
                  <c:v>73.058111987532172</c:v>
                </c:pt>
                <c:pt idx="47">
                  <c:v>72.675759221088441</c:v>
                </c:pt>
                <c:pt idx="48">
                  <c:v>72.293178429549329</c:v>
                </c:pt>
                <c:pt idx="49">
                  <c:v>71.910401458426762</c:v>
                </c:pt>
                <c:pt idx="50">
                  <c:v>71.527459939109391</c:v>
                </c:pt>
                <c:pt idx="51">
                  <c:v>71.144385320750487</c:v>
                </c:pt>
                <c:pt idx="52">
                  <c:v>70.761208902740862</c:v>
                </c:pt>
                <c:pt idx="53">
                  <c:v>70.377961867639016</c:v>
                </c:pt>
                <c:pt idx="54">
                  <c:v>69.994675314436762</c:v>
                </c:pt>
                <c:pt idx="55">
                  <c:v>69.611380292038731</c:v>
                </c:pt>
                <c:pt idx="56">
                  <c:v>69.228107832834581</c:v>
                </c:pt>
                <c:pt idx="57">
                  <c:v>68.844888986244698</c:v>
                </c:pt>
                <c:pt idx="58">
                  <c:v>68.461754852120663</c:v>
                </c:pt>
                <c:pt idx="59">
                  <c:v>68.078736613879087</c:v>
                </c:pt>
                <c:pt idx="60">
                  <c:v>67.695865571248277</c:v>
                </c:pt>
                <c:pt idx="61">
                  <c:v>67.313173172502786</c:v>
                </c:pt>
                <c:pt idx="62">
                  <c:v>66.930691046060218</c:v>
                </c:pt>
                <c:pt idx="63">
                  <c:v>66.548451031310975</c:v>
                </c:pt>
                <c:pt idx="64">
                  <c:v>66.166485208545865</c:v>
                </c:pt>
                <c:pt idx="65">
                  <c:v>65.784825927845546</c:v>
                </c:pt>
                <c:pt idx="66">
                  <c:v>65.403505836786849</c:v>
                </c:pt>
                <c:pt idx="67">
                  <c:v>65.022557906819372</c:v>
                </c:pt>
                <c:pt idx="68">
                  <c:v>64.642015458157857</c:v>
                </c:pt>
                <c:pt idx="69">
                  <c:v>64.261912183030645</c:v>
                </c:pt>
                <c:pt idx="70">
                  <c:v>63.882282167118099</c:v>
                </c:pt>
                <c:pt idx="71">
                  <c:v>63.503159909010108</c:v>
                </c:pt>
                <c:pt idx="72">
                  <c:v>63.124580337503374</c:v>
                </c:pt>
                <c:pt idx="73">
                  <c:v>62.746578826555691</c:v>
                </c:pt>
                <c:pt idx="74">
                  <c:v>62.369191207707573</c:v>
                </c:pt>
                <c:pt idx="75">
                  <c:v>61.992453779777051</c:v>
                </c:pt>
                <c:pt idx="76">
                  <c:v>61.616403315628389</c:v>
                </c:pt>
                <c:pt idx="77">
                  <c:v>61.241077065813386</c:v>
                </c:pt>
                <c:pt idx="78">
                  <c:v>60.866512758880191</c:v>
                </c:pt>
                <c:pt idx="79">
                  <c:v>60.492748598143777</c:v>
                </c:pt>
                <c:pt idx="80">
                  <c:v>60.119823254712443</c:v>
                </c:pt>
                <c:pt idx="81">
                  <c:v>59.747775856566633</c:v>
                </c:pt>
                <c:pt idx="82">
                  <c:v>59.376645973490056</c:v>
                </c:pt>
                <c:pt idx="83">
                  <c:v>59.006473597659564</c:v>
                </c:pt>
                <c:pt idx="84">
                  <c:v>58.637299119706512</c:v>
                </c:pt>
                <c:pt idx="85">
                  <c:v>58.269163300076379</c:v>
                </c:pt>
                <c:pt idx="86">
                  <c:v>57.902107235523701</c:v>
                </c:pt>
                <c:pt idx="87">
                  <c:v>57.536172320597871</c:v>
                </c:pt>
                <c:pt idx="88">
                  <c:v>57.171400203993343</c:v>
                </c:pt>
                <c:pt idx="89">
                  <c:v>56.807832739663397</c:v>
                </c:pt>
                <c:pt idx="90">
                  <c:v>56.445511932618203</c:v>
                </c:pt>
                <c:pt idx="91">
                  <c:v>56.084479879360757</c:v>
                </c:pt>
                <c:pt idx="92">
                  <c:v>55.724778702948718</c:v>
                </c:pt>
                <c:pt idx="93">
                  <c:v>55.366450482699598</c:v>
                </c:pt>
                <c:pt idx="94">
                  <c:v>55.009537178603686</c:v>
                </c:pt>
                <c:pt idx="95">
                  <c:v>54.654080550548187</c:v>
                </c:pt>
                <c:pt idx="96">
                  <c:v>54.300122072500059</c:v>
                </c:pt>
                <c:pt idx="97">
                  <c:v>53.947702841845441</c:v>
                </c:pt>
                <c:pt idx="98">
                  <c:v>53.59686348413284</c:v>
                </c:pt>
                <c:pt idx="99">
                  <c:v>53.247644053515472</c:v>
                </c:pt>
                <c:pt idx="100">
                  <c:v>52.900083929247444</c:v>
                </c:pt>
                <c:pt idx="101">
                  <c:v>52.554221708632021</c:v>
                </c:pt>
                <c:pt idx="102">
                  <c:v>52.210095096881645</c:v>
                </c:pt>
                <c:pt idx="103">
                  <c:v>51.867740794392944</c:v>
                </c:pt>
                <c:pt idx="104">
                  <c:v>51.527194381996189</c:v>
                </c:pt>
                <c:pt idx="105">
                  <c:v>51.188490204777281</c:v>
                </c:pt>
                <c:pt idx="106">
                  <c:v>50.851661255122096</c:v>
                </c:pt>
                <c:pt idx="107">
                  <c:v>50.51673905566161</c:v>
                </c:pt>
                <c:pt idx="108">
                  <c:v>50.183753542835504</c:v>
                </c:pt>
                <c:pt idx="109">
                  <c:v>49.852732951815206</c:v>
                </c:pt>
                <c:pt idx="110">
                  <c:v>49.523703703546012</c:v>
                </c:pt>
                <c:pt idx="111">
                  <c:v>49.196690294678945</c:v>
                </c:pt>
                <c:pt idx="112">
                  <c:v>48.871715191166565</c:v>
                </c:pt>
                <c:pt idx="113">
                  <c:v>48.548798726288069</c:v>
                </c:pt>
                <c:pt idx="114">
                  <c:v>48.227959003855183</c:v>
                </c:pt>
                <c:pt idx="115">
                  <c:v>47.909211807323111</c:v>
                </c:pt>
                <c:pt idx="116">
                  <c:v>47.592570515497322</c:v>
                </c:pt>
                <c:pt idx="117">
                  <c:v>47.278046025480513</c:v>
                </c:pt>
                <c:pt idx="118">
                  <c:v>46.96564668345264</c:v>
                </c:pt>
                <c:pt idx="119">
                  <c:v>46.655378223814019</c:v>
                </c:pt>
                <c:pt idx="120">
                  <c:v>46.347243717151798</c:v>
                </c:pt>
                <c:pt idx="121">
                  <c:v>46.041243527415219</c:v>
                </c:pt>
                <c:pt idx="122">
                  <c:v>45.737375278600879</c:v>
                </c:pt>
                <c:pt idx="123">
                  <c:v>45.435633831164608</c:v>
                </c:pt>
                <c:pt idx="124">
                  <c:v>45.136011268286254</c:v>
                </c:pt>
                <c:pt idx="125">
                  <c:v>44.838496892021823</c:v>
                </c:pt>
                <c:pt idx="126">
                  <c:v>44.543077229285188</c:v>
                </c:pt>
                <c:pt idx="127">
                  <c:v>44.249736047513018</c:v>
                </c:pt>
                <c:pt idx="128">
                  <c:v>43.958454379773677</c:v>
                </c:pt>
                <c:pt idx="129">
                  <c:v>43.669210559001328</c:v>
                </c:pt>
                <c:pt idx="130">
                  <c:v>43.381980260953377</c:v>
                </c:pt>
                <c:pt idx="131">
                  <c:v>43.096736555417003</c:v>
                </c:pt>
                <c:pt idx="132">
                  <c:v>42.813449965126111</c:v>
                </c:pt>
                <c:pt idx="133">
                  <c:v>42.532088531790166</c:v>
                </c:pt>
                <c:pt idx="134">
                  <c:v>42.252617888588624</c:v>
                </c:pt>
                <c:pt idx="135">
                  <c:v>41.97500133844607</c:v>
                </c:pt>
                <c:pt idx="136">
                  <c:v>41.699199937369883</c:v>
                </c:pt>
                <c:pt idx="137">
                  <c:v>41.42517258211862</c:v>
                </c:pt>
                <c:pt idx="138">
                  <c:v>41.152876101451866</c:v>
                </c:pt>
                <c:pt idx="139">
                  <c:v>40.882265350218489</c:v>
                </c:pt>
                <c:pt idx="140">
                  <c:v>40.61329330554355</c:v>
                </c:pt>
                <c:pt idx="141">
                  <c:v>40.345911164396533</c:v>
                </c:pt>
                <c:pt idx="142">
                  <c:v>40.080068441844993</c:v>
                </c:pt>
                <c:pt idx="143">
                  <c:v>39.815713069333285</c:v>
                </c:pt>
                <c:pt idx="144">
                  <c:v>39.552791492365024</c:v>
                </c:pt>
                <c:pt idx="145">
                  <c:v>39.291248767011837</c:v>
                </c:pt>
                <c:pt idx="146">
                  <c:v>39.03102865472362</c:v>
                </c:pt>
                <c:pt idx="147">
                  <c:v>38.772073714965963</c:v>
                </c:pt>
                <c:pt idx="148">
                  <c:v>38.514325395270369</c:v>
                </c:pt>
                <c:pt idx="149">
                  <c:v>38.257724118339972</c:v>
                </c:pt>
                <c:pt idx="150">
                  <c:v>38.002209365914048</c:v>
                </c:pt>
                <c:pt idx="151">
                  <c:v>37.747719759155288</c:v>
                </c:pt>
                <c:pt idx="152">
                  <c:v>37.494193135384883</c:v>
                </c:pt>
                <c:pt idx="153">
                  <c:v>37.241566621048406</c:v>
                </c:pt>
                <c:pt idx="154">
                  <c:v>36.989776700853788</c:v>
                </c:pt>
                <c:pt idx="155">
                  <c:v>36.738759283080313</c:v>
                </c:pt>
                <c:pt idx="156">
                  <c:v>36.488449761107894</c:v>
                </c:pt>
                <c:pt idx="157">
                  <c:v>36.238783071268038</c:v>
                </c:pt>
                <c:pt idx="158">
                  <c:v>35.989693747164779</c:v>
                </c:pt>
                <c:pt idx="159">
                  <c:v>35.74111597065734</c:v>
                </c:pt>
                <c:pt idx="160">
                  <c:v>35.492983619736265</c:v>
                </c:pt>
                <c:pt idx="161">
                  <c:v>35.245230313559873</c:v>
                </c:pt>
                <c:pt idx="162">
                  <c:v>34.997789454952418</c:v>
                </c:pt>
                <c:pt idx="163">
                  <c:v>34.750594270690407</c:v>
                </c:pt>
                <c:pt idx="164">
                  <c:v>34.503577849928874</c:v>
                </c:pt>
                <c:pt idx="165">
                  <c:v>34.25667318114008</c:v>
                </c:pt>
                <c:pt idx="166">
                  <c:v>34.009813187950051</c:v>
                </c:pt>
                <c:pt idx="167">
                  <c:v>33.762930764271971</c:v>
                </c:pt>
                <c:pt idx="168">
                  <c:v>33.515958809142361</c:v>
                </c:pt>
                <c:pt idx="169">
                  <c:v>33.268830261666992</c:v>
                </c:pt>
                <c:pt idx="170">
                  <c:v>33.021478136484532</c:v>
                </c:pt>
                <c:pt idx="171">
                  <c:v>32.773835560149649</c:v>
                </c:pt>
                <c:pt idx="172">
                  <c:v>32.525835808826415</c:v>
                </c:pt>
                <c:pt idx="173">
                  <c:v>32.277412347670918</c:v>
                </c:pt>
                <c:pt idx="174">
                  <c:v>32.02849887226315</c:v>
                </c:pt>
                <c:pt idx="175">
                  <c:v>31.779029352424768</c:v>
                </c:pt>
                <c:pt idx="176">
                  <c:v>31.528938078735109</c:v>
                </c:pt>
                <c:pt idx="177">
                  <c:v>31.278159712025918</c:v>
                </c:pt>
                <c:pt idx="178">
                  <c:v>31.026629336100903</c:v>
                </c:pt>
                <c:pt idx="179">
                  <c:v>30.774282513888561</c:v>
                </c:pt>
                <c:pt idx="180">
                  <c:v>30.521055347193453</c:v>
                </c:pt>
                <c:pt idx="181">
                  <c:v>30.26688454016589</c:v>
                </c:pt>
                <c:pt idx="182">
                  <c:v>30.011707466561571</c:v>
                </c:pt>
                <c:pt idx="183">
                  <c:v>29.755462240809049</c:v>
                </c:pt>
                <c:pt idx="184">
                  <c:v>29.498087792848928</c:v>
                </c:pt>
                <c:pt idx="185">
                  <c:v>29.239523946651644</c:v>
                </c:pt>
                <c:pt idx="186">
                  <c:v>28.979711502261779</c:v>
                </c:pt>
                <c:pt idx="187">
                  <c:v>28.718592321155686</c:v>
                </c:pt>
                <c:pt idx="188">
                  <c:v>28.45610941464059</c:v>
                </c:pt>
                <c:pt idx="189">
                  <c:v>28.19220703496044</c:v>
                </c:pt>
                <c:pt idx="190">
                  <c:v>27.926830768716471</c:v>
                </c:pt>
                <c:pt idx="191">
                  <c:v>27.659927632150158</c:v>
                </c:pt>
                <c:pt idx="192">
                  <c:v>27.391446167784686</c:v>
                </c:pt>
                <c:pt idx="193">
                  <c:v>27.121336541863606</c:v>
                </c:pt>
                <c:pt idx="194">
                  <c:v>26.849550641984294</c:v>
                </c:pt>
                <c:pt idx="195">
                  <c:v>26.576042174278406</c:v>
                </c:pt>
                <c:pt idx="196">
                  <c:v>26.300766759453424</c:v>
                </c:pt>
                <c:pt idx="197">
                  <c:v>26.023682026989121</c:v>
                </c:pt>
                <c:pt idx="198">
                  <c:v>25.744747706749749</c:v>
                </c:pt>
                <c:pt idx="199">
                  <c:v>25.463925717270477</c:v>
                </c:pt>
                <c:pt idx="200">
                  <c:v>25.181180249969707</c:v>
                </c:pt>
                <c:pt idx="201">
                  <c:v>24.896477848541572</c:v>
                </c:pt>
                <c:pt idx="202">
                  <c:v>24.609787482804361</c:v>
                </c:pt>
                <c:pt idx="203">
                  <c:v>24.321080616302432</c:v>
                </c:pt>
                <c:pt idx="204">
                  <c:v>24.030331266996178</c:v>
                </c:pt>
                <c:pt idx="205">
                  <c:v>23.737516060418663</c:v>
                </c:pt>
                <c:pt idx="206">
                  <c:v>23.442614274733206</c:v>
                </c:pt>
                <c:pt idx="207">
                  <c:v>23.14560787718694</c:v>
                </c:pt>
                <c:pt idx="208">
                  <c:v>22.846481551526328</c:v>
                </c:pt>
                <c:pt idx="209">
                  <c:v>22.545222716018799</c:v>
                </c:pt>
                <c:pt idx="210">
                  <c:v>22.241821531805151</c:v>
                </c:pt>
                <c:pt idx="211">
                  <c:v>21.936270901396107</c:v>
                </c:pt>
                <c:pt idx="212">
                  <c:v>21.628566457214141</c:v>
                </c:pt>
                <c:pt idx="213">
                  <c:v>21.31870654017694</c:v>
                </c:pt>
                <c:pt idx="214">
                  <c:v>21.006692168405856</c:v>
                </c:pt>
                <c:pt idx="215">
                  <c:v>20.692526996237468</c:v>
                </c:pt>
                <c:pt idx="216">
                  <c:v>20.376217263801351</c:v>
                </c:pt>
                <c:pt idx="217">
                  <c:v>20.057771737511757</c:v>
                </c:pt>
                <c:pt idx="218">
                  <c:v>19.737201641901244</c:v>
                </c:pt>
                <c:pt idx="219">
                  <c:v>19.414520583292592</c:v>
                </c:pt>
                <c:pt idx="220">
                  <c:v>19.089744465874286</c:v>
                </c:pt>
                <c:pt idx="221">
                  <c:v>18.762891400799766</c:v>
                </c:pt>
                <c:pt idx="222">
                  <c:v>18.433981608977771</c:v>
                </c:pt>
                <c:pt idx="223">
                  <c:v>18.103037318260938</c:v>
                </c:pt>
                <c:pt idx="224">
                  <c:v>17.770082655769919</c:v>
                </c:pt>
                <c:pt idx="225">
                  <c:v>17.435143536107976</c:v>
                </c:pt>
                <c:pt idx="226">
                  <c:v>17.098247546231391</c:v>
                </c:pt>
                <c:pt idx="227">
                  <c:v>16.759423827745213</c:v>
                </c:pt>
                <c:pt idx="228">
                  <c:v>16.418702957381363</c:v>
                </c:pt>
                <c:pt idx="229">
                  <c:v>16.076116826404494</c:v>
                </c:pt>
                <c:pt idx="230">
                  <c:v>15.731698519664821</c:v>
                </c:pt>
                <c:pt idx="231">
                  <c:v>15.385482194988862</c:v>
                </c:pt>
                <c:pt idx="232">
                  <c:v>15.037502963561886</c:v>
                </c:pt>
                <c:pt idx="233">
                  <c:v>14.687796771915536</c:v>
                </c:pt>
                <c:pt idx="234">
                  <c:v>14.336400286087706</c:v>
                </c:pt>
                <c:pt idx="235">
                  <c:v>13.983350778476439</c:v>
                </c:pt>
                <c:pt idx="236">
                  <c:v>13.628686017853219</c:v>
                </c:pt>
                <c:pt idx="237">
                  <c:v>13.272444162956612</c:v>
                </c:pt>
                <c:pt idx="238">
                  <c:v>12.914663660026545</c:v>
                </c:pt>
                <c:pt idx="239">
                  <c:v>12.555383144592206</c:v>
                </c:pt>
                <c:pt idx="240">
                  <c:v>12.194641347772075</c:v>
                </c:pt>
                <c:pt idx="241">
                  <c:v>11.832477007293733</c:v>
                </c:pt>
                <c:pt idx="242">
                  <c:v>11.468928783395047</c:v>
                </c:pt>
                <c:pt idx="243">
                  <c:v>11.104035179716711</c:v>
                </c:pt>
                <c:pt idx="244">
                  <c:v>10.737834469258427</c:v>
                </c:pt>
                <c:pt idx="245">
                  <c:v>10.370364625425132</c:v>
                </c:pt>
                <c:pt idx="246">
                  <c:v>10.001663258155739</c:v>
                </c:pt>
                <c:pt idx="247">
                  <c:v>9.6317675550892172</c:v>
                </c:pt>
                <c:pt idx="248">
                  <c:v>9.2607142276962264</c:v>
                </c:pt>
                <c:pt idx="249">
                  <c:v>8.8885394622719662</c:v>
                </c:pt>
                <c:pt idx="250">
                  <c:v>8.5152788756668123</c:v>
                </c:pt>
                <c:pt idx="251">
                  <c:v>8.1409674756066401</c:v>
                </c:pt>
                <c:pt idx="252">
                  <c:v>7.765639625440091</c:v>
                </c:pt>
                <c:pt idx="253">
                  <c:v>7.3893290131340317</c:v>
                </c:pt>
                <c:pt idx="254">
                  <c:v>7.012068624325889</c:v>
                </c:pt>
                <c:pt idx="255">
                  <c:v>6.6338907192361543</c:v>
                </c:pt>
                <c:pt idx="256">
                  <c:v>6.2548268132349936</c:v>
                </c:pt>
                <c:pt idx="257">
                  <c:v>5.8749076608514272</c:v>
                </c:pt>
                <c:pt idx="258">
                  <c:v>5.4941632430172671</c:v>
                </c:pt>
                <c:pt idx="259">
                  <c:v>5.1126227573306515</c:v>
                </c:pt>
                <c:pt idx="260">
                  <c:v>4.7303146111316874</c:v>
                </c:pt>
                <c:pt idx="261">
                  <c:v>4.3472664171802542</c:v>
                </c:pt>
                <c:pt idx="262">
                  <c:v>3.963504991735245</c:v>
                </c:pt>
                <c:pt idx="263">
                  <c:v>3.579056354835223</c:v>
                </c:pt>
                <c:pt idx="264">
                  <c:v>3.1939457325885168</c:v>
                </c:pt>
                <c:pt idx="265">
                  <c:v>2.8081975612896866</c:v>
                </c:pt>
                <c:pt idx="266">
                  <c:v>2.4218354931817796</c:v>
                </c:pt>
                <c:pt idx="267">
                  <c:v>2.0348824036950672</c:v>
                </c:pt>
                <c:pt idx="268">
                  <c:v>1.6473604000016588</c:v>
                </c:pt>
                <c:pt idx="269">
                  <c:v>1.2592908307304109</c:v>
                </c:pt>
                <c:pt idx="270">
                  <c:v>0.87069429669772513</c:v>
                </c:pt>
                <c:pt idx="271">
                  <c:v>0.48159066251687421</c:v>
                </c:pt>
                <c:pt idx="272">
                  <c:v>9.1999068958676808E-2</c:v>
                </c:pt>
                <c:pt idx="273">
                  <c:v>-0.29806205405976727</c:v>
                </c:pt>
                <c:pt idx="274">
                  <c:v>-0.68857497396632339</c:v>
                </c:pt>
                <c:pt idx="275">
                  <c:v>-1.0795226416136829</c:v>
                </c:pt>
                <c:pt idx="276">
                  <c:v>-1.4708886770418985</c:v>
                </c:pt>
                <c:pt idx="277">
                  <c:v>-1.8626573550139542</c:v>
                </c:pt>
                <c:pt idx="278">
                  <c:v>-2.2548135904076521</c:v>
                </c:pt>
                <c:pt idx="279">
                  <c:v>-2.6473429235385182</c:v>
                </c:pt>
                <c:pt idx="280">
                  <c:v>-3.0402315054849032</c:v>
                </c:pt>
                <c:pt idx="281">
                  <c:v>-3.4334660834775259</c:v>
                </c:pt>
                <c:pt idx="282">
                  <c:v>-3.8270339864126073</c:v>
                </c:pt>
                <c:pt idx="283">
                  <c:v>-4.220923110541376</c:v>
                </c:pt>
                <c:pt idx="284">
                  <c:v>-4.6151219053835373</c:v>
                </c:pt>
                <c:pt idx="285">
                  <c:v>-5.0096193599094638</c:v>
                </c:pt>
                <c:pt idx="286">
                  <c:v>-5.4044049890280901</c:v>
                </c:pt>
                <c:pt idx="287">
                  <c:v>-5.79946882041921</c:v>
                </c:pt>
                <c:pt idx="288">
                  <c:v>-6.1948013817391434</c:v>
                </c:pt>
                <c:pt idx="289">
                  <c:v>-6.5903936882296961</c:v>
                </c:pt>
                <c:pt idx="290">
                  <c:v>-6.986237230758312</c:v>
                </c:pt>
                <c:pt idx="291">
                  <c:v>-7.3823239643068188</c:v>
                </c:pt>
                <c:pt idx="292">
                  <c:v>-7.7786462969377137</c:v>
                </c:pt>
                <c:pt idx="293">
                  <c:v>-8.175197079247722</c:v>
                </c:pt>
                <c:pt idx="294">
                  <c:v>-8.5719695943335612</c:v>
                </c:pt>
                <c:pt idx="295">
                  <c:v>-8.9689575482791959</c:v>
                </c:pt>
                <c:pt idx="296">
                  <c:v>-9.3661550611812103</c:v>
                </c:pt>
                <c:pt idx="297">
                  <c:v>-9.7635566587247649</c:v>
                </c:pt>
                <c:pt idx="298">
                  <c:v>-10.161157264319872</c:v>
                </c:pt>
                <c:pt idx="299">
                  <c:v>-10.558952191812242</c:v>
                </c:pt>
                <c:pt idx="300">
                  <c:v>-10.956937138774363</c:v>
                </c:pt>
                <c:pt idx="301">
                  <c:v>-11.355108180390994</c:v>
                </c:pt>
                <c:pt idx="302">
                  <c:v>-11.753461763945358</c:v>
                </c:pt>
                <c:pt idx="303">
                  <c:v>-12.151994703917259</c:v>
                </c:pt>
                <c:pt idx="304">
                  <c:v>-12.550704177701611</c:v>
                </c:pt>
                <c:pt idx="305">
                  <c:v>-12.949587721957572</c:v>
                </c:pt>
                <c:pt idx="306">
                  <c:v>-13.348643229597219</c:v>
                </c:pt>
                <c:pt idx="307">
                  <c:v>-13.747868947425118</c:v>
                </c:pt>
                <c:pt idx="308">
                  <c:v>-14.147263474439772</c:v>
                </c:pt>
                <c:pt idx="309">
                  <c:v>-14.546825760807348</c:v>
                </c:pt>
                <c:pt idx="310">
                  <c:v>-14.946555107521275</c:v>
                </c:pt>
                <c:pt idx="311">
                  <c:v>-15.346451166760778</c:v>
                </c:pt>
                <c:pt idx="312">
                  <c:v>-15.746513942962498</c:v>
                </c:pt>
                <c:pt idx="313">
                  <c:v>-16.146743794621187</c:v>
                </c:pt>
                <c:pt idx="314">
                  <c:v>-16.547141436835894</c:v>
                </c:pt>
                <c:pt idx="315">
                  <c:v>-16.947707944619832</c:v>
                </c:pt>
                <c:pt idx="316">
                  <c:v>-17.348444756994411</c:v>
                </c:pt>
                <c:pt idx="317">
                  <c:v>-17.749353681887683</c:v>
                </c:pt>
                <c:pt idx="318">
                  <c:v>-18.150436901860342</c:v>
                </c:pt>
                <c:pt idx="319">
                  <c:v>-18.551696980685019</c:v>
                </c:pt>
                <c:pt idx="320">
                  <c:v>-18.953136870804045</c:v>
                </c:pt>
                <c:pt idx="321">
                  <c:v>-19.354759921694754</c:v>
                </c:pt>
                <c:pt idx="322">
                  <c:v>-19.756569889173843</c:v>
                </c:pt>
                <c:pt idx="323">
                  <c:v>-20.158570945671972</c:v>
                </c:pt>
                <c:pt idx="324">
                  <c:v>-20.560767691515881</c:v>
                </c:pt>
                <c:pt idx="325">
                  <c:v>-20.963165167252118</c:v>
                </c:pt>
                <c:pt idx="326">
                  <c:v>-21.365768867055412</c:v>
                </c:pt>
                <c:pt idx="327">
                  <c:v>-21.768584753262243</c:v>
                </c:pt>
                <c:pt idx="328">
                  <c:v>-22.171619272073613</c:v>
                </c:pt>
                <c:pt idx="329">
                  <c:v>-22.574879370475955</c:v>
                </c:pt>
                <c:pt idx="330">
                  <c:v>-22.978372514428031</c:v>
                </c:pt>
                <c:pt idx="331">
                  <c:v>-23.382106708367711</c:v>
                </c:pt>
                <c:pt idx="332">
                  <c:v>-23.786090516091292</c:v>
                </c:pt>
                <c:pt idx="333">
                  <c:v>-24.190333083064779</c:v>
                </c:pt>
                <c:pt idx="334">
                  <c:v>-24.594844160224675</c:v>
                </c:pt>
                <c:pt idx="335">
                  <c:v>-24.999634129330648</c:v>
                </c:pt>
                <c:pt idx="336">
                  <c:v>-25.404714029933572</c:v>
                </c:pt>
                <c:pt idx="337">
                  <c:v>-25.810095588024076</c:v>
                </c:pt>
                <c:pt idx="338">
                  <c:v>-26.215791246428601</c:v>
                </c:pt>
                <c:pt idx="339">
                  <c:v>-26.62181419701998</c:v>
                </c:pt>
                <c:pt idx="340">
                  <c:v>-27.028178414810991</c:v>
                </c:pt>
                <c:pt idx="341">
                  <c:v>-27.434898694000221</c:v>
                </c:pt>
                <c:pt idx="342">
                  <c:v>-27.841990686033821</c:v>
                </c:pt>
                <c:pt idx="343">
                  <c:v>-28.249470939753966</c:v>
                </c:pt>
                <c:pt idx="344">
                  <c:v>-28.657356943691102</c:v>
                </c:pt>
                <c:pt idx="345">
                  <c:v>-29.065667170563753</c:v>
                </c:pt>
                <c:pt idx="346">
                  <c:v>-29.474421124036919</c:v>
                </c:pt>
                <c:pt idx="347">
                  <c:v>-29.883639387785216</c:v>
                </c:pt>
                <c:pt idx="348">
                  <c:v>-30.293343676900658</c:v>
                </c:pt>
                <c:pt idx="349">
                  <c:v>-30.703556891671305</c:v>
                </c:pt>
                <c:pt idx="350">
                  <c:v>-31.114303173742801</c:v>
                </c:pt>
                <c:pt idx="351">
                  <c:v>-31.525607964662584</c:v>
                </c:pt>
                <c:pt idx="352">
                  <c:v>-31.937498066783363</c:v>
                </c:pt>
                <c:pt idx="353">
                  <c:v>-32.350001706480903</c:v>
                </c:pt>
                <c:pt idx="354">
                  <c:v>-32.763148599616386</c:v>
                </c:pt>
                <c:pt idx="355">
                  <c:v>-33.176970019136924</c:v>
                </c:pt>
                <c:pt idx="356">
                  <c:v>-33.591498864678535</c:v>
                </c:pt>
                <c:pt idx="357">
                  <c:v>-34.006769733988335</c:v>
                </c:pt>
                <c:pt idx="358">
                  <c:v>-34.422818995938805</c:v>
                </c:pt>
                <c:pt idx="359">
                  <c:v>-34.839684864849637</c:v>
                </c:pt>
                <c:pt idx="360">
                  <c:v>-35.25740747577548</c:v>
                </c:pt>
                <c:pt idx="361">
                  <c:v>-35.676028960345455</c:v>
                </c:pt>
                <c:pt idx="362">
                  <c:v>-36.095593522665233</c:v>
                </c:pt>
                <c:pt idx="363">
                  <c:v>-36.516147514708102</c:v>
                </c:pt>
                <c:pt idx="364">
                  <c:v>-36.937739510525134</c:v>
                </c:pt>
                <c:pt idx="365">
                  <c:v>-37.360420378503974</c:v>
                </c:pt>
                <c:pt idx="366">
                  <c:v>-37.784243350792941</c:v>
                </c:pt>
                <c:pt idx="367">
                  <c:v>-38.209264088884382</c:v>
                </c:pt>
                <c:pt idx="368">
                  <c:v>-38.635540744224947</c:v>
                </c:pt>
                <c:pt idx="369">
                  <c:v>-39.063134012579312</c:v>
                </c:pt>
                <c:pt idx="370">
                  <c:v>-39.49210718073148</c:v>
                </c:pt>
                <c:pt idx="371">
                  <c:v>-39.922526163957073</c:v>
                </c:pt>
                <c:pt idx="372">
                  <c:v>-40.354459532546073</c:v>
                </c:pt>
                <c:pt idx="373">
                  <c:v>-40.787978525499604</c:v>
                </c:pt>
                <c:pt idx="374">
                  <c:v>-41.2231570493731</c:v>
                </c:pt>
                <c:pt idx="375">
                  <c:v>-41.660071660087951</c:v>
                </c:pt>
                <c:pt idx="376">
                  <c:v>-42.09880152539877</c:v>
                </c:pt>
                <c:pt idx="377">
                  <c:v>-42.539428365578644</c:v>
                </c:pt>
                <c:pt idx="378">
                  <c:v>-42.98203636978478</c:v>
                </c:pt>
                <c:pt idx="379">
                  <c:v>-43.42671208549411</c:v>
                </c:pt>
                <c:pt idx="380">
                  <c:v>-43.873544278358196</c:v>
                </c:pt>
                <c:pt idx="381">
                  <c:v>-44.322623759835878</c:v>
                </c:pt>
                <c:pt idx="382">
                  <c:v>-44.774043180015468</c:v>
                </c:pt>
                <c:pt idx="383">
                  <c:v>-45.227896783160659</c:v>
                </c:pt>
                <c:pt idx="384">
                  <c:v>-45.684280123695899</c:v>
                </c:pt>
                <c:pt idx="385">
                  <c:v>-46.143289740618755</c:v>
                </c:pt>
                <c:pt idx="386">
                  <c:v>-46.605022788668144</c:v>
                </c:pt>
                <c:pt idx="387">
                  <c:v>-47.069576625027487</c:v>
                </c:pt>
                <c:pt idx="388">
                  <c:v>-47.537048350868304</c:v>
                </c:pt>
                <c:pt idx="389">
                  <c:v>-48.0075343076794</c:v>
                </c:pt>
                <c:pt idx="390">
                  <c:v>-48.481129529053931</c:v>
                </c:pt>
                <c:pt idx="391">
                  <c:v>-48.957927149426048</c:v>
                </c:pt>
                <c:pt idx="392">
                  <c:v>-49.438017772150658</c:v>
                </c:pt>
                <c:pt idx="393">
                  <c:v>-49.921488800292252</c:v>
                </c:pt>
                <c:pt idx="394">
                  <c:v>-50.408423734509228</c:v>
                </c:pt>
                <c:pt idx="395">
                  <c:v>-50.898901443467636</c:v>
                </c:pt>
                <c:pt idx="396">
                  <c:v>-51.39299541326811</c:v>
                </c:pt>
                <c:pt idx="397">
                  <c:v>-51.890772983386398</c:v>
                </c:pt>
                <c:pt idx="398">
                  <c:v>-52.392294577576813</c:v>
                </c:pt>
                <c:pt idx="399">
                  <c:v>-52.897612939037415</c:v>
                </c:pt>
                <c:pt idx="400">
                  <c:v>-53.406772379837655</c:v>
                </c:pt>
                <c:pt idx="401">
                  <c:v>-53.919808055144351</c:v>
                </c:pt>
                <c:pt idx="402">
                  <c:v>-54.436745273096783</c:v>
                </c:pt>
                <c:pt idx="403">
                  <c:v>-54.957598851265615</c:v>
                </c:pt>
                <c:pt idx="404">
                  <c:v>-55.482372530453155</c:v>
                </c:pt>
                <c:pt idx="405">
                  <c:v>-56.011058456142671</c:v>
                </c:pt>
                <c:pt idx="406">
                  <c:v>-56.543636737181785</c:v>
                </c:pt>
                <c:pt idx="407">
                  <c:v>-57.080075090296418</c:v>
                </c:pt>
                <c:pt idx="408">
                  <c:v>-57.620328577795455</c:v>
                </c:pt>
                <c:pt idx="409">
                  <c:v>-58.164339444374924</c:v>
                </c:pt>
                <c:pt idx="410">
                  <c:v>-58.712037057300954</c:v>
                </c:pt>
                <c:pt idx="411">
                  <c:v>-59.263337952496435</c:v>
                </c:pt>
                <c:pt idx="412">
                  <c:v>-59.818145987221172</c:v>
                </c:pt>
                <c:pt idx="413">
                  <c:v>-60.376352598191652</c:v>
                </c:pt>
                <c:pt idx="414">
                  <c:v>-60.937837162174716</c:v>
                </c:pt>
                <c:pt idx="415">
                  <c:v>-61.502467454383293</c:v>
                </c:pt>
                <c:pt idx="416">
                  <c:v>-62.070100198437089</c:v>
                </c:pt>
                <c:pt idx="417">
                  <c:v>-62.640581700279554</c:v>
                </c:pt>
                <c:pt idx="418">
                  <c:v>-63.21374855729853</c:v>
                </c:pt>
                <c:pt idx="419">
                  <c:v>-63.789428432998356</c:v>
                </c:pt>
                <c:pt idx="420">
                  <c:v>-64.367440886941097</c:v>
                </c:pt>
                <c:pt idx="421">
                  <c:v>-64.947598249302274</c:v>
                </c:pt>
                <c:pt idx="422">
                  <c:v>-65.52970652927543</c:v>
                </c:pt>
                <c:pt idx="423">
                  <c:v>-66.113566346690106</c:v>
                </c:pt>
                <c:pt idx="424">
                  <c:v>-66.698973876543434</c:v>
                </c:pt>
                <c:pt idx="425">
                  <c:v>-67.285721796681457</c:v>
                </c:pt>
                <c:pt idx="426">
                  <c:v>-67.873600229539775</c:v>
                </c:pt>
                <c:pt idx="427">
                  <c:v>-68.462397669644204</c:v>
                </c:pt>
                <c:pt idx="428">
                  <c:v>-69.051901889454072</c:v>
                </c:pt>
                <c:pt idx="429">
                  <c:v>-69.64190081704308</c:v>
                </c:pt>
                <c:pt idx="430">
                  <c:v>-70.232183380048809</c:v>
                </c:pt>
                <c:pt idx="431">
                  <c:v>-70.822540311245035</c:v>
                </c:pt>
                <c:pt idx="432">
                  <c:v>-71.41276491197371</c:v>
                </c:pt>
                <c:pt idx="433">
                  <c:v>-72.00265377051079</c:v>
                </c:pt>
                <c:pt idx="434">
                  <c:v>-72.592007433198205</c:v>
                </c:pt>
                <c:pt idx="435">
                  <c:v>-73.180631026870657</c:v>
                </c:pt>
                <c:pt idx="436">
                  <c:v>-73.76833483171086</c:v>
                </c:pt>
                <c:pt idx="437">
                  <c:v>-74.354934804194528</c:v>
                </c:pt>
                <c:pt idx="438">
                  <c:v>-74.940253050236393</c:v>
                </c:pt>
                <c:pt idx="439">
                  <c:v>-75.524118249018443</c:v>
                </c:pt>
                <c:pt idx="440">
                  <c:v>-76.106366028291731</c:v>
                </c:pt>
                <c:pt idx="441">
                  <c:v>-76.686839292180849</c:v>
                </c:pt>
                <c:pt idx="442">
                  <c:v>-77.265388502715965</c:v>
                </c:pt>
                <c:pt idx="443">
                  <c:v>-77.841871916461486</c:v>
                </c:pt>
                <c:pt idx="444">
                  <c:v>-78.41615577772339</c:v>
                </c:pt>
                <c:pt idx="445">
                  <c:v>-78.988114469897027</c:v>
                </c:pt>
                <c:pt idx="446">
                  <c:v>-79.557630626581144</c:v>
                </c:pt>
                <c:pt idx="447">
                  <c:v>-80.124595204125654</c:v>
                </c:pt>
                <c:pt idx="448">
                  <c:v>-80.688907517320644</c:v>
                </c:pt>
                <c:pt idx="449">
                  <c:v>-81.25047523995832</c:v>
                </c:pt>
                <c:pt idx="450">
                  <c:v>-81.809214372028421</c:v>
                </c:pt>
                <c:pt idx="451">
                  <c:v>-82.365049175331308</c:v>
                </c:pt>
                <c:pt idx="452">
                  <c:v>-82.917912079315386</c:v>
                </c:pt>
                <c:pt idx="453">
                  <c:v>-83.467743558974831</c:v>
                </c:pt>
                <c:pt idx="454">
                  <c:v>-84.014491986665149</c:v>
                </c:pt>
                <c:pt idx="455">
                  <c:v>-84.558113459718527</c:v>
                </c:pt>
                <c:pt idx="456">
                  <c:v>-85.098571605767731</c:v>
                </c:pt>
                <c:pt idx="457">
                  <c:v>-85.635837367706102</c:v>
                </c:pt>
                <c:pt idx="458">
                  <c:v>-86.169888770225526</c:v>
                </c:pt>
                <c:pt idx="459">
                  <c:v>-86.700710669888551</c:v>
                </c:pt>
                <c:pt idx="460">
                  <c:v>-87.228294490692633</c:v>
                </c:pt>
                <c:pt idx="461">
                  <c:v>-87.752637947078625</c:v>
                </c:pt>
                <c:pt idx="462">
                  <c:v>-88.273744756324731</c:v>
                </c:pt>
                <c:pt idx="463">
                  <c:v>-88.791624342239089</c:v>
                </c:pt>
                <c:pt idx="464">
                  <c:v>-89.306291532034805</c:v>
                </c:pt>
                <c:pt idx="465">
                  <c:v>-89.81776624821623</c:v>
                </c:pt>
                <c:pt idx="466">
                  <c:v>-90.326073197260129</c:v>
                </c:pt>
                <c:pt idx="467">
                  <c:v>-90.831241556799142</c:v>
                </c:pt>
                <c:pt idx="468">
                  <c:v>-91.333304662941174</c:v>
                </c:pt>
                <c:pt idx="469">
                  <c:v>-91.83229969927288</c:v>
                </c:pt>
                <c:pt idx="470">
                  <c:v>-92.328267388999521</c:v>
                </c:pt>
                <c:pt idx="471">
                  <c:v>-92.82125169157375</c:v>
                </c:pt>
                <c:pt idx="472">
                  <c:v>-93.311299505054308</c:v>
                </c:pt>
                <c:pt idx="473">
                  <c:v>-93.798460375333761</c:v>
                </c:pt>
                <c:pt idx="474">
                  <c:v>-94.282786213247277</c:v>
                </c:pt>
                <c:pt idx="475">
                  <c:v>-94.764331020470649</c:v>
                </c:pt>
                <c:pt idx="476">
                  <c:v>-95.243150624991131</c:v>
                </c:pt>
                <c:pt idx="477">
                  <c:v>-95.71930242682339</c:v>
                </c:pt>
                <c:pt idx="478">
                  <c:v>-96.192845154530346</c:v>
                </c:pt>
                <c:pt idx="479">
                  <c:v>-96.663838632995692</c:v>
                </c:pt>
                <c:pt idx="480">
                  <c:v>-97.132343562793096</c:v>
                </c:pt>
                <c:pt idx="481">
                  <c:v>-97.598421311395299</c:v>
                </c:pt>
                <c:pt idx="482">
                  <c:v>-98.062133716371676</c:v>
                </c:pt>
                <c:pt idx="483">
                  <c:v>-98.523542900634368</c:v>
                </c:pt>
                <c:pt idx="484">
                  <c:v>-98.982711099712304</c:v>
                </c:pt>
                <c:pt idx="485">
                  <c:v>-99.439700500959106</c:v>
                </c:pt>
                <c:pt idx="486">
                  <c:v>-99.894573094528596</c:v>
                </c:pt>
                <c:pt idx="487">
                  <c:v>-100.34739053590094</c:v>
                </c:pt>
                <c:pt idx="488">
                  <c:v>-100.79821401967749</c:v>
                </c:pt>
                <c:pt idx="489">
                  <c:v>-101.24710416432836</c:v>
                </c:pt>
                <c:pt idx="490">
                  <c:v>-101.69412090752942</c:v>
                </c:pt>
                <c:pt idx="491">
                  <c:v>-102.13932341169681</c:v>
                </c:pt>
                <c:pt idx="492">
                  <c:v>-102.58276997930083</c:v>
                </c:pt>
                <c:pt idx="493">
                  <c:v>-103.02451797751712</c:v>
                </c:pt>
                <c:pt idx="494">
                  <c:v>-103.46462377176522</c:v>
                </c:pt>
                <c:pt idx="495">
                  <c:v>-103.90314266766435</c:v>
                </c:pt>
                <c:pt idx="496">
                  <c:v>-104.34012886094112</c:v>
                </c:pt>
                <c:pt idx="497">
                  <c:v>-104.77563539481494</c:v>
                </c:pt>
                <c:pt idx="498">
                  <c:v>-105.20971412439243</c:v>
                </c:pt>
                <c:pt idx="499">
                  <c:v>-105.64241568760767</c:v>
                </c:pt>
                <c:pt idx="500">
                  <c:v>-106.07378948225113</c:v>
                </c:pt>
                <c:pt idx="501">
                  <c:v>-106.5038836486433</c:v>
                </c:pt>
                <c:pt idx="502">
                  <c:v>-106.93274505752045</c:v>
                </c:pt>
                <c:pt idx="503">
                  <c:v>-107.36041930271433</c:v>
                </c:pt>
                <c:pt idx="504">
                  <c:v>-107.78695069822291</c:v>
                </c:pt>
                <c:pt idx="505">
                  <c:v>-108.21238227928768</c:v>
                </c:pt>
                <c:pt idx="506">
                  <c:v>-108.63675580710783</c:v>
                </c:pt>
                <c:pt idx="507">
                  <c:v>-109.0601117768432</c:v>
                </c:pt>
                <c:pt idx="508">
                  <c:v>-109.48248942857255</c:v>
                </c:pt>
                <c:pt idx="509">
                  <c:v>-109.9039267608959</c:v>
                </c:pt>
                <c:pt idx="510">
                  <c:v>-110.32446054688479</c:v>
                </c:pt>
                <c:pt idx="511">
                  <c:v>-110.7441263521053</c:v>
                </c:pt>
                <c:pt idx="512">
                  <c:v>-111.16295855445485</c:v>
                </c:pt>
                <c:pt idx="513">
                  <c:v>-111.58099036557446</c:v>
                </c:pt>
                <c:pt idx="514">
                  <c:v>-111.99825385360947</c:v>
                </c:pt>
                <c:pt idx="515">
                  <c:v>-112.41477996711384</c:v>
                </c:pt>
                <c:pt idx="516">
                  <c:v>-112.83059855990921</c:v>
                </c:pt>
                <c:pt idx="517">
                  <c:v>-113.2457384167177</c:v>
                </c:pt>
                <c:pt idx="518">
                  <c:v>-113.66022727941234</c:v>
                </c:pt>
                <c:pt idx="519">
                  <c:v>-114.07409187373563</c:v>
                </c:pt>
                <c:pt idx="520">
                  <c:v>-114.48735793635196</c:v>
                </c:pt>
                <c:pt idx="521">
                  <c:v>-114.90005024211227</c:v>
                </c:pt>
                <c:pt idx="522">
                  <c:v>-115.31219263142118</c:v>
                </c:pt>
                <c:pt idx="523">
                  <c:v>-115.72380803760686</c:v>
                </c:pt>
                <c:pt idx="524">
                  <c:v>-116.13491851420555</c:v>
                </c:pt>
                <c:pt idx="525">
                  <c:v>-116.5455452620789</c:v>
                </c:pt>
                <c:pt idx="526">
                  <c:v>-116.9557086562976</c:v>
                </c:pt>
                <c:pt idx="527">
                  <c:v>-117.36542827272427</c:v>
                </c:pt>
                <c:pt idx="528">
                  <c:v>-117.77472291424401</c:v>
                </c:pt>
                <c:pt idx="529">
                  <c:v>-118.18361063659572</c:v>
                </c:pt>
                <c:pt idx="530">
                  <c:v>-118.59210877375764</c:v>
                </c:pt>
                <c:pt idx="531">
                  <c:v>-119.00023396285991</c:v>
                </c:pt>
                <c:pt idx="532">
                  <c:v>-119.40800216858668</c:v>
                </c:pt>
                <c:pt idx="533">
                  <c:v>-119.81542870704797</c:v>
                </c:pt>
                <c:pt idx="534">
                  <c:v>-120.22252826909956</c:v>
                </c:pt>
                <c:pt idx="535">
                  <c:v>-120.62931494309328</c:v>
                </c:pt>
                <c:pt idx="536">
                  <c:v>-121.03580223704752</c:v>
                </c:pt>
                <c:pt idx="537">
                  <c:v>-121.44200310022831</c:v>
                </c:pt>
                <c:pt idx="538">
                  <c:v>-121.84792994413391</c:v>
                </c:pt>
                <c:pt idx="539">
                  <c:v>-122.2535946628802</c:v>
                </c:pt>
                <c:pt idx="540">
                  <c:v>-122.65900865298705</c:v>
                </c:pt>
                <c:pt idx="541">
                  <c:v>-123.06418283256565</c:v>
                </c:pt>
              </c:numCache>
            </c:numRef>
          </c:yVal>
          <c:smooth val="1"/>
          <c:extLst>
            <c:ext xmlns:c16="http://schemas.microsoft.com/office/drawing/2014/chart" uri="{C3380CC4-5D6E-409C-BE32-E72D297353CC}">
              <c16:uniqueId val="{00000000-1798-4659-8C8F-5766C9E652D3}"/>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1798-4659-8C8F-5766C9E652D3}"/>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798-4659-8C8F-5766C9E652D3}"/>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CCM_Loop_Modeling_non_isolated!$O$11</c:f>
              <c:numCache>
                <c:formatCode>0</c:formatCode>
                <c:ptCount val="1"/>
                <c:pt idx="0">
                  <c:v>7.4501100944184611</c:v>
                </c:pt>
              </c:numCache>
            </c:numRef>
          </c:xVal>
          <c:yVal>
            <c:numRef>
              <c:f>CCM_Loop_Modeling_non_isolated!$AT$11</c:f>
              <c:numCache>
                <c:formatCode>0.000</c:formatCode>
                <c:ptCount val="1"/>
                <c:pt idx="0">
                  <c:v>94.110205133219281</c:v>
                </c:pt>
              </c:numCache>
            </c:numRef>
          </c:yVal>
          <c:smooth val="0"/>
          <c:extLst>
            <c:ext xmlns:c16="http://schemas.microsoft.com/office/drawing/2014/chart" uri="{C3380CC4-5D6E-409C-BE32-E72D297353CC}">
              <c16:uniqueId val="{00000002-1798-4659-8C8F-5766C9E652D3}"/>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798-4659-8C8F-5766C9E652D3}"/>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CCM_Loop_Modeling_non_isolated!$O$9</c:f>
              <c:numCache>
                <c:formatCode>0</c:formatCode>
                <c:ptCount val="1"/>
                <c:pt idx="0">
                  <c:v>306420.76066980243</c:v>
                </c:pt>
              </c:numCache>
            </c:numRef>
          </c:xVal>
          <c:yVal>
            <c:numRef>
              <c:f>CCM_Loop_Modeling_non_isolated!$AT$9</c:f>
              <c:numCache>
                <c:formatCode>0.000</c:formatCode>
                <c:ptCount val="1"/>
                <c:pt idx="0">
                  <c:v>-80.481452751283896</c:v>
                </c:pt>
              </c:numCache>
            </c:numRef>
          </c:yVal>
          <c:smooth val="1"/>
          <c:extLst>
            <c:ext xmlns:c16="http://schemas.microsoft.com/office/drawing/2014/chart" uri="{C3380CC4-5D6E-409C-BE32-E72D297353CC}">
              <c16:uniqueId val="{00000004-1798-4659-8C8F-5766C9E652D3}"/>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1798-4659-8C8F-5766C9E652D3}"/>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798-4659-8C8F-5766C9E652D3}"/>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CCM_Loop_Modeling_non_isolated!$O$10</c:f>
              <c:numCache>
                <c:formatCode>0</c:formatCode>
                <c:ptCount val="1"/>
                <c:pt idx="0">
                  <c:v>318309.88618379069</c:v>
                </c:pt>
              </c:numCache>
            </c:numRef>
          </c:xVal>
          <c:yVal>
            <c:numRef>
              <c:f>CCM_Loop_Modeling_non_isolated!$AT$10</c:f>
              <c:numCache>
                <c:formatCode>0.000</c:formatCode>
                <c:ptCount val="1"/>
                <c:pt idx="0">
                  <c:v>-81.410014670813837</c:v>
                </c:pt>
              </c:numCache>
            </c:numRef>
          </c:yVal>
          <c:smooth val="1"/>
          <c:extLst>
            <c:ext xmlns:c16="http://schemas.microsoft.com/office/drawing/2014/chart" uri="{C3380CC4-5D6E-409C-BE32-E72D297353CC}">
              <c16:uniqueId val="{00000006-1798-4659-8C8F-5766C9E652D3}"/>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798-4659-8C8F-5766C9E652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CCM_Loop_Modeling_non_isolated!$O$12</c:f>
              <c:numCache>
                <c:formatCode>General</c:formatCode>
                <c:ptCount val="1"/>
                <c:pt idx="0">
                  <c:v>169.31376924669715</c:v>
                </c:pt>
              </c:numCache>
            </c:numRef>
          </c:xVal>
          <c:yVal>
            <c:numRef>
              <c:f>CCM_Loop_Modeling_non_isolated!$AT$12</c:f>
              <c:numCache>
                <c:formatCode>0.000</c:formatCode>
                <c:ptCount val="1"/>
                <c:pt idx="0">
                  <c:v>45.77699178122181</c:v>
                </c:pt>
              </c:numCache>
            </c:numRef>
          </c:yVal>
          <c:smooth val="1"/>
          <c:extLst>
            <c:ext xmlns:c16="http://schemas.microsoft.com/office/drawing/2014/chart" uri="{C3380CC4-5D6E-409C-BE32-E72D297353CC}">
              <c16:uniqueId val="{00000008-1798-4659-8C8F-5766C9E652D3}"/>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1798-4659-8C8F-5766C9E652D3}"/>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CCM_Loop_Modeling_non_isolated!$O$13</c:f>
              <c:numCache>
                <c:formatCode>General</c:formatCode>
                <c:ptCount val="1"/>
                <c:pt idx="0">
                  <c:v>1274.5564296070816</c:v>
                </c:pt>
              </c:numCache>
            </c:numRef>
          </c:xVal>
          <c:yVal>
            <c:numRef>
              <c:f>CCM_Loop_Modeling_non_isolated!$AT$13</c:f>
              <c:numCache>
                <c:formatCode>0.000</c:formatCode>
                <c:ptCount val="1"/>
                <c:pt idx="0">
                  <c:v>22.382894881929815</c:v>
                </c:pt>
              </c:numCache>
            </c:numRef>
          </c:yVal>
          <c:smooth val="1"/>
          <c:extLst>
            <c:ext xmlns:c16="http://schemas.microsoft.com/office/drawing/2014/chart" uri="{C3380CC4-5D6E-409C-BE32-E72D297353CC}">
              <c16:uniqueId val="{0000000A-1798-4659-8C8F-5766C9E652D3}"/>
            </c:ext>
          </c:extLst>
        </c:ser>
        <c:dLbls>
          <c:showLegendKey val="0"/>
          <c:showVal val="0"/>
          <c:showCatName val="0"/>
          <c:showSerName val="0"/>
          <c:showPercent val="0"/>
          <c:showBubbleSize val="0"/>
        </c:dLbls>
        <c:axId val="589245056"/>
        <c:axId val="589259520"/>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CCM_Loop_Modeling_non_isolated!$AU$19:$AU$560</c:f>
              <c:numCache>
                <c:formatCode>General</c:formatCode>
                <c:ptCount val="542"/>
                <c:pt idx="0">
                  <c:v>39.046846717346163</c:v>
                </c:pt>
                <c:pt idx="1">
                  <c:v>38.490803047236916</c:v>
                </c:pt>
                <c:pt idx="2">
                  <c:v>37.941066099681493</c:v>
                </c:pt>
                <c:pt idx="3">
                  <c:v>37.39792605282836</c:v>
                </c:pt>
                <c:pt idx="4">
                  <c:v>36.861662636561469</c:v>
                </c:pt>
                <c:pt idx="5">
                  <c:v>36.332544833600721</c:v>
                </c:pt>
                <c:pt idx="6">
                  <c:v>35.810830637143077</c:v>
                </c:pt>
                <c:pt idx="7">
                  <c:v>35.296766864230406</c:v>
                </c:pt>
                <c:pt idx="8">
                  <c:v>34.790589023607374</c:v>
                </c:pt>
                <c:pt idx="9">
                  <c:v>34.292521236440479</c:v>
                </c:pt>
                <c:pt idx="10">
                  <c:v>33.802776207931458</c:v>
                </c:pt>
                <c:pt idx="11">
                  <c:v>33.321555247544381</c:v>
                </c:pt>
                <c:pt idx="12">
                  <c:v>32.849048335312638</c:v>
                </c:pt>
                <c:pt idx="13">
                  <c:v>32.385434231469418</c:v>
                </c:pt>
                <c:pt idx="14">
                  <c:v>31.930880626467829</c:v>
                </c:pt>
                <c:pt idx="15">
                  <c:v>31.485544328330914</c:v>
                </c:pt>
                <c:pt idx="16">
                  <c:v>31.04957148416683</c:v>
                </c:pt>
                <c:pt idx="17">
                  <c:v>30.623097832638948</c:v>
                </c:pt>
                <c:pt idx="18">
                  <c:v>30.206248984152111</c:v>
                </c:pt>
                <c:pt idx="19">
                  <c:v>29.799140725533224</c:v>
                </c:pt>
                <c:pt idx="20">
                  <c:v>29.401879346021133</c:v>
                </c:pt>
                <c:pt idx="21">
                  <c:v>29.014561981448988</c:v>
                </c:pt>
                <c:pt idx="22">
                  <c:v>28.637276973593337</c:v>
                </c:pt>
                <c:pt idx="23">
                  <c:v>28.270104241764486</c:v>
                </c:pt>
                <c:pt idx="24">
                  <c:v>27.91311566385313</c:v>
                </c:pt>
                <c:pt idx="25">
                  <c:v>27.566375464164931</c:v>
                </c:pt>
                <c:pt idx="26">
                  <c:v>27.229940605535372</c:v>
                </c:pt>
                <c:pt idx="27">
                  <c:v>26.903861183372204</c:v>
                </c:pt>
                <c:pt idx="28">
                  <c:v>26.588180819417193</c:v>
                </c:pt>
                <c:pt idx="29">
                  <c:v>26.282937053198065</c:v>
                </c:pt>
                <c:pt idx="30">
                  <c:v>25.988161729284418</c:v>
                </c:pt>
                <c:pt idx="31">
                  <c:v>25.703881378631873</c:v>
                </c:pt>
                <c:pt idx="32">
                  <c:v>25.430117592449122</c:v>
                </c:pt>
                <c:pt idx="33">
                  <c:v>25.166887387169936</c:v>
                </c:pt>
                <c:pt idx="34">
                  <c:v>24.914203559262564</c:v>
                </c:pt>
                <c:pt idx="35">
                  <c:v>24.672075028737872</c:v>
                </c:pt>
                <c:pt idx="36">
                  <c:v>24.4405071703553</c:v>
                </c:pt>
                <c:pt idx="37">
                  <c:v>24.219502131638713</c:v>
                </c:pt>
                <c:pt idx="38">
                  <c:v>24.009059136932649</c:v>
                </c:pt>
                <c:pt idx="39">
                  <c:v>23.809174776828943</c:v>
                </c:pt>
                <c:pt idx="40">
                  <c:v>23.619843282392843</c:v>
                </c:pt>
                <c:pt idx="41">
                  <c:v>23.441056783695245</c:v>
                </c:pt>
                <c:pt idx="42">
                  <c:v>23.272805552247664</c:v>
                </c:pt>
                <c:pt idx="43">
                  <c:v>23.115078226992782</c:v>
                </c:pt>
                <c:pt idx="44">
                  <c:v>22.967862023571147</c:v>
                </c:pt>
                <c:pt idx="45">
                  <c:v>22.831142926635977</c:v>
                </c:pt>
                <c:pt idx="46">
                  <c:v>22.704905865033247</c:v>
                </c:pt>
                <c:pt idx="47">
                  <c:v>22.589134869704612</c:v>
                </c:pt>
                <c:pt idx="48">
                  <c:v>22.48381321419992</c:v>
                </c:pt>
                <c:pt idx="49">
                  <c:v>22.388923537718483</c:v>
                </c:pt>
                <c:pt idx="50">
                  <c:v>22.30444795061339</c:v>
                </c:pt>
                <c:pt idx="51">
                  <c:v>22.230368122318193</c:v>
                </c:pt>
                <c:pt idx="52">
                  <c:v>22.166665351659898</c:v>
                </c:pt>
                <c:pt idx="53">
                  <c:v>22.11332061954139</c:v>
                </c:pt>
                <c:pt idx="54">
                  <c:v>22.070314623973644</c:v>
                </c:pt>
                <c:pt idx="55">
                  <c:v>22.037627797451417</c:v>
                </c:pt>
                <c:pt idx="56">
                  <c:v>22.015240306666822</c:v>
                </c:pt>
                <c:pt idx="57">
                  <c:v>22.003132034552674</c:v>
                </c:pt>
                <c:pt idx="58">
                  <c:v>22.001282544660281</c:v>
                </c:pt>
                <c:pt idx="59">
                  <c:v>22.009671027867444</c:v>
                </c:pt>
                <c:pt idx="60">
                  <c:v>22.028276231422748</c:v>
                </c:pt>
                <c:pt idx="61">
                  <c:v>22.057076370337121</c:v>
                </c:pt>
                <c:pt idx="62">
                  <c:v>22.096049021134863</c:v>
                </c:pt>
                <c:pt idx="63">
                  <c:v>22.145170997994594</c:v>
                </c:pt>
                <c:pt idx="64">
                  <c:v>22.204418211315286</c:v>
                </c:pt>
                <c:pt idx="65">
                  <c:v>22.273765508765834</c:v>
                </c:pt>
                <c:pt idx="66">
                  <c:v>22.353186498894871</c:v>
                </c:pt>
                <c:pt idx="67">
                  <c:v>22.442653357405025</c:v>
                </c:pt>
                <c:pt idx="68">
                  <c:v>22.542136616229399</c:v>
                </c:pt>
                <c:pt idx="69">
                  <c:v>22.651604935583599</c:v>
                </c:pt>
                <c:pt idx="70">
                  <c:v>22.771024859217512</c:v>
                </c:pt>
                <c:pt idx="71">
                  <c:v>22.900360553135538</c:v>
                </c:pt>
                <c:pt idx="72">
                  <c:v>23.03957352812456</c:v>
                </c:pt>
                <c:pt idx="73">
                  <c:v>23.188622346487154</c:v>
                </c:pt>
                <c:pt idx="74">
                  <c:v>23.347462313462934</c:v>
                </c:pt>
                <c:pt idx="75">
                  <c:v>23.516045153899366</c:v>
                </c:pt>
                <c:pt idx="76">
                  <c:v>23.694318674835014</c:v>
                </c:pt>
                <c:pt idx="77">
                  <c:v>23.882226414755387</c:v>
                </c:pt>
                <c:pt idx="78">
                  <c:v>24.07970728039712</c:v>
                </c:pt>
                <c:pt idx="79">
                  <c:v>24.286695172094909</c:v>
                </c:pt>
                <c:pt idx="80">
                  <c:v>24.503118598799219</c:v>
                </c:pt>
                <c:pt idx="81">
                  <c:v>24.728900284024409</c:v>
                </c:pt>
                <c:pt idx="82">
                  <c:v>24.963956764133123</c:v>
                </c:pt>
                <c:pt idx="83">
                  <c:v>25.208197980516289</c:v>
                </c:pt>
                <c:pt idx="84">
                  <c:v>25.461526867378129</c:v>
                </c:pt>
                <c:pt idx="85">
                  <c:v>25.723838936998696</c:v>
                </c:pt>
                <c:pt idx="86">
                  <c:v>25.995021864506565</c:v>
                </c:pt>
                <c:pt idx="87">
                  <c:v>26.274955074355208</c:v>
                </c:pt>
                <c:pt idx="88">
                  <c:v>26.563509330858359</c:v>
                </c:pt>
                <c:pt idx="89">
                  <c:v>26.860546335293083</c:v>
                </c:pt>
                <c:pt idx="90">
                  <c:v>27.165918332230426</c:v>
                </c:pt>
                <c:pt idx="91">
                  <c:v>27.479467727891489</c:v>
                </c:pt>
                <c:pt idx="92">
                  <c:v>27.801026723454903</c:v>
                </c:pt>
                <c:pt idx="93">
                  <c:v>28.130416966353241</c:v>
                </c:pt>
                <c:pt idx="94">
                  <c:v>28.46744922269022</c:v>
                </c:pt>
                <c:pt idx="95">
                  <c:v>28.811923073975709</c:v>
                </c:pt>
                <c:pt idx="96">
                  <c:v>29.163626641428312</c:v>
                </c:pt>
                <c:pt idx="97">
                  <c:v>29.522336341108925</c:v>
                </c:pt>
                <c:pt idx="98">
                  <c:v>29.88781667312676</c:v>
                </c:pt>
                <c:pt idx="99">
                  <c:v>30.259820048123434</c:v>
                </c:pt>
                <c:pt idx="100">
                  <c:v>30.638086654137467</c:v>
                </c:pt>
                <c:pt idx="101">
                  <c:v>31.022344366835778</c:v>
                </c:pt>
                <c:pt idx="102">
                  <c:v>31.412308705922761</c:v>
                </c:pt>
                <c:pt idx="103">
                  <c:v>31.807682840332713</c:v>
                </c:pt>
                <c:pt idx="104">
                  <c:v>32.208157644551839</c:v>
                </c:pt>
                <c:pt idx="105">
                  <c:v>32.613411808121207</c:v>
                </c:pt>
                <c:pt idx="106">
                  <c:v>33.023112000033784</c:v>
                </c:pt>
                <c:pt idx="107">
                  <c:v>33.436913089361497</c:v>
                </c:pt>
                <c:pt idx="108">
                  <c:v>33.854458423028518</c:v>
                </c:pt>
                <c:pt idx="109">
                  <c:v>34.27538016120382</c:v>
                </c:pt>
                <c:pt idx="110">
                  <c:v>34.699299670307241</c:v>
                </c:pt>
                <c:pt idx="111">
                  <c:v>35.125827973119122</c:v>
                </c:pt>
                <c:pt idx="112">
                  <c:v>35.554566254975164</c:v>
                </c:pt>
                <c:pt idx="113">
                  <c:v>35.985106424494475</c:v>
                </c:pt>
                <c:pt idx="114">
                  <c:v>36.417031726761785</c:v>
                </c:pt>
                <c:pt idx="115">
                  <c:v>36.849917406367375</c:v>
                </c:pt>
                <c:pt idx="116">
                  <c:v>37.283331417189238</c:v>
                </c:pt>
                <c:pt idx="117">
                  <c:v>37.716835175329138</c:v>
                </c:pt>
                <c:pt idx="118">
                  <c:v>38.149984351149072</c:v>
                </c:pt>
                <c:pt idx="119">
                  <c:v>38.582329695943592</c:v>
                </c:pt>
                <c:pt idx="120">
                  <c:v>39.013417898413564</c:v>
                </c:pt>
                <c:pt idx="121">
                  <c:v>39.442792465795172</c:v>
                </c:pt>
                <c:pt idx="122">
                  <c:v>39.869994624229577</c:v>
                </c:pt>
                <c:pt idx="123">
                  <c:v>40.294564232789995</c:v>
                </c:pt>
                <c:pt idx="124">
                  <c:v>40.716040705425087</c:v>
                </c:pt>
                <c:pt idx="125">
                  <c:v>41.133963935068977</c:v>
                </c:pt>
                <c:pt idx="126">
                  <c:v>41.547875214142124</c:v>
                </c:pt>
                <c:pt idx="127">
                  <c:v>41.957318145794225</c:v>
                </c:pt>
                <c:pt idx="128">
                  <c:v>42.361839540376103</c:v>
                </c:pt>
                <c:pt idx="129">
                  <c:v>42.760990291880475</c:v>
                </c:pt>
                <c:pt idx="130">
                  <c:v>43.154326229350062</c:v>
                </c:pt>
                <c:pt idx="131">
                  <c:v>43.541408938639385</c:v>
                </c:pt>
                <c:pt idx="132">
                  <c:v>43.921806550281083</c:v>
                </c:pt>
                <c:pt idx="133">
                  <c:v>44.295094489679229</c:v>
                </c:pt>
                <c:pt idx="134">
                  <c:v>44.660856186316487</c:v>
                </c:pt>
                <c:pt idx="135">
                  <c:v>45.018683739180865</c:v>
                </c:pt>
                <c:pt idx="136">
                  <c:v>45.368178536142103</c:v>
                </c:pt>
                <c:pt idx="137">
                  <c:v>45.708951825550514</c:v>
                </c:pt>
                <c:pt idx="138">
                  <c:v>46.040625238873645</c:v>
                </c:pt>
                <c:pt idx="139">
                  <c:v>46.362831263725688</c:v>
                </c:pt>
                <c:pt idx="140">
                  <c:v>46.675213667165146</c:v>
                </c:pt>
                <c:pt idx="141">
                  <c:v>46.977427869647592</c:v>
                </c:pt>
                <c:pt idx="142">
                  <c:v>47.269141270495631</c:v>
                </c:pt>
                <c:pt idx="143">
                  <c:v>47.550033526193147</c:v>
                </c:pt>
                <c:pt idx="144">
                  <c:v>47.819796783229705</c:v>
                </c:pt>
                <c:pt idx="145">
                  <c:v>48.078135867581224</c:v>
                </c:pt>
                <c:pt idx="146">
                  <c:v>48.324768433249019</c:v>
                </c:pt>
                <c:pt idx="147">
                  <c:v>48.559425072556856</c:v>
                </c:pt>
                <c:pt idx="148">
                  <c:v>48.781849391145634</c:v>
                </c:pt>
                <c:pt idx="149">
                  <c:v>48.991798050789278</c:v>
                </c:pt>
                <c:pt idx="150">
                  <c:v>49.189040783307071</c:v>
                </c:pt>
                <c:pt idx="151">
                  <c:v>49.373360378934123</c:v>
                </c:pt>
                <c:pt idx="152">
                  <c:v>49.544552652577735</c:v>
                </c:pt>
                <c:pt idx="153">
                  <c:v>49.702426391391917</c:v>
                </c:pt>
                <c:pt idx="154">
                  <c:v>49.846803287069157</c:v>
                </c:pt>
                <c:pt idx="155">
                  <c:v>49.977517856197444</c:v>
                </c:pt>
                <c:pt idx="156">
                  <c:v>50.094417351919219</c:v>
                </c:pt>
                <c:pt idx="157">
                  <c:v>50.197361669998401</c:v>
                </c:pt>
                <c:pt idx="158">
                  <c:v>50.286223252245172</c:v>
                </c:pt>
                <c:pt idx="159">
                  <c:v>50.360886990062539</c:v>
                </c:pt>
                <c:pt idx="160">
                  <c:v>50.421250130661718</c:v>
                </c:pt>
                <c:pt idx="161">
                  <c:v>50.467222188277468</c:v>
                </c:pt>
                <c:pt idx="162">
                  <c:v>50.498724862452988</c:v>
                </c:pt>
                <c:pt idx="163">
                  <c:v>50.515691965213264</c:v>
                </c:pt>
                <c:pt idx="164">
                  <c:v>50.518069358669173</c:v>
                </c:pt>
                <c:pt idx="165">
                  <c:v>50.505814904305339</c:v>
                </c:pt>
                <c:pt idx="166">
                  <c:v>50.478898424919208</c:v>
                </c:pt>
                <c:pt idx="167">
                  <c:v>50.437301679874096</c:v>
                </c:pt>
                <c:pt idx="168">
                  <c:v>50.381018354031319</c:v>
                </c:pt>
                <c:pt idx="169">
                  <c:v>50.31005406042037</c:v>
                </c:pt>
                <c:pt idx="170">
                  <c:v>50.22442635639522</c:v>
                </c:pt>
                <c:pt idx="171">
                  <c:v>50.124164772729571</c:v>
                </c:pt>
                <c:pt idx="172">
                  <c:v>50.009310854800702</c:v>
                </c:pt>
                <c:pt idx="173">
                  <c:v>49.879918214709015</c:v>
                </c:pt>
                <c:pt idx="174">
                  <c:v>49.736052592907079</c:v>
                </c:pt>
                <c:pt idx="175">
                  <c:v>49.57779192761695</c:v>
                </c:pt>
                <c:pt idx="176">
                  <c:v>49.405226430060154</c:v>
                </c:pt>
                <c:pt idx="177">
                  <c:v>49.218458663267114</c:v>
                </c:pt>
                <c:pt idx="178">
                  <c:v>49.017603621992599</c:v>
                </c:pt>
                <c:pt idx="179">
                  <c:v>48.802788811054782</c:v>
                </c:pt>
                <c:pt idx="180">
                  <c:v>48.574154319210109</c:v>
                </c:pt>
                <c:pt idx="181">
                  <c:v>48.331852885513236</c:v>
                </c:pt>
                <c:pt idx="182">
                  <c:v>48.076049954962301</c:v>
                </c:pt>
                <c:pt idx="183">
                  <c:v>47.806923720118093</c:v>
                </c:pt>
                <c:pt idx="184">
                  <c:v>47.524665145310188</c:v>
                </c:pt>
                <c:pt idx="185">
                  <c:v>47.229477969989375</c:v>
                </c:pt>
                <c:pt idx="186">
                  <c:v>46.92157868779563</c:v>
                </c:pt>
                <c:pt idx="187">
                  <c:v>46.601196497930282</c:v>
                </c:pt>
                <c:pt idx="188">
                  <c:v>46.268573225519276</c:v>
                </c:pt>
                <c:pt idx="189">
                  <c:v>45.923963207757708</c:v>
                </c:pt>
                <c:pt idx="190">
                  <c:v>45.567633142823581</c:v>
                </c:pt>
                <c:pt idx="191">
                  <c:v>45.199861898732415</c:v>
                </c:pt>
                <c:pt idx="192">
                  <c:v>44.820940279604578</c:v>
                </c:pt>
                <c:pt idx="193">
                  <c:v>44.431170747096743</c:v>
                </c:pt>
                <c:pt idx="194">
                  <c:v>44.030867095119241</c:v>
                </c:pt>
                <c:pt idx="195">
                  <c:v>43.620354076350907</c:v>
                </c:pt>
                <c:pt idx="196">
                  <c:v>43.199966979497283</c:v>
                </c:pt>
                <c:pt idx="197">
                  <c:v>42.770051156701001</c:v>
                </c:pt>
                <c:pt idx="198">
                  <c:v>42.33096150101634</c:v>
                </c:pt>
                <c:pt idx="199">
                  <c:v>41.883061874369858</c:v>
                </c:pt>
                <c:pt idx="200">
                  <c:v>41.426724486966357</c:v>
                </c:pt>
                <c:pt idx="201">
                  <c:v>40.962329229644013</c:v>
                </c:pt>
                <c:pt idx="202">
                  <c:v>40.490262961220907</c:v>
                </c:pt>
                <c:pt idx="203">
                  <c:v>40.010918753410003</c:v>
                </c:pt>
                <c:pt idx="204">
                  <c:v>39.52469509640855</c:v>
                </c:pt>
                <c:pt idx="205">
                  <c:v>39.031995068742575</c:v>
                </c:pt>
                <c:pt idx="206">
                  <c:v>38.533225475430847</c:v>
                </c:pt>
                <c:pt idx="207">
                  <c:v>38.028795958928981</c:v>
                </c:pt>
                <c:pt idx="208">
                  <c:v>37.519118087710424</c:v>
                </c:pt>
                <c:pt idx="209">
                  <c:v>37.004604427631172</c:v>
                </c:pt>
                <c:pt idx="210">
                  <c:v>36.485667601499266</c:v>
                </c:pt>
                <c:pt idx="211">
                  <c:v>35.962719342453155</c:v>
                </c:pt>
                <c:pt idx="212">
                  <c:v>35.43616954686739</c:v>
                </c:pt>
                <c:pt idx="213">
                  <c:v>34.906425332561767</c:v>
                </c:pt>
                <c:pt idx="214">
                  <c:v>34.37389010806266</c:v>
                </c:pt>
                <c:pt idx="215">
                  <c:v>33.838962658571475</c:v>
                </c:pt>
                <c:pt idx="216">
                  <c:v>33.302036254130194</c:v>
                </c:pt>
                <c:pt idx="217">
                  <c:v>32.763497785247168</c:v>
                </c:pt>
                <c:pt idx="218">
                  <c:v>32.223726930953873</c:v>
                </c:pt>
                <c:pt idx="219">
                  <c:v>31.683095363911217</c:v>
                </c:pt>
                <c:pt idx="220">
                  <c:v>31.141965996798252</c:v>
                </c:pt>
                <c:pt idx="221">
                  <c:v>30.600692273763052</c:v>
                </c:pt>
                <c:pt idx="222">
                  <c:v>30.059617510257556</c:v>
                </c:pt>
                <c:pt idx="223">
                  <c:v>29.519074284064025</c:v>
                </c:pt>
                <c:pt idx="224">
                  <c:v>28.97938387981716</c:v>
                </c:pt>
                <c:pt idx="225">
                  <c:v>28.440855788791996</c:v>
                </c:pt>
                <c:pt idx="226">
                  <c:v>27.903787265201991</c:v>
                </c:pt>
                <c:pt idx="227">
                  <c:v>27.368462939736347</c:v>
                </c:pt>
                <c:pt idx="228">
                  <c:v>26.835154490554491</c:v>
                </c:pt>
                <c:pt idx="229">
                  <c:v>26.304120371468876</c:v>
                </c:pt>
                <c:pt idx="230">
                  <c:v>25.775605596599522</c:v>
                </c:pt>
                <c:pt idx="231">
                  <c:v>25.249841580341389</c:v>
                </c:pt>
                <c:pt idx="232">
                  <c:v>24.727046031104031</c:v>
                </c:pt>
                <c:pt idx="233">
                  <c:v>24.207422896931035</c:v>
                </c:pt>
                <c:pt idx="234">
                  <c:v>23.691162360785832</c:v>
                </c:pt>
                <c:pt idx="235">
                  <c:v>23.178440883033474</c:v>
                </c:pt>
                <c:pt idx="236">
                  <c:v>22.66942128841211</c:v>
                </c:pt>
                <c:pt idx="237">
                  <c:v>22.164252894613483</c:v>
                </c:pt>
                <c:pt idx="238">
                  <c:v>21.663071679442606</c:v>
                </c:pt>
                <c:pt idx="239">
                  <c:v>21.166000483436296</c:v>
                </c:pt>
                <c:pt idx="240">
                  <c:v>20.673149244748128</c:v>
                </c:pt>
                <c:pt idx="241">
                  <c:v>20.184615263094315</c:v>
                </c:pt>
                <c:pt idx="242">
                  <c:v>19.700483489549431</c:v>
                </c:pt>
                <c:pt idx="243">
                  <c:v>19.22082683903318</c:v>
                </c:pt>
                <c:pt idx="244">
                  <c:v>18.745706522382019</c:v>
                </c:pt>
                <c:pt idx="245">
                  <c:v>18.275172394997888</c:v>
                </c:pt>
                <c:pt idx="246">
                  <c:v>17.809263319172029</c:v>
                </c:pt>
                <c:pt idx="247">
                  <c:v>17.348007537308174</c:v>
                </c:pt>
                <c:pt idx="248">
                  <c:v>16.891423053411547</c:v>
                </c:pt>
                <c:pt idx="249">
                  <c:v>16.439518020360616</c:v>
                </c:pt>
                <c:pt idx="250">
                  <c:v>15.992291130639952</c:v>
                </c:pt>
                <c:pt idx="251">
                  <c:v>15.549732008376225</c:v>
                </c:pt>
                <c:pt idx="252">
                  <c:v>15.1118216006872</c:v>
                </c:pt>
                <c:pt idx="253">
                  <c:v>14.67853256652575</c:v>
                </c:pt>
                <c:pt idx="254">
                  <c:v>14.249829661363449</c:v>
                </c:pt>
                <c:pt idx="255">
                  <c:v>13.825670116231068</c:v>
                </c:pt>
                <c:pt idx="256">
                  <c:v>13.40600400978588</c:v>
                </c:pt>
                <c:pt idx="257">
                  <c:v>12.990774632239074</c:v>
                </c:pt>
                <c:pt idx="258">
                  <c:v>12.57991884011896</c:v>
                </c:pt>
                <c:pt idx="259">
                  <c:v>12.173367400995534</c:v>
                </c:pt>
                <c:pt idx="260">
                  <c:v>11.771045327414228</c:v>
                </c:pt>
                <c:pt idx="261">
                  <c:v>11.37287219942808</c:v>
                </c:pt>
                <c:pt idx="262">
                  <c:v>10.97876247522022</c:v>
                </c:pt>
                <c:pt idx="263">
                  <c:v>10.58862578942747</c:v>
                </c:pt>
                <c:pt idx="264">
                  <c:v>10.202367238869885</c:v>
                </c:pt>
                <c:pt idx="265">
                  <c:v>9.8198876554868662</c:v>
                </c:pt>
                <c:pt idx="266">
                  <c:v>9.4410838663594738</c:v>
                </c:pt>
                <c:pt idx="267">
                  <c:v>9.0658489407787091</c:v>
                </c:pt>
                <c:pt idx="268">
                  <c:v>8.6940724243791898</c:v>
                </c:pt>
                <c:pt idx="269">
                  <c:v>8.3256405604255121</c:v>
                </c:pt>
                <c:pt idx="270">
                  <c:v>7.9604364983858522</c:v>
                </c:pt>
                <c:pt idx="271">
                  <c:v>7.5983404899731255</c:v>
                </c:pt>
                <c:pt idx="272">
                  <c:v>7.2392300728765653</c:v>
                </c:pt>
                <c:pt idx="273">
                  <c:v>6.8829802424388831</c:v>
                </c:pt>
                <c:pt idx="274">
                  <c:v>6.5294636115604865</c:v>
                </c:pt>
                <c:pt idx="275">
                  <c:v>6.1785505591389756</c:v>
                </c:pt>
                <c:pt idx="276">
                  <c:v>5.8301093673679993</c:v>
                </c:pt>
                <c:pt idx="277">
                  <c:v>5.4840063482383306</c:v>
                </c:pt>
                <c:pt idx="278">
                  <c:v>5.1401059595880136</c:v>
                </c:pt>
                <c:pt idx="279">
                  <c:v>4.7982709110640744</c:v>
                </c:pt>
                <c:pt idx="280">
                  <c:v>4.4583622603583288</c:v>
                </c:pt>
                <c:pt idx="281">
                  <c:v>4.1202395000813761</c:v>
                </c:pt>
                <c:pt idx="282">
                  <c:v>3.7837606356413591</c:v>
                </c:pt>
                <c:pt idx="283">
                  <c:v>3.4487822544900366</c:v>
                </c:pt>
                <c:pt idx="284">
                  <c:v>3.1151595870944093</c:v>
                </c:pt>
                <c:pt idx="285">
                  <c:v>2.7827465599871548</c:v>
                </c:pt>
                <c:pt idx="286">
                  <c:v>2.4513958412431176</c:v>
                </c:pt>
                <c:pt idx="287">
                  <c:v>2.1209588787171274</c:v>
                </c:pt>
                <c:pt idx="288">
                  <c:v>1.791285931377369</c:v>
                </c:pt>
                <c:pt idx="289">
                  <c:v>1.4622260940484217</c:v>
                </c:pt>
                <c:pt idx="290">
                  <c:v>1.1336273158800554</c:v>
                </c:pt>
                <c:pt idx="291">
                  <c:v>0.80533641283559587</c:v>
                </c:pt>
                <c:pt idx="292">
                  <c:v>0.47719907449371174</c:v>
                </c:pt>
                <c:pt idx="293">
                  <c:v>0.14905986543792804</c:v>
                </c:pt>
                <c:pt idx="294">
                  <c:v>-0.17923777849667988</c:v>
                </c:pt>
                <c:pt idx="295">
                  <c:v>-0.50785155886337352</c:v>
                </c:pt>
                <c:pt idx="296">
                  <c:v>-0.83694032788458539</c:v>
                </c:pt>
                <c:pt idx="297">
                  <c:v>-1.1666641061375369</c:v>
                </c:pt>
                <c:pt idx="298">
                  <c:v>-1.4971841044200607</c:v>
                </c:pt>
                <c:pt idx="299">
                  <c:v>-1.8286627495794809</c:v>
                </c:pt>
                <c:pt idx="300">
                  <c:v>-2.1612637140984448</c:v>
                </c:pt>
                <c:pt idx="301">
                  <c:v>-2.4951519492404706</c:v>
                </c:pt>
                <c:pt idx="302">
                  <c:v>-2.8304937215655572</c:v>
                </c:pt>
                <c:pt idx="303">
                  <c:v>-3.1674566526337107</c:v>
                </c:pt>
                <c:pt idx="304">
                  <c:v>-3.5062097617231767</c:v>
                </c:pt>
                <c:pt idx="305">
                  <c:v>-3.8469235113945777</c:v>
                </c:pt>
                <c:pt idx="306">
                  <c:v>-4.1897698557397156</c:v>
                </c:pt>
                <c:pt idx="307">
                  <c:v>-4.5349222911584803</c:v>
                </c:pt>
                <c:pt idx="308">
                  <c:v>-4.8825559095115079</c:v>
                </c:pt>
                <c:pt idx="309">
                  <c:v>-5.2328474535005656</c:v>
                </c:pt>
                <c:pt idx="310">
                  <c:v>-5.5859753741311149</c:v>
                </c:pt>
                <c:pt idx="311">
                  <c:v>-5.9421198901136671</c:v>
                </c:pt>
                <c:pt idx="312">
                  <c:v>-6.3014630490611561</c:v>
                </c:pt>
                <c:pt idx="313">
                  <c:v>-6.6641887903425037</c:v>
                </c:pt>
                <c:pt idx="314">
                  <c:v>-7.0304830094460282</c:v>
                </c:pt>
                <c:pt idx="315">
                  <c:v>-7.4005336237105031</c:v>
                </c:pt>
                <c:pt idx="316">
                  <c:v>-7.7745306392757891</c:v>
                </c:pt>
                <c:pt idx="317">
                  <c:v>-8.1526662190992294</c:v>
                </c:pt>
                <c:pt idx="318">
                  <c:v>-8.5351347518819694</c:v>
                </c:pt>
                <c:pt idx="319">
                  <c:v>-8.9221329217396281</c:v>
                </c:pt>
                <c:pt idx="320">
                  <c:v>-9.3138597784430264</c:v>
                </c:pt>
                <c:pt idx="321">
                  <c:v>-9.7105168080476396</c:v>
                </c:pt>
                <c:pt idx="322">
                  <c:v>-10.112308003714544</c:v>
                </c:pt>
                <c:pt idx="323">
                  <c:v>-10.519439936512731</c:v>
                </c:pt>
                <c:pt idx="324">
                  <c:v>-10.93212182598392</c:v>
                </c:pt>
                <c:pt idx="325">
                  <c:v>-11.350565610216156</c:v>
                </c:pt>
                <c:pt idx="326">
                  <c:v>-11.774986015173102</c:v>
                </c:pt>
                <c:pt idx="327">
                  <c:v>-12.20560062298582</c:v>
                </c:pt>
                <c:pt idx="328">
                  <c:v>-12.642629938897402</c:v>
                </c:pt>
                <c:pt idx="329">
                  <c:v>-13.086297456519167</c:v>
                </c:pt>
                <c:pt idx="330">
                  <c:v>-13.536829721022562</c:v>
                </c:pt>
                <c:pt idx="331">
                  <c:v>-13.9944563898607</c:v>
                </c:pt>
                <c:pt idx="332">
                  <c:v>-14.459410290568286</c:v>
                </c:pt>
                <c:pt idx="333">
                  <c:v>-14.931927475148095</c:v>
                </c:pt>
                <c:pt idx="334">
                  <c:v>-15.412247270503553</c:v>
                </c:pt>
                <c:pt idx="335">
                  <c:v>-15.90061232432242</c:v>
                </c:pt>
                <c:pt idx="336">
                  <c:v>-16.397268645758469</c:v>
                </c:pt>
                <c:pt idx="337">
                  <c:v>-16.902465640197075</c:v>
                </c:pt>
                <c:pt idx="338">
                  <c:v>-17.416456137316306</c:v>
                </c:pt>
                <c:pt idx="339">
                  <c:v>-17.939496411580382</c:v>
                </c:pt>
                <c:pt idx="340">
                  <c:v>-18.471846194220326</c:v>
                </c:pt>
                <c:pt idx="341">
                  <c:v>-19.013768675665158</c:v>
                </c:pt>
                <c:pt idx="342">
                  <c:v>-19.565530497288268</c:v>
                </c:pt>
                <c:pt idx="343">
                  <c:v>-20.127401731227899</c:v>
                </c:pt>
                <c:pt idx="344">
                  <c:v>-20.69965584692472</c:v>
                </c:pt>
                <c:pt idx="345">
                  <c:v>-21.282569662900759</c:v>
                </c:pt>
                <c:pt idx="346">
                  <c:v>-21.876423282164648</c:v>
                </c:pt>
                <c:pt idx="347">
                  <c:v>-22.481500009488393</c:v>
                </c:pt>
                <c:pt idx="348">
                  <c:v>-23.09808624865591</c:v>
                </c:pt>
                <c:pt idx="349">
                  <c:v>-23.726471377613681</c:v>
                </c:pt>
                <c:pt idx="350">
                  <c:v>-24.366947599289503</c:v>
                </c:pt>
                <c:pt idx="351">
                  <c:v>-25.019809765668924</c:v>
                </c:pt>
                <c:pt idx="352">
                  <c:v>-25.685355172524055</c:v>
                </c:pt>
                <c:pt idx="353">
                  <c:v>-26.363883322006586</c:v>
                </c:pt>
                <c:pt idx="354">
                  <c:v>-27.055695650109222</c:v>
                </c:pt>
                <c:pt idx="355">
                  <c:v>-27.76109521579377</c:v>
                </c:pt>
                <c:pt idx="356">
                  <c:v>-28.480386348386407</c:v>
                </c:pt>
                <c:pt idx="357">
                  <c:v>-29.213874249624869</c:v>
                </c:pt>
                <c:pt idx="358">
                  <c:v>-29.961864546542731</c:v>
                </c:pt>
                <c:pt idx="359">
                  <c:v>-30.724662791181281</c:v>
                </c:pt>
                <c:pt idx="360">
                  <c:v>-31.502573902934142</c:v>
                </c:pt>
                <c:pt idx="361">
                  <c:v>-32.29590154916216</c:v>
                </c:pt>
                <c:pt idx="362">
                  <c:v>-33.104947459579954</c:v>
                </c:pt>
                <c:pt idx="363">
                  <c:v>-33.930010669799543</c:v>
                </c:pt>
                <c:pt idx="364">
                  <c:v>-34.771386689352326</c:v>
                </c:pt>
                <c:pt idx="365">
                  <c:v>-35.62936658948707</c:v>
                </c:pt>
                <c:pt idx="366">
                  <c:v>-36.504236006092917</c:v>
                </c:pt>
                <c:pt idx="367">
                  <c:v>-37.396274053207122</c:v>
                </c:pt>
                <c:pt idx="368">
                  <c:v>-38.305752142779561</c:v>
                </c:pt>
                <c:pt idx="369">
                  <c:v>-39.232932706670944</c:v>
                </c:pt>
                <c:pt idx="370">
                  <c:v>-40.178067817295123</c:v>
                </c:pt>
                <c:pt idx="371">
                  <c:v>-41.141397703881424</c:v>
                </c:pt>
                <c:pt idx="372">
                  <c:v>-42.123149162048755</c:v>
                </c:pt>
                <c:pt idx="373">
                  <c:v>-43.123533855276143</c:v>
                </c:pt>
                <c:pt idx="374">
                  <c:v>-44.142746507936018</c:v>
                </c:pt>
                <c:pt idx="375">
                  <c:v>-45.180962990837983</c:v>
                </c:pt>
                <c:pt idx="376">
                  <c:v>-46.238338301734416</c:v>
                </c:pt>
                <c:pt idx="377">
                  <c:v>-47.315004444977937</c:v>
                </c:pt>
                <c:pt idx="378">
                  <c:v>-48.411068216487706</c:v>
                </c:pt>
                <c:pt idx="379">
                  <c:v>-49.526608902404497</c:v>
                </c:pt>
                <c:pt idx="380">
                  <c:v>-50.661675902258168</c:v>
                </c:pt>
                <c:pt idx="381">
                  <c:v>-51.816286290151929</c:v>
                </c:pt>
                <c:pt idx="382">
                  <c:v>-52.990422330351592</c:v>
                </c:pt>
                <c:pt idx="383">
                  <c:v>-54.184028966710592</c:v>
                </c:pt>
                <c:pt idx="384">
                  <c:v>-55.397011308549537</c:v>
                </c:pt>
                <c:pt idx="385">
                  <c:v>-56.62923213884212</c:v>
                </c:pt>
                <c:pt idx="386">
                  <c:v>-57.880509473810314</c:v>
                </c:pt>
                <c:pt idx="387">
                  <c:v>-59.150614206169124</c:v>
                </c:pt>
                <c:pt idx="388">
                  <c:v>-60.43926786721827</c:v>
                </c:pt>
                <c:pt idx="389">
                  <c:v>-61.74614054561696</c:v>
                </c:pt>
                <c:pt idx="390">
                  <c:v>-63.070849002895216</c:v>
                </c:pt>
                <c:pt idx="391">
                  <c:v>-64.412955027389472</c:v>
                </c:pt>
                <c:pt idx="392">
                  <c:v>-65.771964069237185</c:v>
                </c:pt>
                <c:pt idx="393">
                  <c:v>-67.147324199169958</c:v>
                </c:pt>
                <c:pt idx="394">
                  <c:v>-68.538425432977888</c:v>
                </c:pt>
                <c:pt idx="395">
                  <c:v>-69.944599461605961</c:v>
                </c:pt>
                <c:pt idx="396">
                  <c:v>-71.365119823743058</c:v>
                </c:pt>
                <c:pt idx="397">
                  <c:v>-72.79920255348307</c:v>
                </c:pt>
                <c:pt idx="398">
                  <c:v>-74.246007330105527</c:v>
                </c:pt>
                <c:pt idx="399">
                  <c:v>-75.704639150321029</c:v>
                </c:pt>
                <c:pt idx="400">
                  <c:v>-77.174150535485424</c:v>
                </c:pt>
                <c:pt idx="401">
                  <c:v>-78.653544277489345</c:v>
                </c:pt>
                <c:pt idx="402">
                  <c:v>-80.141776717427277</c:v>
                </c:pt>
                <c:pt idx="403">
                  <c:v>-81.637761540996053</c:v>
                </c:pt>
                <c:pt idx="404">
                  <c:v>-83.140374064156575</c:v>
                </c:pt>
                <c:pt idx="405">
                  <c:v>-84.648455972210371</c:v>
                </c:pt>
                <c:pt idx="406">
                  <c:v>-86.160820465453895</c:v>
                </c:pt>
                <c:pt idx="407">
                  <c:v>-87.676257755304363</c:v>
                </c:pt>
                <c:pt idx="408">
                  <c:v>-89.193540846594956</c:v>
                </c:pt>
                <c:pt idx="409">
                  <c:v>-90.711431534897073</c:v>
                </c:pt>
                <c:pt idx="410">
                  <c:v>-92.228686542526489</c:v>
                </c:pt>
                <c:pt idx="411">
                  <c:v>-93.744063713526785</c:v>
                </c:pt>
                <c:pt idx="412">
                  <c:v>-95.256328186524826</c:v>
                </c:pt>
                <c:pt idx="413">
                  <c:v>-96.764258464973594</c:v>
                </c:pt>
                <c:pt idx="414">
                  <c:v>-98.266652306939633</c:v>
                </c:pt>
                <c:pt idx="415">
                  <c:v>-99.76233236110005</c:v>
                </c:pt>
                <c:pt idx="416">
                  <c:v>-101.25015148185825</c:v>
                </c:pt>
                <c:pt idx="417">
                  <c:v>-102.7289976641913</c:v>
                </c:pt>
                <c:pt idx="418">
                  <c:v>-104.1977985477358</c:v>
                </c:pt>
                <c:pt idx="419">
                  <c:v>-105.65552544935434</c:v>
                </c:pt>
                <c:pt idx="420">
                  <c:v>-107.10119689368418</c:v>
                </c:pt>
                <c:pt idx="421">
                  <c:v>-108.53388162158565</c:v>
                </c:pt>
                <c:pt idx="422">
                  <c:v>-109.95270106666831</c:v>
                </c:pt>
                <c:pt idx="423">
                  <c:v>-111.35683129989305</c:v>
                </c:pt>
                <c:pt idx="424">
                  <c:v>-112.74550445131865</c:v>
                </c:pt>
                <c:pt idx="425">
                  <c:v>-114.11800962627164</c:v>
                </c:pt>
                <c:pt idx="426">
                  <c:v>-115.4736933402927</c:v>
                </c:pt>
                <c:pt idx="427">
                  <c:v>-116.81195950315545</c:v>
                </c:pt>
                <c:pt idx="428">
                  <c:v>-118.13226898696158</c:v>
                </c:pt>
                <c:pt idx="429">
                  <c:v>-119.43413881680524</c:v>
                </c:pt>
                <c:pt idx="430">
                  <c:v>-120.71714102476724</c:v>
                </c:pt>
                <c:pt idx="431">
                  <c:v>-121.98090120924665</c:v>
                </c:pt>
                <c:pt idx="432">
                  <c:v>-123.22509684177119</c:v>
                </c:pt>
                <c:pt idx="433">
                  <c:v>-124.44945536277669</c:v>
                </c:pt>
                <c:pt idx="434">
                  <c:v>-125.6537521063693</c:v>
                </c:pt>
                <c:pt idx="435">
                  <c:v>-126.83780809204704</c:v>
                </c:pt>
                <c:pt idx="436">
                  <c:v>-128.0014877188141</c:v>
                </c:pt>
                <c:pt idx="437">
                  <c:v>-129.14469639423882</c:v>
                </c:pt>
                <c:pt idx="438">
                  <c:v>-130.26737812789793</c:v>
                </c:pt>
                <c:pt idx="439">
                  <c:v>-131.36951311542879</c:v>
                </c:pt>
                <c:pt idx="440">
                  <c:v>-132.45111533614246</c:v>
                </c:pt>
                <c:pt idx="441">
                  <c:v>-133.51223018397442</c:v>
                </c:pt>
                <c:pt idx="442">
                  <c:v>-134.55293214844551</c:v>
                </c:pt>
                <c:pt idx="443">
                  <c:v>-135.57332255941031</c:v>
                </c:pt>
                <c:pt idx="444">
                  <c:v>-136.57352740665746</c:v>
                </c:pt>
                <c:pt idx="445">
                  <c:v>-137.55369524295227</c:v>
                </c:pt>
                <c:pt idx="446">
                  <c:v>-138.51399517688284</c:v>
                </c:pt>
                <c:pt idx="447">
                  <c:v>-139.45461495989551</c:v>
                </c:pt>
                <c:pt idx="448">
                  <c:v>-140.37575917017298</c:v>
                </c:pt>
                <c:pt idx="449">
                  <c:v>-141.2776474945309</c:v>
                </c:pt>
                <c:pt idx="450">
                  <c:v>-142.16051310824702</c:v>
                </c:pt>
                <c:pt idx="451">
                  <c:v>-143.02460115170297</c:v>
                </c:pt>
                <c:pt idx="452">
                  <c:v>-143.87016730187258</c:v>
                </c:pt>
                <c:pt idx="453">
                  <c:v>-144.69747643602884</c:v>
                </c:pt>
                <c:pt idx="454">
                  <c:v>-145.5068013845316</c:v>
                </c:pt>
                <c:pt idx="455">
                  <c:v>-146.29842176919868</c:v>
                </c:pt>
                <c:pt idx="456">
                  <c:v>-147.07262292349361</c:v>
                </c:pt>
                <c:pt idx="457">
                  <c:v>-147.82969489064308</c:v>
                </c:pt>
                <c:pt idx="458">
                  <c:v>-148.56993149570985</c:v>
                </c:pt>
                <c:pt idx="459">
                  <c:v>-149.29362948765672</c:v>
                </c:pt>
                <c:pt idx="460">
                  <c:v>-150.00108774749856</c:v>
                </c:pt>
                <c:pt idx="461">
                  <c:v>-150.69260655873339</c:v>
                </c:pt>
                <c:pt idx="462">
                  <c:v>-151.3684869363756</c:v>
                </c:pt>
                <c:pt idx="463">
                  <c:v>-152.02903001106176</c:v>
                </c:pt>
                <c:pt idx="464">
                  <c:v>-152.67453646486624</c:v>
                </c:pt>
                <c:pt idx="465">
                  <c:v>-153.30530601563319</c:v>
                </c:pt>
                <c:pt idx="466">
                  <c:v>-153.9216369468063</c:v>
                </c:pt>
                <c:pt idx="467">
                  <c:v>-154.52382567990546</c:v>
                </c:pt>
                <c:pt idx="468">
                  <c:v>-155.11216638696271</c:v>
                </c:pt>
                <c:pt idx="469">
                  <c:v>-155.6869506403977</c:v>
                </c:pt>
                <c:pt idx="470">
                  <c:v>-156.24846709794838</c:v>
                </c:pt>
                <c:pt idx="471">
                  <c:v>-156.79700122041916</c:v>
                </c:pt>
                <c:pt idx="472">
                  <c:v>-157.33283502013956</c:v>
                </c:pt>
                <c:pt idx="473">
                  <c:v>-157.85624683814089</c:v>
                </c:pt>
                <c:pt idx="474">
                  <c:v>-158.36751114817358</c:v>
                </c:pt>
                <c:pt idx="475">
                  <c:v>-158.86689838578545</c:v>
                </c:pt>
                <c:pt idx="476">
                  <c:v>-159.35467480077241</c:v>
                </c:pt>
                <c:pt idx="477">
                  <c:v>-159.83110233141628</c:v>
                </c:pt>
                <c:pt idx="478">
                  <c:v>-160.29643849897289</c:v>
                </c:pt>
                <c:pt idx="479">
                  <c:v>-160.75093632098071</c:v>
                </c:pt>
                <c:pt idx="480">
                  <c:v>-161.19484424201167</c:v>
                </c:pt>
                <c:pt idx="481">
                  <c:v>-161.62840608055461</c:v>
                </c:pt>
                <c:pt idx="482">
                  <c:v>-162.05186099078824</c:v>
                </c:pt>
                <c:pt idx="483">
                  <c:v>-162.46544343805891</c:v>
                </c:pt>
                <c:pt idx="484">
                  <c:v>-162.86938318693456</c:v>
                </c:pt>
                <c:pt idx="485">
                  <c:v>-163.26390530076321</c:v>
                </c:pt>
                <c:pt idx="486">
                  <c:v>-163.64923015172315</c:v>
                </c:pt>
                <c:pt idx="487">
                  <c:v>-164.02557344039457</c:v>
                </c:pt>
                <c:pt idx="488">
                  <c:v>-164.3931462239467</c:v>
                </c:pt>
                <c:pt idx="489">
                  <c:v>-164.75215495207613</c:v>
                </c:pt>
                <c:pt idx="490">
                  <c:v>-165.10280150988518</c:v>
                </c:pt>
                <c:pt idx="491">
                  <c:v>-165.44528326693882</c:v>
                </c:pt>
                <c:pt idx="492">
                  <c:v>-165.7797931317838</c:v>
                </c:pt>
                <c:pt idx="493">
                  <c:v>-166.1065196112599</c:v>
                </c:pt>
                <c:pt idx="494">
                  <c:v>-166.42564687398118</c:v>
                </c:pt>
                <c:pt idx="495">
                  <c:v>-166.73735481740619</c:v>
                </c:pt>
                <c:pt idx="496">
                  <c:v>-167.04181913795816</c:v>
                </c:pt>
                <c:pt idx="497">
                  <c:v>-167.33921140369949</c:v>
                </c:pt>
                <c:pt idx="498">
                  <c:v>-167.62969912910029</c:v>
                </c:pt>
                <c:pt idx="499">
                  <c:v>-167.91344585148229</c:v>
                </c:pt>
                <c:pt idx="500">
                  <c:v>-168.19061120875287</c:v>
                </c:pt>
                <c:pt idx="501">
                  <c:v>-168.46135101807741</c:v>
                </c:pt>
                <c:pt idx="502">
                  <c:v>-168.72581735517309</c:v>
                </c:pt>
                <c:pt idx="503">
                  <c:v>-168.98415863393546</c:v>
                </c:pt>
                <c:pt idx="504">
                  <c:v>-169.23651968613927</c:v>
                </c:pt>
                <c:pt idx="505">
                  <c:v>-169.48304184098038</c:v>
                </c:pt>
                <c:pt idx="506">
                  <c:v>-169.72386300425367</c:v>
                </c:pt>
                <c:pt idx="507">
                  <c:v>-169.95911773698145</c:v>
                </c:pt>
                <c:pt idx="508">
                  <c:v>-170.18893733333286</c:v>
                </c:pt>
                <c:pt idx="509">
                  <c:v>-170.41344989769112</c:v>
                </c:pt>
                <c:pt idx="510">
                  <c:v>-170.63278042074728</c:v>
                </c:pt>
                <c:pt idx="511">
                  <c:v>-170.84705085451333</c:v>
                </c:pt>
                <c:pt idx="512">
                  <c:v>-171.05638018616642</c:v>
                </c:pt>
                <c:pt idx="513">
                  <c:v>-171.26088451064811</c:v>
                </c:pt>
                <c:pt idx="514">
                  <c:v>-171.46067710195379</c:v>
                </c:pt>
                <c:pt idx="515">
                  <c:v>-171.65586848306538</c:v>
                </c:pt>
                <c:pt idx="516">
                  <c:v>-171.84656649448414</c:v>
                </c:pt>
                <c:pt idx="517">
                  <c:v>-172.03287636133382</c:v>
                </c:pt>
                <c:pt idx="518">
                  <c:v>-172.21490075901275</c:v>
                </c:pt>
                <c:pt idx="519">
                  <c:v>-172.3927398773798</c:v>
                </c:pt>
                <c:pt idx="520">
                  <c:v>-172.56649148346747</c:v>
                </c:pt>
                <c:pt idx="521">
                  <c:v>-172.73625098271961</c:v>
                </c:pt>
                <c:pt idx="522">
                  <c:v>-172.90211147875831</c:v>
                </c:pt>
                <c:pt idx="523">
                  <c:v>-173.06416383168866</c:v>
                </c:pt>
                <c:pt idx="524">
                  <c:v>-173.22249671495263</c:v>
                </c:pt>
                <c:pt idx="525">
                  <c:v>-173.37719667074941</c:v>
                </c:pt>
                <c:pt idx="526">
                  <c:v>-173.52834816403984</c:v>
                </c:pt>
                <c:pt idx="527">
                  <c:v>-173.67603363515732</c:v>
                </c:pt>
                <c:pt idx="528">
                  <c:v>-173.82033355104778</c:v>
                </c:pt>
                <c:pt idx="529">
                  <c:v>-173.96132645516519</c:v>
                </c:pt>
                <c:pt idx="530">
                  <c:v>-174.09908901604763</c:v>
                </c:pt>
                <c:pt idx="531">
                  <c:v>-174.23369607460253</c:v>
                </c:pt>
                <c:pt idx="532">
                  <c:v>-174.36522069013051</c:v>
                </c:pt>
                <c:pt idx="533">
                  <c:v>-174.49373418511516</c:v>
                </c:pt>
                <c:pt idx="534">
                  <c:v>-174.61930618880996</c:v>
                </c:pt>
                <c:pt idx="535">
                  <c:v>-174.74200467965176</c:v>
                </c:pt>
                <c:pt idx="536">
                  <c:v>-174.86189602652982</c:v>
                </c:pt>
                <c:pt idx="537">
                  <c:v>-174.97904502894266</c:v>
                </c:pt>
                <c:pt idx="538">
                  <c:v>-175.09351495606938</c:v>
                </c:pt>
                <c:pt idx="539">
                  <c:v>-175.20536758478795</c:v>
                </c:pt>
                <c:pt idx="540">
                  <c:v>-175.31466323666712</c:v>
                </c:pt>
                <c:pt idx="541">
                  <c:v>-175.42146081396197</c:v>
                </c:pt>
              </c:numCache>
            </c:numRef>
          </c:yVal>
          <c:smooth val="1"/>
          <c:extLst>
            <c:ext xmlns:c16="http://schemas.microsoft.com/office/drawing/2014/chart" uri="{C3380CC4-5D6E-409C-BE32-E72D297353CC}">
              <c16:uniqueId val="{0000000B-1798-4659-8C8F-5766C9E652D3}"/>
            </c:ext>
          </c:extLst>
        </c:ser>
        <c:dLbls>
          <c:showLegendKey val="0"/>
          <c:showVal val="0"/>
          <c:showCatName val="0"/>
          <c:showSerName val="0"/>
          <c:showPercent val="0"/>
          <c:showBubbleSize val="0"/>
        </c:dLbls>
        <c:axId val="589267712"/>
        <c:axId val="589261440"/>
      </c:scatterChart>
      <c:valAx>
        <c:axId val="589245056"/>
        <c:scaling>
          <c:logBase val="10"/>
          <c:orientation val="minMax"/>
          <c:max val="2000000"/>
          <c:min val="10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589259520"/>
        <c:crosses val="autoZero"/>
        <c:crossBetween val="midCat"/>
      </c:valAx>
      <c:valAx>
        <c:axId val="58925952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589245056"/>
        <c:crosses val="autoZero"/>
        <c:crossBetween val="midCat"/>
        <c:majorUnit val="20"/>
        <c:minorUnit val="10"/>
      </c:valAx>
      <c:valAx>
        <c:axId val="589261440"/>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589267712"/>
        <c:crosses val="max"/>
        <c:crossBetween val="midCat"/>
        <c:majorUnit val="90"/>
        <c:minorUnit val="45"/>
      </c:valAx>
      <c:valAx>
        <c:axId val="589267712"/>
        <c:scaling>
          <c:logBase val="10"/>
          <c:orientation val="minMax"/>
        </c:scaling>
        <c:delete val="1"/>
        <c:axPos val="b"/>
        <c:numFmt formatCode="0.00" sourceLinked="1"/>
        <c:majorTickMark val="out"/>
        <c:minorTickMark val="none"/>
        <c:tickLblPos val="nextTo"/>
        <c:crossAx val="589261440"/>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rPr>
              <a:t>Isolated Loop Response</a:t>
            </a:r>
            <a:endParaRPr lang="en-US" sz="1600">
              <a:effectLst/>
            </a:endParaRPr>
          </a:p>
        </c:rich>
      </c:tx>
      <c:layout>
        <c:manualLayout>
          <c:xMode val="edge"/>
          <c:yMode val="edge"/>
          <c:x val="9.4354157174953393E-2"/>
          <c:y val="3.9916010498687662E-3"/>
        </c:manualLayout>
      </c:layout>
      <c:overlay val="0"/>
    </c:title>
    <c:autoTitleDeleted val="0"/>
    <c:plotArea>
      <c:layout>
        <c:manualLayout>
          <c:layoutTarget val="inner"/>
          <c:xMode val="edge"/>
          <c:yMode val="edge"/>
          <c:x val="8.7413438847232044E-2"/>
          <c:y val="8.91580410193186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CCM_Loop_Modeling_Isolated!$AW$19:$AW$560</c:f>
              <c:numCache>
                <c:formatCode>0.000</c:formatCode>
                <c:ptCount val="542"/>
                <c:pt idx="0">
                  <c:v>32.865165371515644</c:v>
                </c:pt>
                <c:pt idx="1">
                  <c:v>32.730961964260466</c:v>
                </c:pt>
                <c:pt idx="2">
                  <c:v>32.594809158138396</c:v>
                </c:pt>
                <c:pt idx="3">
                  <c:v>32.456733884080165</c:v>
                </c:pt>
                <c:pt idx="4">
                  <c:v>32.316764637063223</c:v>
                </c:pt>
                <c:pt idx="5">
                  <c:v>32.174931354354541</c:v>
                </c:pt>
                <c:pt idx="6">
                  <c:v>32.031265292966246</c:v>
                </c:pt>
                <c:pt idx="7">
                  <c:v>31.885798907036602</c:v>
                </c:pt>
                <c:pt idx="8">
                  <c:v>31.73856572581424</c:v>
                </c:pt>
                <c:pt idx="9">
                  <c:v>31.589600232888898</c:v>
                </c:pt>
                <c:pt idx="10">
                  <c:v>31.438937747265992</c:v>
                </c:pt>
                <c:pt idx="11">
                  <c:v>31.286614306837844</c:v>
                </c:pt>
                <c:pt idx="12">
                  <c:v>31.13266655475617</c:v>
                </c:pt>
                <c:pt idx="13">
                  <c:v>30.977131629155391</c:v>
                </c:pt>
                <c:pt idx="14">
                  <c:v>30.820047056627395</c:v>
                </c:pt>
                <c:pt idx="15">
                  <c:v>30.661450649794382</c:v>
                </c:pt>
                <c:pt idx="16">
                  <c:v>30.501380409272318</c:v>
                </c:pt>
                <c:pt idx="17">
                  <c:v>30.339874430267773</c:v>
                </c:pt>
                <c:pt idx="18">
                  <c:v>30.176970814000764</c:v>
                </c:pt>
                <c:pt idx="19">
                  <c:v>30.012707584094933</c:v>
                </c:pt>
                <c:pt idx="20">
                  <c:v>29.847122608036464</c:v>
                </c:pt>
                <c:pt idx="21">
                  <c:v>29.680253523754295</c:v>
                </c:pt>
                <c:pt idx="22">
                  <c:v>29.512137671340323</c:v>
                </c:pt>
                <c:pt idx="23">
                  <c:v>29.34281202988419</c:v>
                </c:pt>
                <c:pt idx="24">
                  <c:v>29.172313159375104</c:v>
                </c:pt>
                <c:pt idx="25">
                  <c:v>29.00067714758023</c:v>
                </c:pt>
                <c:pt idx="26">
                  <c:v>28.82793956179524</c:v>
                </c:pt>
                <c:pt idx="27">
                  <c:v>28.654135405331317</c:v>
                </c:pt>
                <c:pt idx="28">
                  <c:v>28.479299078587211</c:v>
                </c:pt>
                <c:pt idx="29">
                  <c:v>28.30346434453751</c:v>
                </c:pt>
                <c:pt idx="30">
                  <c:v>28.126664298455228</c:v>
                </c:pt>
                <c:pt idx="31">
                  <c:v>27.948931341675568</c:v>
                </c:pt>
                <c:pt idx="32">
                  <c:v>27.77029715920126</c:v>
                </c:pt>
                <c:pt idx="33">
                  <c:v>27.590792700942082</c:v>
                </c:pt>
                <c:pt idx="34">
                  <c:v>27.410448166379837</c:v>
                </c:pt>
                <c:pt idx="35">
                  <c:v>27.229292992448968</c:v>
                </c:pt>
                <c:pt idx="36">
                  <c:v>27.047355844421993</c:v>
                </c:pt>
                <c:pt idx="37">
                  <c:v>26.864664609591308</c:v>
                </c:pt>
                <c:pt idx="38">
                  <c:v>26.681246393544914</c:v>
                </c:pt>
                <c:pt idx="39">
                  <c:v>26.497127518834574</c:v>
                </c:pt>
                <c:pt idx="40">
                  <c:v>26.312333525844004</c:v>
                </c:pt>
                <c:pt idx="41">
                  <c:v>26.126889175668865</c:v>
                </c:pt>
                <c:pt idx="42">
                  <c:v>25.940818454829117</c:v>
                </c:pt>
                <c:pt idx="43">
                  <c:v>25.754144581641675</c:v>
                </c:pt>
                <c:pt idx="44">
                  <c:v>25.566890014089651</c:v>
                </c:pt>
                <c:pt idx="45">
                  <c:v>25.379076459031626</c:v>
                </c:pt>
                <c:pt idx="46">
                  <c:v>25.190724882606816</c:v>
                </c:pt>
                <c:pt idx="47">
                  <c:v>25.001855521695774</c:v>
                </c:pt>
                <c:pt idx="48">
                  <c:v>24.812487896309445</c:v>
                </c:pt>
                <c:pt idx="49">
                  <c:v>24.622640822785428</c:v>
                </c:pt>
                <c:pt idx="50">
                  <c:v>24.432332427680919</c:v>
                </c:pt>
                <c:pt idx="51">
                  <c:v>24.241580162257989</c:v>
                </c:pt>
                <c:pt idx="52">
                  <c:v>24.050400817468063</c:v>
                </c:pt>
                <c:pt idx="53">
                  <c:v>23.858810539347175</c:v>
                </c:pt>
                <c:pt idx="54">
                  <c:v>23.666824844743957</c:v>
                </c:pt>
                <c:pt idx="55">
                  <c:v>23.474458637309048</c:v>
                </c:pt>
                <c:pt idx="56">
                  <c:v>23.281726223680622</c:v>
                </c:pt>
                <c:pt idx="57">
                  <c:v>23.088641329808407</c:v>
                </c:pt>
                <c:pt idx="58">
                  <c:v>22.895217117365494</c:v>
                </c:pt>
                <c:pt idx="59">
                  <c:v>22.701466200201608</c:v>
                </c:pt>
                <c:pt idx="60">
                  <c:v>22.507400660800592</c:v>
                </c:pt>
                <c:pt idx="61">
                  <c:v>22.313032066703901</c:v>
                </c:pt>
                <c:pt idx="62">
                  <c:v>22.118371486875859</c:v>
                </c:pt>
                <c:pt idx="63">
                  <c:v>21.923429507982021</c:v>
                </c:pt>
                <c:pt idx="64">
                  <c:v>21.728216250563015</c:v>
                </c:pt>
                <c:pt idx="65">
                  <c:v>21.532741385086315</c:v>
                </c:pt>
                <c:pt idx="66">
                  <c:v>21.337014147864451</c:v>
                </c:pt>
                <c:pt idx="67">
                  <c:v>21.141043356828717</c:v>
                </c:pt>
                <c:pt idx="68">
                  <c:v>20.944837427154109</c:v>
                </c:pt>
                <c:pt idx="69">
                  <c:v>20.748404386729703</c:v>
                </c:pt>
                <c:pt idx="70">
                  <c:v>20.551751891474357</c:v>
                </c:pt>
                <c:pt idx="71">
                  <c:v>20.354887240496979</c:v>
                </c:pt>
                <c:pt idx="72">
                  <c:v>20.15781739110497</c:v>
                </c:pt>
                <c:pt idx="73">
                  <c:v>19.960548973662039</c:v>
                </c:pt>
                <c:pt idx="74">
                  <c:v>19.76308830630127</c:v>
                </c:pt>
                <c:pt idx="75">
                  <c:v>19.565441409497673</c:v>
                </c:pt>
                <c:pt idx="76">
                  <c:v>19.367614020504455</c:v>
                </c:pt>
                <c:pt idx="77">
                  <c:v>19.169611607659093</c:v>
                </c:pt>
                <c:pt idx="78">
                  <c:v>18.971439384562821</c:v>
                </c:pt>
                <c:pt idx="79">
                  <c:v>18.773102324137366</c:v>
                </c:pt>
                <c:pt idx="80">
                  <c:v>18.574605172561412</c:v>
                </c:pt>
                <c:pt idx="81">
                  <c:v>18.375952463088026</c:v>
                </c:pt>
                <c:pt idx="82">
                  <c:v>18.177148529741672</c:v>
                </c:pt>
                <c:pt idx="83">
                  <c:v>17.978197520892813</c:v>
                </c:pt>
                <c:pt idx="84">
                  <c:v>17.779103412703673</c:v>
                </c:pt>
                <c:pt idx="85">
                  <c:v>17.579870022438463</c:v>
                </c:pt>
                <c:pt idx="86">
                  <c:v>17.380501021625566</c:v>
                </c:pt>
                <c:pt idx="87">
                  <c:v>17.180999949058496</c:v>
                </c:pt>
                <c:pt idx="88">
                  <c:v>16.981370223617969</c:v>
                </c:pt>
                <c:pt idx="89">
                  <c:v>16.781615156893906</c:v>
                </c:pt>
                <c:pt idx="90">
                  <c:v>16.581737965581624</c:v>
                </c:pt>
                <c:pt idx="91">
                  <c:v>16.381741783625429</c:v>
                </c:pt>
                <c:pt idx="92">
                  <c:v>16.181629674076596</c:v>
                </c:pt>
                <c:pt idx="93">
                  <c:v>15.981404640630291</c:v>
                </c:pt>
                <c:pt idx="94">
                  <c:v>15.781069638801652</c:v>
                </c:pt>
                <c:pt idx="95">
                  <c:v>15.580627586700686</c:v>
                </c:pt>
                <c:pt idx="96">
                  <c:v>15.380081375359239</c:v>
                </c:pt>
                <c:pt idx="97">
                  <c:v>15.179433878563968</c:v>
                </c:pt>
                <c:pt idx="98">
                  <c:v>14.978687962145749</c:v>
                </c:pt>
                <c:pt idx="99">
                  <c:v>14.777846492674929</c:v>
                </c:pt>
                <c:pt idx="100">
                  <c:v>14.576912345512925</c:v>
                </c:pt>
                <c:pt idx="101">
                  <c:v>14.375888412168527</c:v>
                </c:pt>
                <c:pt idx="102">
                  <c:v>14.174777606909682</c:v>
                </c:pt>
                <c:pt idx="103">
                  <c:v>13.973582872584018</c:v>
                </c:pt>
                <c:pt idx="104">
                  <c:v>13.772307185603641</c:v>
                </c:pt>
                <c:pt idx="105">
                  <c:v>13.570953560052963</c:v>
                </c:pt>
                <c:pt idx="106">
                  <c:v>13.369525050886168</c:v>
                </c:pt>
                <c:pt idx="107">
                  <c:v>13.168024756182639</c:v>
                </c:pt>
                <c:pt idx="108">
                  <c:v>12.966455818438851</c:v>
                </c:pt>
                <c:pt idx="109">
                  <c:v>12.764821424882582</c:v>
                </c:pt>
                <c:pt idx="110">
                  <c:v>12.563124806800809</c:v>
                </c:pt>
                <c:pt idx="111">
                  <c:v>12.361369237886652</c:v>
                </c:pt>
                <c:pt idx="112">
                  <c:v>12.15955803161598</c:v>
                </c:pt>
                <c:pt idx="113">
                  <c:v>11.957694537677082</c:v>
                </c:pt>
                <c:pt idx="114">
                  <c:v>11.755782137485378</c:v>
                </c:pt>
                <c:pt idx="115">
                  <c:v>11.553824238827172</c:v>
                </c:pt>
                <c:pt idx="116">
                  <c:v>11.351824269684879</c:v>
                </c:pt>
                <c:pt idx="117">
                  <c:v>11.149785671306095</c:v>
                </c:pt>
                <c:pt idx="118">
                  <c:v>10.947711890589108</c:v>
                </c:pt>
                <c:pt idx="119">
                  <c:v>10.745606371863847</c:v>
                </c:pt>
                <c:pt idx="120">
                  <c:v>10.543472548155826</c:v>
                </c:pt>
                <c:pt idx="121">
                  <c:v>10.34131383202765</c:v>
                </c:pt>
                <c:pt idx="122">
                  <c:v>10.139133606093063</c:v>
                </c:pt>
                <c:pt idx="123">
                  <c:v>9.9369352133089226</c:v>
                </c:pt>
                <c:pt idx="124">
                  <c:v>9.7347219471447399</c:v>
                </c:pt>
                <c:pt idx="125">
                  <c:v>9.5324970417369865</c:v>
                </c:pt>
                <c:pt idx="126">
                  <c:v>9.3302636621271056</c:v>
                </c:pt>
                <c:pt idx="127">
                  <c:v>9.1280248946868188</c:v>
                </c:pt>
                <c:pt idx="128">
                  <c:v>8.9257837378226199</c:v>
                </c:pt>
                <c:pt idx="129">
                  <c:v>8.7235430930528501</c:v>
                </c:pt>
                <c:pt idx="130">
                  <c:v>8.5213057565377817</c:v>
                </c:pt>
                <c:pt idx="131">
                  <c:v>8.3190744111397397</c:v>
                </c:pt>
                <c:pt idx="132">
                  <c:v>8.1168516190792843</c:v>
                </c:pt>
                <c:pt idx="133">
                  <c:v>7.9146398152439277</c:v>
                </c:pt>
                <c:pt idx="134">
                  <c:v>7.7124413011965558</c:v>
                </c:pt>
                <c:pt idx="135">
                  <c:v>7.5102582399199918</c:v>
                </c:pt>
                <c:pt idx="136">
                  <c:v>7.3080926513225393</c:v>
                </c:pt>
                <c:pt idx="137">
                  <c:v>7.1059464085210955</c:v>
                </c:pt>
                <c:pt idx="138">
                  <c:v>6.9038212349057195</c:v>
                </c:pt>
                <c:pt idx="139">
                  <c:v>6.7017187019812097</c:v>
                </c:pt>
                <c:pt idx="140">
                  <c:v>6.4996402279716001</c:v>
                </c:pt>
                <c:pt idx="141">
                  <c:v>6.2975870771647635</c:v>
                </c:pt>
                <c:pt idx="142">
                  <c:v>6.0955603599673038</c:v>
                </c:pt>
                <c:pt idx="143">
                  <c:v>5.8935610336314088</c:v>
                </c:pt>
                <c:pt idx="144">
                  <c:v>5.6915899036121163</c:v>
                </c:pt>
                <c:pt idx="145">
                  <c:v>5.4896476255052642</c:v>
                </c:pt>
                <c:pt idx="146">
                  <c:v>5.2877347075158054</c:v>
                </c:pt>
                <c:pt idx="147">
                  <c:v>5.0858515134002102</c:v>
                </c:pt>
                <c:pt idx="148">
                  <c:v>4.8839982658276409</c:v>
                </c:pt>
                <c:pt idx="149">
                  <c:v>4.6821750500999251</c:v>
                </c:pt>
                <c:pt idx="150">
                  <c:v>4.4803818181738384</c:v>
                </c:pt>
                <c:pt idx="151">
                  <c:v>4.2786183929272763</c:v>
                </c:pt>
                <c:pt idx="152">
                  <c:v>4.0768844726122655</c:v>
                </c:pt>
                <c:pt idx="153">
                  <c:v>3.8751796354408214</c:v>
                </c:pt>
                <c:pt idx="154">
                  <c:v>3.6735033442507774</c:v>
                </c:pt>
                <c:pt idx="155">
                  <c:v>3.4718549512010304</c:v>
                </c:pt>
                <c:pt idx="156">
                  <c:v>3.2702337024508115</c:v>
                </c:pt>
                <c:pt idx="157">
                  <c:v>3.0686387427783037</c:v>
                </c:pt>
                <c:pt idx="158">
                  <c:v>2.8670691200990617</c:v>
                </c:pt>
                <c:pt idx="159">
                  <c:v>2.6655237898476285</c:v>
                </c:pt>
                <c:pt idx="160">
                  <c:v>2.4640016191895149</c:v>
                </c:pt>
                <c:pt idx="161">
                  <c:v>2.2625013910338891</c:v>
                </c:pt>
                <c:pt idx="162">
                  <c:v>2.0610218078220783</c:v>
                </c:pt>
                <c:pt idx="163">
                  <c:v>1.8595614950681556</c:v>
                </c:pt>
                <c:pt idx="164">
                  <c:v>1.6581190046336158</c:v>
                </c:pt>
                <c:pt idx="165">
                  <c:v>1.4566928177191083</c:v>
                </c:pt>
                <c:pt idx="166">
                  <c:v>1.2552813475606197</c:v>
                </c:pt>
                <c:pt idx="167">
                  <c:v>1.053882941819124</c:v>
                </c:pt>
                <c:pt idx="168">
                  <c:v>0.85249588465518211</c:v>
                </c:pt>
                <c:pt idx="169">
                  <c:v>0.65111839848310582</c:v>
                </c:pt>
                <c:pt idx="170">
                  <c:v>0.44974864539964438</c:v>
                </c:pt>
                <c:pt idx="171">
                  <c:v>0.24838472828584954</c:v>
                </c:pt>
                <c:pt idx="172">
                  <c:v>4.7024691579496618E-2</c:v>
                </c:pt>
                <c:pt idx="173">
                  <c:v>-0.15433347827976751</c:v>
                </c:pt>
                <c:pt idx="174">
                  <c:v>-0.35569185273288223</c:v>
                </c:pt>
                <c:pt idx="175">
                  <c:v>-0.55705256130823144</c:v>
                </c:pt>
                <c:pt idx="176">
                  <c:v>-0.75841779215136018</c:v>
                </c:pt>
                <c:pt idx="177">
                  <c:v>-0.95978979287214661</c:v>
                </c:pt>
                <c:pt idx="178">
                  <c:v>-1.1611708717080509</c:v>
                </c:pt>
                <c:pt idx="179">
                  <c:v>-1.3625633989986068</c:v>
                </c:pt>
                <c:pt idx="180">
                  <c:v>-1.5639698089672736</c:v>
                </c:pt>
                <c:pt idx="181">
                  <c:v>-1.7653926018067381</c:v>
                </c:pt>
                <c:pt idx="182">
                  <c:v>-1.9668343460643509</c:v>
                </c:pt>
                <c:pt idx="183">
                  <c:v>-2.1682976813238333</c:v>
                </c:pt>
                <c:pt idx="184">
                  <c:v>-2.3697853211806446</c:v>
                </c:pt>
                <c:pt idx="185">
                  <c:v>-2.5713000565072313</c:v>
                </c:pt>
                <c:pt idx="186">
                  <c:v>-2.772844759007322</c:v>
                </c:pt>
                <c:pt idx="187">
                  <c:v>-2.9744223850551372</c:v>
                </c:pt>
                <c:pt idx="188">
                  <c:v>-3.176035979820738</c:v>
                </c:pt>
                <c:pt idx="189">
                  <c:v>-3.3776886816779328</c:v>
                </c:pt>
                <c:pt idx="190">
                  <c:v>-3.5793837268963973</c:v>
                </c:pt>
                <c:pt idx="191">
                  <c:v>-3.7811244546171192</c:v>
                </c:pt>
                <c:pt idx="192">
                  <c:v>-3.9829143121115851</c:v>
                </c:pt>
                <c:pt idx="193">
                  <c:v>-4.1847568603271572</c:v>
                </c:pt>
                <c:pt idx="194">
                  <c:v>-4.3866557797187919</c:v>
                </c:pt>
                <c:pt idx="195">
                  <c:v>-4.5886148763700465</c:v>
                </c:pt>
                <c:pt idx="196">
                  <c:v>-4.7906380884073636</c:v>
                </c:pt>
                <c:pt idx="197">
                  <c:v>-4.9927294927069896</c:v>
                </c:pt>
                <c:pt idx="198">
                  <c:v>-5.1948933119030629</c:v>
                </c:pt>
                <c:pt idx="199">
                  <c:v>-5.3971339216971277</c:v>
                </c:pt>
                <c:pt idx="200">
                  <c:v>-5.5994558584743874</c:v>
                </c:pt>
                <c:pt idx="201">
                  <c:v>-5.8018638272319345</c:v>
                </c:pt>
                <c:pt idx="202">
                  <c:v>-6.0043627098235861</c:v>
                </c:pt>
                <c:pt idx="203">
                  <c:v>-6.2069575735255622</c:v>
                </c:pt>
                <c:pt idx="204">
                  <c:v>-6.4096536799292601</c:v>
                </c:pt>
                <c:pt idx="205">
                  <c:v>-6.6124564941658548</c:v>
                </c:pt>
                <c:pt idx="206">
                  <c:v>-6.8153716944679967</c:v>
                </c:pt>
                <c:pt idx="207">
                  <c:v>-7.0184051820741677</c:v>
                </c:pt>
                <c:pt idx="208">
                  <c:v>-7.2215630914805198</c:v>
                </c:pt>
                <c:pt idx="209">
                  <c:v>-7.4248518010452322</c:v>
                </c:pt>
                <c:pt idx="210">
                  <c:v>-7.6282779439496071</c:v>
                </c:pt>
                <c:pt idx="211">
                  <c:v>-7.8318484195200266</c:v>
                </c:pt>
                <c:pt idx="212">
                  <c:v>-8.0355704049158252</c:v>
                </c:pt>
                <c:pt idx="213">
                  <c:v>-8.2394513671828307</c:v>
                </c:pt>
                <c:pt idx="214">
                  <c:v>-8.4434990756781332</c:v>
                </c:pt>
                <c:pt idx="215">
                  <c:v>-8.6477216148655671</c:v>
                </c:pt>
                <c:pt idx="216">
                  <c:v>-8.8521273974817944</c:v>
                </c:pt>
                <c:pt idx="217">
                  <c:v>-9.0567251780738509</c:v>
                </c:pt>
                <c:pt idx="218">
                  <c:v>-9.2615240669027816</c:v>
                </c:pt>
                <c:pt idx="219">
                  <c:v>-9.4665335442133518</c:v>
                </c:pt>
                <c:pt idx="220">
                  <c:v>-9.671763474860807</c:v>
                </c:pt>
                <c:pt idx="221">
                  <c:v>-9.8772241232878439</c:v>
                </c:pt>
                <c:pt idx="222">
                  <c:v>-10.082926168844503</c:v>
                </c:pt>
                <c:pt idx="223">
                  <c:v>-10.288880721435111</c:v>
                </c:pt>
                <c:pt idx="224">
                  <c:v>-10.495099337480205</c:v>
                </c:pt>
                <c:pt idx="225">
                  <c:v>-10.701594036174981</c:v>
                </c:pt>
                <c:pt idx="226">
                  <c:v>-10.908377316023849</c:v>
                </c:pt>
                <c:pt idx="227">
                  <c:v>-11.115462171625449</c:v>
                </c:pt>
                <c:pt idx="228">
                  <c:v>-11.322862110683829</c:v>
                </c:pt>
                <c:pt idx="229">
                  <c:v>-11.530591171208393</c:v>
                </c:pt>
                <c:pt idx="230">
                  <c:v>-11.738663938873113</c:v>
                </c:pt>
                <c:pt idx="231">
                  <c:v>-11.947095564487389</c:v>
                </c:pt>
                <c:pt idx="232">
                  <c:v>-12.155901781538958</c:v>
                </c:pt>
                <c:pt idx="233">
                  <c:v>-12.365098923752429</c:v>
                </c:pt>
                <c:pt idx="234">
                  <c:v>-12.574703942610126</c:v>
                </c:pt>
                <c:pt idx="235">
                  <c:v>-12.784734424771049</c:v>
                </c:pt>
                <c:pt idx="236">
                  <c:v>-12.995208609319686</c:v>
                </c:pt>
                <c:pt idx="237">
                  <c:v>-13.206145404767254</c:v>
                </c:pt>
                <c:pt idx="238">
                  <c:v>-13.417564405724045</c:v>
                </c:pt>
                <c:pt idx="239">
                  <c:v>-13.629485909152507</c:v>
                </c:pt>
                <c:pt idx="240">
                  <c:v>-13.841930930102569</c:v>
                </c:pt>
                <c:pt idx="241">
                  <c:v>-14.054921216825454</c:v>
                </c:pt>
                <c:pt idx="242">
                  <c:v>-14.268479265149773</c:v>
                </c:pt>
                <c:pt idx="243">
                  <c:v>-14.4826283320001</c:v>
                </c:pt>
                <c:pt idx="244">
                  <c:v>-14.697392447928239</c:v>
                </c:pt>
                <c:pt idx="245">
                  <c:v>-14.912796428516167</c:v>
                </c:pt>
                <c:pt idx="246">
                  <c:v>-15.128865884505942</c:v>
                </c:pt>
                <c:pt idx="247">
                  <c:v>-15.345627230500956</c:v>
                </c:pt>
                <c:pt idx="248">
                  <c:v>-15.563107692073794</c:v>
                </c:pt>
                <c:pt idx="249">
                  <c:v>-15.781335311111276</c:v>
                </c:pt>
                <c:pt idx="250">
                  <c:v>-16.000338949217333</c:v>
                </c:pt>
                <c:pt idx="251">
                  <c:v>-16.220148288987733</c:v>
                </c:pt>
                <c:pt idx="252">
                  <c:v>-16.440793832967501</c:v>
                </c:pt>
                <c:pt idx="253">
                  <c:v>-16.662306900090261</c:v>
                </c:pt>
                <c:pt idx="254">
                  <c:v>-16.884719619404365</c:v>
                </c:pt>
                <c:pt idx="255">
                  <c:v>-17.108064920876597</c:v>
                </c:pt>
                <c:pt idx="256">
                  <c:v>-17.332376523070209</c:v>
                </c:pt>
                <c:pt idx="257">
                  <c:v>-17.557688917494563</c:v>
                </c:pt>
                <c:pt idx="258">
                  <c:v>-17.784037349417353</c:v>
                </c:pt>
                <c:pt idx="259">
                  <c:v>-18.011457794945841</c:v>
                </c:pt>
                <c:pt idx="260">
                  <c:v>-18.239986934180415</c:v>
                </c:pt>
                <c:pt idx="261">
                  <c:v>-18.469662120256395</c:v>
                </c:pt>
                <c:pt idx="262">
                  <c:v>-18.7005213441027</c:v>
                </c:pt>
                <c:pt idx="263">
                  <c:v>-18.932603194755767</c:v>
                </c:pt>
                <c:pt idx="264">
                  <c:v>-19.165946815090482</c:v>
                </c:pt>
                <c:pt idx="265">
                  <c:v>-19.400591852843444</c:v>
                </c:pt>
                <c:pt idx="266">
                  <c:v>-19.636578406833777</c:v>
                </c:pt>
                <c:pt idx="267">
                  <c:v>-19.873946968310459</c:v>
                </c:pt>
                <c:pt idx="268">
                  <c:v>-20.112738357385751</c:v>
                </c:pt>
                <c:pt idx="269">
                  <c:v>-20.352993654550847</c:v>
                </c:pt>
                <c:pt idx="270">
                  <c:v>-20.594754127304196</c:v>
                </c:pt>
                <c:pt idx="271">
                  <c:v>-20.838061151965256</c:v>
                </c:pt>
                <c:pt idx="272">
                  <c:v>-21.082956130789565</c:v>
                </c:pt>
                <c:pt idx="273">
                  <c:v>-21.329480404549152</c:v>
                </c:pt>
                <c:pt idx="274">
                  <c:v>-21.577675160786502</c:v>
                </c:pt>
                <c:pt idx="275">
                  <c:v>-21.827581338006439</c:v>
                </c:pt>
                <c:pt idx="276">
                  <c:v>-22.07923952612013</c:v>
                </c:pt>
                <c:pt idx="277">
                  <c:v>-22.332689863505802</c:v>
                </c:pt>
                <c:pt idx="278">
                  <c:v>-22.58797193110993</c:v>
                </c:pt>
                <c:pt idx="279">
                  <c:v>-22.845124644059247</c:v>
                </c:pt>
                <c:pt idx="280">
                  <c:v>-23.104186141309984</c:v>
                </c:pt>
                <c:pt idx="281">
                  <c:v>-23.365193673905729</c:v>
                </c:pt>
                <c:pt idx="282">
                  <c:v>-23.628183492465489</c:v>
                </c:pt>
                <c:pt idx="283">
                  <c:v>-23.893190734561575</c:v>
                </c:pt>
                <c:pt idx="284">
                  <c:v>-24.16024931268753</c:v>
                </c:pt>
                <c:pt idx="285">
                  <c:v>-24.429391803544647</c:v>
                </c:pt>
                <c:pt idx="286">
                  <c:v>-24.700649339402684</c:v>
                </c:pt>
                <c:pt idx="287">
                  <c:v>-24.974051502306164</c:v>
                </c:pt>
                <c:pt idx="288">
                  <c:v>-25.249626221908088</c:v>
                </c:pt>
                <c:pt idx="289">
                  <c:v>-25.527399677710598</c:v>
                </c:pt>
                <c:pt idx="290">
                  <c:v>-25.807396206490463</c:v>
                </c:pt>
                <c:pt idx="291">
                  <c:v>-26.089638215656613</c:v>
                </c:pt>
                <c:pt idx="292">
                  <c:v>-26.374146103276168</c:v>
                </c:pt>
                <c:pt idx="293">
                  <c:v>-26.66093818545076</c:v>
                </c:pt>
                <c:pt idx="294">
                  <c:v>-26.950030631693238</c:v>
                </c:pt>
                <c:pt idx="295">
                  <c:v>-27.241437408888615</c:v>
                </c:pt>
                <c:pt idx="296">
                  <c:v>-27.535170234367158</c:v>
                </c:pt>
                <c:pt idx="297">
                  <c:v>-27.831238538541335</c:v>
                </c:pt>
                <c:pt idx="298">
                  <c:v>-28.129649437482357</c:v>
                </c:pt>
                <c:pt idx="299">
                  <c:v>-28.430407715730752</c:v>
                </c:pt>
                <c:pt idx="300">
                  <c:v>-28.733515819543534</c:v>
                </c:pt>
                <c:pt idx="301">
                  <c:v>-29.038973860695052</c:v>
                </c:pt>
                <c:pt idx="302">
                  <c:v>-29.346779630852936</c:v>
                </c:pt>
                <c:pt idx="303">
                  <c:v>-29.656928626460896</c:v>
                </c:pt>
                <c:pt idx="304">
                  <c:v>-29.969414083967862</c:v>
                </c:pt>
                <c:pt idx="305">
                  <c:v>-30.284227025155786</c:v>
                </c:pt>
                <c:pt idx="306">
                  <c:v>-30.601356312234639</c:v>
                </c:pt>
                <c:pt idx="307">
                  <c:v>-30.920788712293263</c:v>
                </c:pt>
                <c:pt idx="308">
                  <c:v>-31.242508970624559</c:v>
                </c:pt>
                <c:pt idx="309">
                  <c:v>-31.566499892376136</c:v>
                </c:pt>
                <c:pt idx="310">
                  <c:v>-31.892742431923175</c:v>
                </c:pt>
                <c:pt idx="311">
                  <c:v>-32.221215789311245</c:v>
                </c:pt>
                <c:pt idx="312">
                  <c:v>-32.551897513079012</c:v>
                </c:pt>
                <c:pt idx="313">
                  <c:v>-32.884763608740187</c:v>
                </c:pt>
                <c:pt idx="314">
                  <c:v>-33.219788652189408</c:v>
                </c:pt>
                <c:pt idx="315">
                  <c:v>-33.556945907279932</c:v>
                </c:pt>
                <c:pt idx="316">
                  <c:v>-33.89620744682918</c:v>
                </c:pt>
                <c:pt idx="317">
                  <c:v>-34.237544276308448</c:v>
                </c:pt>
                <c:pt idx="318">
                  <c:v>-34.58092645949727</c:v>
                </c:pt>
                <c:pt idx="319">
                  <c:v>-34.926323245401754</c:v>
                </c:pt>
                <c:pt idx="320">
                  <c:v>-35.273703195772065</c:v>
                </c:pt>
                <c:pt idx="321">
                  <c:v>-35.623034312588629</c:v>
                </c:pt>
                <c:pt idx="322">
                  <c:v>-35.97428416493085</c:v>
                </c:pt>
                <c:pt idx="323">
                  <c:v>-36.327420014689189</c:v>
                </c:pt>
                <c:pt idx="324">
                  <c:v>-36.682408940632207</c:v>
                </c:pt>
                <c:pt idx="325">
                  <c:v>-37.039217960389792</c:v>
                </c:pt>
                <c:pt idx="326">
                  <c:v>-37.39781414997465</c:v>
                </c:pt>
                <c:pt idx="327">
                  <c:v>-37.758164760512408</c:v>
                </c:pt>
                <c:pt idx="328">
                  <c:v>-38.120237331910012</c:v>
                </c:pt>
                <c:pt idx="329">
                  <c:v>-38.483999803247777</c:v>
                </c:pt>
                <c:pt idx="330">
                  <c:v>-38.849420619728114</c:v>
                </c:pt>
                <c:pt idx="331">
                  <c:v>-39.216468836072885</c:v>
                </c:pt>
                <c:pt idx="332">
                  <c:v>-39.585114216303097</c:v>
                </c:pt>
                <c:pt idx="333">
                  <c:v>-39.955327329888405</c:v>
                </c:pt>
                <c:pt idx="334">
                  <c:v>-40.327079644289803</c:v>
                </c:pt>
                <c:pt idx="335">
                  <c:v>-40.700343613964456</c:v>
                </c:pt>
                <c:pt idx="336">
                  <c:v>-41.075092765935473</c:v>
                </c:pt>
                <c:pt idx="337">
                  <c:v>-41.451301782063055</c:v>
                </c:pt>
                <c:pt idx="338">
                  <c:v>-41.828946578182276</c:v>
                </c:pt>
                <c:pt idx="339">
                  <c:v>-42.208004380297062</c:v>
                </c:pt>
                <c:pt idx="340">
                  <c:v>-42.588453798043275</c:v>
                </c:pt>
                <c:pt idx="341">
                  <c:v>-42.970274895651187</c:v>
                </c:pt>
                <c:pt idx="342">
                  <c:v>-43.353449260647778</c:v>
                </c:pt>
                <c:pt idx="343">
                  <c:v>-43.737960070555872</c:v>
                </c:pt>
                <c:pt idx="344">
                  <c:v>-44.123792157846438</c:v>
                </c:pt>
                <c:pt idx="345">
                  <c:v>-44.510932073409549</c:v>
                </c:pt>
                <c:pt idx="346">
                  <c:v>-44.899368148803617</c:v>
                </c:pt>
                <c:pt idx="347">
                  <c:v>-45.289090557537705</c:v>
                </c:pt>
                <c:pt idx="348">
                  <c:v>-45.680091375639208</c:v>
                </c:pt>
                <c:pt idx="349">
                  <c:v>-46.072364641739156</c:v>
                </c:pt>
                <c:pt idx="350">
                  <c:v>-46.465906416895216</c:v>
                </c:pt>
                <c:pt idx="351">
                  <c:v>-46.860714844352756</c:v>
                </c:pt>
                <c:pt idx="352">
                  <c:v>-47.256790209417659</c:v>
                </c:pt>
                <c:pt idx="353">
                  <c:v>-47.654134999585878</c:v>
                </c:pt>
                <c:pt idx="354">
                  <c:v>-48.052753965044879</c:v>
                </c:pt>
                <c:pt idx="355">
                  <c:v>-48.452654179615791</c:v>
                </c:pt>
                <c:pt idx="356">
                  <c:v>-48.853845102169295</c:v>
                </c:pt>
                <c:pt idx="357">
                  <c:v>-49.256338638492721</c:v>
                </c:pt>
                <c:pt idx="358">
                  <c:v>-49.660149203532384</c:v>
                </c:pt>
                <c:pt idx="359">
                  <c:v>-50.065293783870928</c:v>
                </c:pt>
                <c:pt idx="360">
                  <c:v>-50.471792000232405</c:v>
                </c:pt>
                <c:pt idx="361">
                  <c:v>-50.87966616972669</c:v>
                </c:pt>
                <c:pt idx="362">
                  <c:v>-51.288941367463998</c:v>
                </c:pt>
                <c:pt idx="363">
                  <c:v>-51.699645487072594</c:v>
                </c:pt>
                <c:pt idx="364">
                  <c:v>-52.111809299555823</c:v>
                </c:pt>
                <c:pt idx="365">
                  <c:v>-52.525466509807572</c:v>
                </c:pt>
                <c:pt idx="366">
                  <c:v>-52.940653809992497</c:v>
                </c:pt>
                <c:pt idx="367">
                  <c:v>-53.357410928864006</c:v>
                </c:pt>
                <c:pt idx="368">
                  <c:v>-53.775780675958401</c:v>
                </c:pt>
                <c:pt idx="369">
                  <c:v>-54.195808979460494</c:v>
                </c:pt>
                <c:pt idx="370">
                  <c:v>-54.617544916382641</c:v>
                </c:pt>
                <c:pt idx="371">
                  <c:v>-55.041040733546048</c:v>
                </c:pt>
                <c:pt idx="372">
                  <c:v>-55.466351857691343</c:v>
                </c:pt>
                <c:pt idx="373">
                  <c:v>-55.893536892886374</c:v>
                </c:pt>
                <c:pt idx="374">
                  <c:v>-56.322657603242064</c:v>
                </c:pt>
                <c:pt idx="375">
                  <c:v>-56.753778878792211</c:v>
                </c:pt>
                <c:pt idx="376">
                  <c:v>-57.186968682255504</c:v>
                </c:pt>
                <c:pt idx="377">
                  <c:v>-57.622297974266019</c:v>
                </c:pt>
                <c:pt idx="378">
                  <c:v>-58.059840614560407</c:v>
                </c:pt>
                <c:pt idx="379">
                  <c:v>-58.499673236527855</c:v>
                </c:pt>
                <c:pt idx="380">
                  <c:v>-58.941875092489965</c:v>
                </c:pt>
                <c:pt idx="381">
                  <c:v>-59.38652786708186</c:v>
                </c:pt>
                <c:pt idx="382">
                  <c:v>-59.833715456158281</c:v>
                </c:pt>
                <c:pt idx="383">
                  <c:v>-60.283523708765671</c:v>
                </c:pt>
                <c:pt idx="384">
                  <c:v>-60.736040129904751</c:v>
                </c:pt>
                <c:pt idx="385">
                  <c:v>-61.191353542074353</c:v>
                </c:pt>
                <c:pt idx="386">
                  <c:v>-61.6495537039292</c:v>
                </c:pt>
                <c:pt idx="387">
                  <c:v>-62.110730884830801</c:v>
                </c:pt>
                <c:pt idx="388">
                  <c:v>-62.574975394599548</c:v>
                </c:pt>
                <c:pt idx="389">
                  <c:v>-63.04237706840933</c:v>
                </c:pt>
                <c:pt idx="390">
                  <c:v>-63.513024707496236</c:v>
                </c:pt>
                <c:pt idx="391">
                  <c:v>-63.987005477169483</c:v>
                </c:pt>
                <c:pt idx="392">
                  <c:v>-64.46440426451413</c:v>
                </c:pt>
                <c:pt idx="393">
                  <c:v>-64.945302999147202</c:v>
                </c:pt>
                <c:pt idx="394">
                  <c:v>-65.429779941406835</c:v>
                </c:pt>
                <c:pt idx="395">
                  <c:v>-65.917908943403788</c:v>
                </c:pt>
                <c:pt idx="396">
                  <c:v>-66.409758689412286</c:v>
                </c:pt>
                <c:pt idx="397">
                  <c:v>-66.905391923093958</c:v>
                </c:pt>
                <c:pt idx="398">
                  <c:v>-67.404864669996115</c:v>
                </c:pt>
                <c:pt idx="399">
                  <c:v>-67.90822546461709</c:v>
                </c:pt>
                <c:pt idx="400">
                  <c:v>-68.415514592030775</c:v>
                </c:pt>
                <c:pt idx="401">
                  <c:v>-68.926763354599458</c:v>
                </c:pt>
                <c:pt idx="402">
                  <c:v>-69.441993374616814</c:v>
                </c:pt>
                <c:pt idx="403">
                  <c:v>-69.961215943808241</c:v>
                </c:pt>
                <c:pt idx="404">
                  <c:v>-70.48443143043896</c:v>
                </c:pt>
                <c:pt idx="405">
                  <c:v>-71.011628754327688</c:v>
                </c:pt>
                <c:pt idx="406">
                  <c:v>-71.542784939345751</c:v>
                </c:pt>
                <c:pt idx="407">
                  <c:v>-72.07786475198688</c:v>
                </c:pt>
                <c:pt idx="408">
                  <c:v>-72.616820433363202</c:v>
                </c:pt>
                <c:pt idx="409">
                  <c:v>-73.15959153052637</c:v>
                </c:pt>
                <c:pt idx="410">
                  <c:v>-73.706104831386796</c:v>
                </c:pt>
                <c:pt idx="411">
                  <c:v>-74.256274405747831</c:v>
                </c:pt>
                <c:pt idx="412">
                  <c:v>-74.81000175313703</c:v>
                </c:pt>
                <c:pt idx="413">
                  <c:v>-75.36717605627436</c:v>
                </c:pt>
                <c:pt idx="414">
                  <c:v>-75.927674537203728</c:v>
                </c:pt>
                <c:pt idx="415">
                  <c:v>-76.491362911409894</c:v>
                </c:pt>
                <c:pt idx="416">
                  <c:v>-77.058095933676185</c:v>
                </c:pt>
                <c:pt idx="417">
                  <c:v>-77.627718028068557</c:v>
                </c:pt>
                <c:pt idx="418">
                  <c:v>-78.200063993286193</c:v>
                </c:pt>
                <c:pt idx="419">
                  <c:v>-78.774959773721633</c:v>
                </c:pt>
                <c:pt idx="420">
                  <c:v>-79.352223285940056</c:v>
                </c:pt>
                <c:pt idx="421">
                  <c:v>-79.931665289919081</c:v>
                </c:pt>
                <c:pt idx="422">
                  <c:v>-80.513090294277205</c:v>
                </c:pt>
                <c:pt idx="423">
                  <c:v>-81.096297484849515</c:v>
                </c:pt>
                <c:pt idx="424">
                  <c:v>-81.681081666306383</c:v>
                </c:pt>
                <c:pt idx="425">
                  <c:v>-82.26723420704522</c:v>
                </c:pt>
                <c:pt idx="426">
                  <c:v>-82.854543978261205</c:v>
                </c:pt>
                <c:pt idx="427">
                  <c:v>-83.442798278891374</c:v>
                </c:pt>
                <c:pt idx="428">
                  <c:v>-84.031783739010635</c:v>
                </c:pt>
                <c:pt idx="429">
                  <c:v>-84.621287195172698</c:v>
                </c:pt>
                <c:pt idx="430">
                  <c:v>-85.211096532116741</c:v>
                </c:pt>
                <c:pt idx="431">
                  <c:v>-85.801001486196625</c:v>
                </c:pt>
                <c:pt idx="432">
                  <c:v>-86.390794406760733</c:v>
                </c:pt>
                <c:pt idx="433">
                  <c:v>-86.980270972555331</c:v>
                </c:pt>
                <c:pt idx="434">
                  <c:v>-87.569230860978877</c:v>
                </c:pt>
                <c:pt idx="435">
                  <c:v>-88.157478368712546</c:v>
                </c:pt>
                <c:pt idx="436">
                  <c:v>-88.744822982857869</c:v>
                </c:pt>
                <c:pt idx="437">
                  <c:v>-89.331079902238329</c:v>
                </c:pt>
                <c:pt idx="438">
                  <c:v>-89.916070508974272</c:v>
                </c:pt>
                <c:pt idx="439">
                  <c:v>-90.499622790808672</c:v>
                </c:pt>
                <c:pt idx="440">
                  <c:v>-91.081571714971545</c:v>
                </c:pt>
                <c:pt idx="441">
                  <c:v>-91.66175955461128</c:v>
                </c:pt>
                <c:pt idx="442">
                  <c:v>-92.240036169012498</c:v>
                </c:pt>
                <c:pt idx="443">
                  <c:v>-92.816259238969138</c:v>
                </c:pt>
                <c:pt idx="444">
                  <c:v>-93.390294458790848</c:v>
                </c:pt>
                <c:pt idx="445">
                  <c:v>-93.96201568650342</c:v>
                </c:pt>
                <c:pt idx="446">
                  <c:v>-94.531305053865267</c:v>
                </c:pt>
                <c:pt idx="447">
                  <c:v>-95.098053037866563</c:v>
                </c:pt>
                <c:pt idx="448">
                  <c:v>-95.662158495415639</c:v>
                </c:pt>
                <c:pt idx="449">
                  <c:v>-96.22352866294294</c:v>
                </c:pt>
                <c:pt idx="450">
                  <c:v>-96.7820791226805</c:v>
                </c:pt>
                <c:pt idx="451">
                  <c:v>-97.33773373739956</c:v>
                </c:pt>
                <c:pt idx="452">
                  <c:v>-97.890424555411897</c:v>
                </c:pt>
                <c:pt idx="453">
                  <c:v>-98.440091687668172</c:v>
                </c:pt>
                <c:pt idx="454">
                  <c:v>-98.986683158808702</c:v>
                </c:pt>
                <c:pt idx="455">
                  <c:v>-99.530154734050171</c:v>
                </c:pt>
                <c:pt idx="456">
                  <c:v>-100.07046972381069</c:v>
                </c:pt>
                <c:pt idx="457">
                  <c:v>-100.60759876800374</c:v>
                </c:pt>
                <c:pt idx="458">
                  <c:v>-101.14151960193929</c:v>
                </c:pt>
                <c:pt idx="459">
                  <c:v>-101.67221680578693</c:v>
                </c:pt>
                <c:pt idx="460">
                  <c:v>-102.19968153955912</c:v>
                </c:pt>
                <c:pt idx="461">
                  <c:v>-102.72391126556327</c:v>
                </c:pt>
                <c:pt idx="462">
                  <c:v>-103.2449094602656</c:v>
                </c:pt>
                <c:pt idx="463">
                  <c:v>-103.76268531747628</c:v>
                </c:pt>
                <c:pt idx="464">
                  <c:v>-104.2772534447397</c:v>
                </c:pt>
                <c:pt idx="465">
                  <c:v>-104.78863355475811</c:v>
                </c:pt>
                <c:pt idx="466">
                  <c:v>-105.29685015363029</c:v>
                </c:pt>
                <c:pt idx="467">
                  <c:v>-105.80193222761237</c:v>
                </c:pt>
                <c:pt idx="468">
                  <c:v>-106.30391293003402</c:v>
                </c:pt>
                <c:pt idx="469">
                  <c:v>-106.80282926991573</c:v>
                </c:pt>
                <c:pt idx="470">
                  <c:v>-107.29872180374089</c:v>
                </c:pt>
                <c:pt idx="471">
                  <c:v>-107.79163433173215</c:v>
                </c:pt>
                <c:pt idx="472">
                  <c:v>-108.28161359987426</c:v>
                </c:pt>
                <c:pt idx="473">
                  <c:v>-108.76870900882034</c:v>
                </c:pt>
                <c:pt idx="474">
                  <c:v>-109.25297233069415</c:v>
                </c:pt>
                <c:pt idx="475">
                  <c:v>-109.73445743469537</c:v>
                </c:pt>
                <c:pt idx="476">
                  <c:v>-110.21322002228973</c:v>
                </c:pt>
                <c:pt idx="477">
                  <c:v>-110.68931737265837</c:v>
                </c:pt>
                <c:pt idx="478">
                  <c:v>-111.16280809896297</c:v>
                </c:pt>
                <c:pt idx="479">
                  <c:v>-111.63375191587399</c:v>
                </c:pt>
                <c:pt idx="480">
                  <c:v>-112.10220941870759</c:v>
                </c:pt>
                <c:pt idx="481">
                  <c:v>-112.56824187441163</c:v>
                </c:pt>
                <c:pt idx="482">
                  <c:v>-113.03191102455037</c:v>
                </c:pt>
                <c:pt idx="483">
                  <c:v>-113.49327890034843</c:v>
                </c:pt>
                <c:pt idx="484">
                  <c:v>-113.95240764977007</c:v>
                </c:pt>
                <c:pt idx="485">
                  <c:v>-114.4093593765419</c:v>
                </c:pt>
                <c:pt idx="486">
                  <c:v>-114.86419599095194</c:v>
                </c:pt>
                <c:pt idx="487">
                  <c:v>-115.31697907220624</c:v>
                </c:pt>
                <c:pt idx="488">
                  <c:v>-115.76776974206282</c:v>
                </c:pt>
                <c:pt idx="489">
                  <c:v>-116.21662854942426</c:v>
                </c:pt>
                <c:pt idx="490">
                  <c:v>-116.66361536552812</c:v>
                </c:pt>
                <c:pt idx="491">
                  <c:v>-117.10878928934068</c:v>
                </c:pt>
                <c:pt idx="492">
                  <c:v>-117.55220856273641</c:v>
                </c:pt>
                <c:pt idx="493">
                  <c:v>-117.99393049502065</c:v>
                </c:pt>
                <c:pt idx="494">
                  <c:v>-118.43401139634609</c:v>
                </c:pt>
                <c:pt idx="495">
                  <c:v>-118.87250651955097</c:v>
                </c:pt>
                <c:pt idx="496">
                  <c:v>-119.30947000995548</c:v>
                </c:pt>
                <c:pt idx="497">
                  <c:v>-119.74495486264017</c:v>
                </c:pt>
                <c:pt idx="498">
                  <c:v>-120.17901288673852</c:v>
                </c:pt>
                <c:pt idx="499">
                  <c:v>-120.6116946762794</c:v>
                </c:pt>
                <c:pt idx="500">
                  <c:v>-121.0430495871236</c:v>
                </c:pt>
                <c:pt idx="501">
                  <c:v>-121.47312571954834</c:v>
                </c:pt>
                <c:pt idx="502">
                  <c:v>-121.90196990604807</c:v>
                </c:pt>
                <c:pt idx="503">
                  <c:v>-122.3296277039333</c:v>
                </c:pt>
                <c:pt idx="504">
                  <c:v>-122.75614339232405</c:v>
                </c:pt>
                <c:pt idx="505">
                  <c:v>-123.18155997315299</c:v>
                </c:pt>
                <c:pt idx="506">
                  <c:v>-123.60591917580911</c:v>
                </c:pt>
                <c:pt idx="507">
                  <c:v>-124.02926146507346</c:v>
                </c:pt>
                <c:pt idx="508">
                  <c:v>-124.4516260520129</c:v>
                </c:pt>
                <c:pt idx="509">
                  <c:v>-124.87305090752086</c:v>
                </c:pt>
                <c:pt idx="510">
                  <c:v>-125.29357277820894</c:v>
                </c:pt>
                <c:pt idx="511">
                  <c:v>-125.71322720437394</c:v>
                </c:pt>
                <c:pt idx="512">
                  <c:v>-126.1320485397812</c:v>
                </c:pt>
                <c:pt idx="513">
                  <c:v>-126.55006997302529</c:v>
                </c:pt>
                <c:pt idx="514">
                  <c:v>-126.9673235502421</c:v>
                </c:pt>
                <c:pt idx="515">
                  <c:v>-127.38384019896682</c:v>
                </c:pt>
                <c:pt idx="516">
                  <c:v>-127.7996497529478</c:v>
                </c:pt>
                <c:pt idx="517">
                  <c:v>-128.21478097773746</c:v>
                </c:pt>
                <c:pt idx="518">
                  <c:v>-128.62926159690161</c:v>
                </c:pt>
                <c:pt idx="519">
                  <c:v>-129.04311831869924</c:v>
                </c:pt>
                <c:pt idx="520">
                  <c:v>-129.45637686309826</c:v>
                </c:pt>
                <c:pt idx="521">
                  <c:v>-129.86906198900417</c:v>
                </c:pt>
                <c:pt idx="522">
                  <c:v>-130.28119752159404</c:v>
                </c:pt>
                <c:pt idx="523">
                  <c:v>-130.69280637965326</c:v>
                </c:pt>
                <c:pt idx="524">
                  <c:v>-131.10391060283021</c:v>
                </c:pt>
                <c:pt idx="525">
                  <c:v>-131.51453137872366</c:v>
                </c:pt>
                <c:pt idx="526">
                  <c:v>-131.92468906973778</c:v>
                </c:pt>
                <c:pt idx="527">
                  <c:v>-132.33440323963922</c:v>
                </c:pt>
                <c:pt idx="528">
                  <c:v>-132.74369267976107</c:v>
                </c:pt>
                <c:pt idx="529">
                  <c:v>-133.15257543481027</c:v>
                </c:pt>
                <c:pt idx="530">
                  <c:v>-133.56106882822979</c:v>
                </c:pt>
                <c:pt idx="531">
                  <c:v>-133.96918948708827</c:v>
                </c:pt>
                <c:pt idx="532">
                  <c:v>-134.37695336646112</c:v>
                </c:pt>
                <c:pt idx="533">
                  <c:v>-134.78437577328242</c:v>
                </c:pt>
                <c:pt idx="534">
                  <c:v>-135.19147138964462</c:v>
                </c:pt>
                <c:pt idx="535">
                  <c:v>-135.59825429553084</c:v>
                </c:pt>
                <c:pt idx="536">
                  <c:v>-136.0047379909671</c:v>
                </c:pt>
                <c:pt idx="537">
                  <c:v>-136.4109354175871</c:v>
                </c:pt>
                <c:pt idx="538">
                  <c:v>-136.81685897959991</c:v>
                </c:pt>
                <c:pt idx="539">
                  <c:v>-137.22252056416059</c:v>
                </c:pt>
                <c:pt idx="540">
                  <c:v>-137.62793156114125</c:v>
                </c:pt>
                <c:pt idx="541">
                  <c:v>-138.0331028823046</c:v>
                </c:pt>
              </c:numCache>
            </c:numRef>
          </c:yVal>
          <c:smooth val="1"/>
          <c:extLst>
            <c:ext xmlns:c16="http://schemas.microsoft.com/office/drawing/2014/chart" uri="{C3380CC4-5D6E-409C-BE32-E72D297353CC}">
              <c16:uniqueId val="{00000000-2366-45D5-89AB-25312676E0B6}"/>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2366-45D5-89AB-25312676E0B6}"/>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366-45D5-89AB-25312676E0B6}"/>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CCM_Loop_Modeling_Isolated!$O$11</c:f>
              <c:numCache>
                <c:formatCode>0</c:formatCode>
                <c:ptCount val="1"/>
                <c:pt idx="0">
                  <c:v>7.4501100944184611</c:v>
                </c:pt>
              </c:numCache>
            </c:numRef>
          </c:xVal>
          <c:yVal>
            <c:numRef>
              <c:f>CCM_Loop_Modeling_Isolated!$AW$11</c:f>
              <c:numCache>
                <c:formatCode>0.000</c:formatCode>
                <c:ptCount val="1"/>
                <c:pt idx="0">
                  <c:v>34.506352471700652</c:v>
                </c:pt>
              </c:numCache>
            </c:numRef>
          </c:yVal>
          <c:smooth val="0"/>
          <c:extLst>
            <c:ext xmlns:c16="http://schemas.microsoft.com/office/drawing/2014/chart" uri="{C3380CC4-5D6E-409C-BE32-E72D297353CC}">
              <c16:uniqueId val="{00000002-2366-45D5-89AB-25312676E0B6}"/>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366-45D5-89AB-25312676E0B6}"/>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CCM_Loop_Modeling_Isolated!$O$9</c:f>
              <c:numCache>
                <c:formatCode>0</c:formatCode>
                <c:ptCount val="1"/>
                <c:pt idx="0">
                  <c:v>306420.76066980243</c:v>
                </c:pt>
              </c:numCache>
            </c:numRef>
          </c:xVal>
          <c:yVal>
            <c:numRef>
              <c:f>CCM_Loop_Modeling_Isolated!$AW$9</c:f>
              <c:numCache>
                <c:formatCode>0.000</c:formatCode>
                <c:ptCount val="1"/>
                <c:pt idx="0">
                  <c:v>-95.45477878524332</c:v>
                </c:pt>
              </c:numCache>
            </c:numRef>
          </c:yVal>
          <c:smooth val="1"/>
          <c:extLst>
            <c:ext xmlns:c16="http://schemas.microsoft.com/office/drawing/2014/chart" uri="{C3380CC4-5D6E-409C-BE32-E72D297353CC}">
              <c16:uniqueId val="{00000004-2366-45D5-89AB-25312676E0B6}"/>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2366-45D5-89AB-25312676E0B6}"/>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366-45D5-89AB-25312676E0B6}"/>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CCM_Loop_Modeling_Isolated!$O$10</c:f>
              <c:numCache>
                <c:formatCode>0</c:formatCode>
                <c:ptCount val="1"/>
                <c:pt idx="0">
                  <c:v>318309.88618379069</c:v>
                </c:pt>
              </c:numCache>
            </c:numRef>
          </c:xVal>
          <c:yVal>
            <c:numRef>
              <c:f>CCM_Loop_Modeling_Isolated!$AW$10</c:f>
              <c:numCache>
                <c:formatCode>0.000</c:formatCode>
                <c:ptCount val="1"/>
                <c:pt idx="0">
                  <c:v>-96.383013432471628</c:v>
                </c:pt>
              </c:numCache>
            </c:numRef>
          </c:yVal>
          <c:smooth val="1"/>
          <c:extLst>
            <c:ext xmlns:c16="http://schemas.microsoft.com/office/drawing/2014/chart" uri="{C3380CC4-5D6E-409C-BE32-E72D297353CC}">
              <c16:uniqueId val="{00000006-2366-45D5-89AB-25312676E0B6}"/>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366-45D5-89AB-25312676E0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CCM_Loop_Modeling_Isolated!$O$12</c:f>
              <c:numCache>
                <c:formatCode>General</c:formatCode>
                <c:ptCount val="1"/>
                <c:pt idx="0">
                  <c:v>169.31376924669715</c:v>
                </c:pt>
              </c:numCache>
            </c:numRef>
          </c:xVal>
          <c:yVal>
            <c:numRef>
              <c:f>CCM_Loop_Modeling_Isolated!$AW$12</c:f>
              <c:numCache>
                <c:formatCode>0.000</c:formatCode>
                <c:ptCount val="1"/>
                <c:pt idx="0">
                  <c:v>10.165574261864139</c:v>
                </c:pt>
              </c:numCache>
            </c:numRef>
          </c:yVal>
          <c:smooth val="1"/>
          <c:extLst>
            <c:ext xmlns:c16="http://schemas.microsoft.com/office/drawing/2014/chart" uri="{C3380CC4-5D6E-409C-BE32-E72D297353CC}">
              <c16:uniqueId val="{00000008-2366-45D5-89AB-25312676E0B6}"/>
            </c:ext>
          </c:extLst>
        </c:ser>
        <c:dLbls>
          <c:showLegendKey val="0"/>
          <c:showVal val="0"/>
          <c:showCatName val="0"/>
          <c:showSerName val="0"/>
          <c:showPercent val="0"/>
          <c:showBubbleSize val="0"/>
        </c:dLbls>
        <c:axId val="589404800"/>
        <c:axId val="589419264"/>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CCM_Loop_Modeling_Isolated!$AX$19:$AX$560</c:f>
              <c:numCache>
                <c:formatCode>General</c:formatCode>
                <c:ptCount val="542"/>
                <c:pt idx="0">
                  <c:v>119.52248091304357</c:v>
                </c:pt>
                <c:pt idx="1">
                  <c:v>119.03743761941828</c:v>
                </c:pt>
                <c:pt idx="2">
                  <c:v>118.55381267237401</c:v>
                </c:pt>
                <c:pt idx="3">
                  <c:v>118.07192594787968</c:v>
                </c:pt>
                <c:pt idx="4">
                  <c:v>117.59208484557404</c:v>
                </c:pt>
                <c:pt idx="5">
                  <c:v>117.11458398318609</c:v>
                </c:pt>
                <c:pt idx="6">
                  <c:v>116.63970494872379</c:v>
                </c:pt>
                <c:pt idx="7">
                  <c:v>116.16771610953971</c:v>
                </c:pt>
                <c:pt idx="8">
                  <c:v>115.69887247696825</c:v>
                </c:pt>
                <c:pt idx="9">
                  <c:v>115.23341562484823</c:v>
                </c:pt>
                <c:pt idx="10">
                  <c:v>114.77157365991413</c:v>
                </c:pt>
                <c:pt idx="11">
                  <c:v>114.31356124173077</c:v>
                </c:pt>
                <c:pt idx="12">
                  <c:v>113.85957964960983</c:v>
                </c:pt>
                <c:pt idx="13">
                  <c:v>113.40981689371849</c:v>
                </c:pt>
                <c:pt idx="14">
                  <c:v>112.96444786743832</c:v>
                </c:pt>
                <c:pt idx="15">
                  <c:v>112.52363453789842</c:v>
                </c:pt>
                <c:pt idx="16">
                  <c:v>112.08752617152035</c:v>
                </c:pt>
                <c:pt idx="17">
                  <c:v>111.65625959137265</c:v>
                </c:pt>
                <c:pt idx="18">
                  <c:v>111.22995946311033</c:v>
                </c:pt>
                <c:pt idx="19">
                  <c:v>110.80873860630007</c:v>
                </c:pt>
                <c:pt idx="20">
                  <c:v>110.39269832797892</c:v>
                </c:pt>
                <c:pt idx="21">
                  <c:v>109.98192877537068</c:v>
                </c:pt>
                <c:pt idx="22">
                  <c:v>109.57650930477851</c:v>
                </c:pt>
                <c:pt idx="23">
                  <c:v>109.17650886379172</c:v>
                </c:pt>
                <c:pt idx="24">
                  <c:v>108.78198638407865</c:v>
                </c:pt>
                <c:pt idx="25">
                  <c:v>108.39299118217805</c:v>
                </c:pt>
                <c:pt idx="26">
                  <c:v>108.00956336586326</c:v>
                </c:pt>
                <c:pt idx="27">
                  <c:v>107.63173424381537</c:v>
                </c:pt>
                <c:pt idx="28">
                  <c:v>107.25952673650215</c:v>
                </c:pt>
                <c:pt idx="29">
                  <c:v>106.89295578634406</c:v>
                </c:pt>
                <c:pt idx="30">
                  <c:v>106.53202876540041</c:v>
                </c:pt>
                <c:pt idx="31">
                  <c:v>106.17674587899309</c:v>
                </c:pt>
                <c:pt idx="32">
                  <c:v>105.8271005638417</c:v>
                </c:pt>
                <c:pt idx="33">
                  <c:v>105.48307987944624</c:v>
                </c:pt>
                <c:pt idx="34">
                  <c:v>105.14466489161011</c:v>
                </c:pt>
                <c:pt idx="35">
                  <c:v>104.81183104713976</c:v>
                </c:pt>
                <c:pt idx="36">
                  <c:v>104.48454853890318</c:v>
                </c:pt>
                <c:pt idx="37">
                  <c:v>104.16278266055866</c:v>
                </c:pt>
                <c:pt idx="38">
                  <c:v>103.84649415038824</c:v>
                </c:pt>
                <c:pt idx="39">
                  <c:v>103.53563952378911</c:v>
                </c:pt>
                <c:pt idx="40">
                  <c:v>103.23017139408091</c:v>
                </c:pt>
                <c:pt idx="41">
                  <c:v>102.93003878138201</c:v>
                </c:pt>
                <c:pt idx="42">
                  <c:v>102.63518740940555</c:v>
                </c:pt>
                <c:pt idx="43">
                  <c:v>102.34555999009666</c:v>
                </c:pt>
                <c:pt idx="44">
                  <c:v>102.06109649611174</c:v>
                </c:pt>
                <c:pt idx="45">
                  <c:v>101.78173442120531</c:v>
                </c:pt>
                <c:pt idx="46">
                  <c:v>101.50740902864261</c:v>
                </c:pt>
                <c:pt idx="47">
                  <c:v>101.23805358781362</c:v>
                </c:pt>
                <c:pt idx="48">
                  <c:v>100.97359959926033</c:v>
                </c:pt>
                <c:pt idx="49">
                  <c:v>100.71397700837348</c:v>
                </c:pt>
                <c:pt idx="50">
                  <c:v>100.4591144080391</c:v>
                </c:pt>
                <c:pt idx="51">
                  <c:v>100.20893923054973</c:v>
                </c:pt>
                <c:pt idx="52">
                  <c:v>99.963377929107565</c:v>
                </c:pt>
                <c:pt idx="53">
                  <c:v>99.72235614926926</c:v>
                </c:pt>
                <c:pt idx="54">
                  <c:v>99.485798890692436</c:v>
                </c:pt>
                <c:pt idx="55">
                  <c:v>99.25363065954943</c:v>
                </c:pt>
                <c:pt idx="56">
                  <c:v>99.025775611984173</c:v>
                </c:pt>
                <c:pt idx="57">
                  <c:v>98.802157688982547</c:v>
                </c:pt>
                <c:pt idx="58">
                  <c:v>98.582700743032518</c:v>
                </c:pt>
                <c:pt idx="59">
                  <c:v>98.36732865693989</c:v>
                </c:pt>
                <c:pt idx="60">
                  <c:v>98.155965455161336</c:v>
                </c:pt>
                <c:pt idx="61">
                  <c:v>97.94853540801094</c:v>
                </c:pt>
                <c:pt idx="62">
                  <c:v>97.744963129080446</c:v>
                </c:pt>
                <c:pt idx="63">
                  <c:v>97.545173666205656</c:v>
                </c:pt>
                <c:pt idx="64">
                  <c:v>97.349092586295043</c:v>
                </c:pt>
                <c:pt idx="65">
                  <c:v>97.156646054324455</c:v>
                </c:pt>
                <c:pt idx="66">
                  <c:v>96.967760906781805</c:v>
                </c:pt>
                <c:pt idx="67">
                  <c:v>96.782364719833126</c:v>
                </c:pt>
                <c:pt idx="68">
                  <c:v>96.600385872459114</c:v>
                </c:pt>
                <c:pt idx="69">
                  <c:v>96.42175360479564</c:v>
                </c:pt>
                <c:pt idx="70">
                  <c:v>96.246398071889871</c:v>
                </c:pt>
                <c:pt idx="71">
                  <c:v>96.074250393066293</c:v>
                </c:pt>
                <c:pt idx="72">
                  <c:v>95.905242697074243</c:v>
                </c:pt>
                <c:pt idx="73">
                  <c:v>95.739308163170037</c:v>
                </c:pt>
                <c:pt idx="74">
                  <c:v>95.576381058264786</c:v>
                </c:pt>
                <c:pt idx="75">
                  <c:v>95.416396770249875</c:v>
                </c:pt>
                <c:pt idx="76">
                  <c:v>95.259291837588961</c:v>
                </c:pt>
                <c:pt idx="77">
                  <c:v>95.105003975250682</c:v>
                </c:pt>
                <c:pt idx="78">
                  <c:v>94.953472097030755</c:v>
                </c:pt>
                <c:pt idx="79">
                  <c:v>94.804636334295765</c:v>
                </c:pt>
                <c:pt idx="80">
                  <c:v>94.658438051165632</c:v>
                </c:pt>
                <c:pt idx="81">
                  <c:v>94.514819856130856</c:v>
                </c:pt>
                <c:pt idx="82">
                  <c:v>94.373725610088144</c:v>
                </c:pt>
                <c:pt idx="83">
                  <c:v>94.235100430761634</c:v>
                </c:pt>
                <c:pt idx="84">
                  <c:v>94.098890693468789</c:v>
                </c:pt>
                <c:pt idx="85">
                  <c:v>93.965044028175171</c:v>
                </c:pt>
                <c:pt idx="86">
                  <c:v>93.833509312780308</c:v>
                </c:pt>
                <c:pt idx="87">
                  <c:v>93.704236662565691</c:v>
                </c:pt>
                <c:pt idx="88">
                  <c:v>93.577177415741161</c:v>
                </c:pt>
                <c:pt idx="89">
                  <c:v>93.452284115020092</c:v>
                </c:pt>
                <c:pt idx="90">
                  <c:v>93.329510485163738</c:v>
                </c:pt>
                <c:pt idx="91">
                  <c:v>93.20881140643813</c:v>
                </c:pt>
                <c:pt idx="92">
                  <c:v>93.090142883944779</c:v>
                </c:pt>
                <c:pt idx="93">
                  <c:v>92.973462012796844</c:v>
                </c:pt>
                <c:pt idx="94">
                  <c:v>92.858726939132183</c:v>
                </c:pt>
                <c:pt idx="95">
                  <c:v>92.745896816984583</c:v>
                </c:pt>
                <c:pt idx="96">
                  <c:v>92.634931761050055</c:v>
                </c:pt>
                <c:pt idx="97">
                  <c:v>92.525792795429183</c:v>
                </c:pt>
                <c:pt idx="98">
                  <c:v>92.418441798451184</c:v>
                </c:pt>
                <c:pt idx="99">
                  <c:v>92.312841443724935</c:v>
                </c:pt>
                <c:pt idx="100">
                  <c:v>92.208955137606623</c:v>
                </c:pt>
                <c:pt idx="101">
                  <c:v>92.106746953309113</c:v>
                </c:pt>
                <c:pt idx="102">
                  <c:v>92.006181561927335</c:v>
                </c:pt>
                <c:pt idx="103">
                  <c:v>91.907224160693175</c:v>
                </c:pt>
                <c:pt idx="104">
                  <c:v>91.809840398823283</c:v>
                </c:pt>
                <c:pt idx="105">
                  <c:v>91.713996301358847</c:v>
                </c:pt>
                <c:pt idx="106">
                  <c:v>91.61965819144541</c:v>
                </c:pt>
                <c:pt idx="107">
                  <c:v>91.526792611532628</c:v>
                </c:pt>
                <c:pt idx="108">
                  <c:v>91.435366244010311</c:v>
                </c:pt>
                <c:pt idx="109">
                  <c:v>91.345345831826904</c:v>
                </c:pt>
                <c:pt idx="110">
                  <c:v>91.256698099660468</c:v>
                </c:pt>
                <c:pt idx="111">
                  <c:v>91.16938967622383</c:v>
                </c:pt>
                <c:pt idx="112">
                  <c:v>91.083387018300584</c:v>
                </c:pt>
                <c:pt idx="113">
                  <c:v>90.998656337108343</c:v>
                </c:pt>
                <c:pt idx="114">
                  <c:v>90.915163527572801</c:v>
                </c:pt>
                <c:pt idx="115">
                  <c:v>90.832874101083746</c:v>
                </c:pt>
                <c:pt idx="116">
                  <c:v>90.751753122280732</c:v>
                </c:pt>
                <c:pt idx="117">
                  <c:v>90.671765150372011</c:v>
                </c:pt>
                <c:pt idx="118">
                  <c:v>90.592874185457759</c:v>
                </c:pt>
                <c:pt idx="119">
                  <c:v>90.515043620267846</c:v>
                </c:pt>
                <c:pt idx="120">
                  <c:v>90.438236197672012</c:v>
                </c:pt>
                <c:pt idx="121">
                  <c:v>90.362413974248881</c:v>
                </c:pt>
                <c:pt idx="122">
                  <c:v>90.287538290135004</c:v>
                </c:pt>
                <c:pt idx="123">
                  <c:v>90.213569745298528</c:v>
                </c:pt>
                <c:pt idx="124">
                  <c:v>90.14046818229852</c:v>
                </c:pt>
                <c:pt idx="125">
                  <c:v>90.068192675526078</c:v>
                </c:pt>
                <c:pt idx="126">
                  <c:v>89.99670152683035</c:v>
                </c:pt>
                <c:pt idx="127">
                  <c:v>89.925952267362561</c:v>
                </c:pt>
                <c:pt idx="128">
                  <c:v>89.855901665401149</c:v>
                </c:pt>
                <c:pt idx="129">
                  <c:v>89.786505739850611</c:v>
                </c:pt>
                <c:pt idx="130">
                  <c:v>89.717719779033189</c:v>
                </c:pt>
                <c:pt idx="131">
                  <c:v>89.649498364355296</c:v>
                </c:pt>
                <c:pt idx="132">
                  <c:v>89.581795398365657</c:v>
                </c:pt>
                <c:pt idx="133">
                  <c:v>89.51456413669672</c:v>
                </c:pt>
                <c:pt idx="134">
                  <c:v>89.447757223333895</c:v>
                </c:pt>
                <c:pt idx="135">
                  <c:v>89.381326728649924</c:v>
                </c:pt>
                <c:pt idx="136">
                  <c:v>89.315224189621347</c:v>
                </c:pt>
                <c:pt idx="137">
                  <c:v>89.249400651643327</c:v>
                </c:pt>
                <c:pt idx="138">
                  <c:v>89.183806711363459</c:v>
                </c:pt>
                <c:pt idx="139">
                  <c:v>89.118392559965841</c:v>
                </c:pt>
                <c:pt idx="140">
                  <c:v>89.053108026364541</c:v>
                </c:pt>
                <c:pt idx="141">
                  <c:v>88.987902619782957</c:v>
                </c:pt>
                <c:pt idx="142">
                  <c:v>88.922725571239766</c:v>
                </c:pt>
                <c:pt idx="143">
                  <c:v>88.857525873488086</c:v>
                </c:pt>
                <c:pt idx="144">
                  <c:v>88.792252319005058</c:v>
                </c:pt>
                <c:pt idx="145">
                  <c:v>88.72685353567249</c:v>
                </c:pt>
                <c:pt idx="146">
                  <c:v>88.661278019828487</c:v>
                </c:pt>
                <c:pt idx="147">
                  <c:v>88.595474166424736</c:v>
                </c:pt>
                <c:pt idx="148">
                  <c:v>88.529390296070616</c:v>
                </c:pt>
                <c:pt idx="149">
                  <c:v>88.462974678784661</c:v>
                </c:pt>
                <c:pt idx="150">
                  <c:v>88.396175554327442</c:v>
                </c:pt>
                <c:pt idx="151">
                  <c:v>88.328941149029234</c:v>
                </c:pt>
                <c:pt idx="152">
                  <c:v>88.261219689064617</c:v>
                </c:pt>
                <c:pt idx="153">
                  <c:v>88.192959410167902</c:v>
                </c:pt>
                <c:pt idx="154">
                  <c:v>88.124108563812101</c:v>
                </c:pt>
                <c:pt idx="155">
                  <c:v>88.054615419909496</c:v>
                </c:pt>
                <c:pt idx="156">
                  <c:v>87.984428266119266</c:v>
                </c:pt>
                <c:pt idx="157">
                  <c:v>87.913495403865369</c:v>
                </c:pt>
                <c:pt idx="158">
                  <c:v>87.841765141196689</c:v>
                </c:pt>
                <c:pt idx="159">
                  <c:v>87.769185782629805</c:v>
                </c:pt>
                <c:pt idx="160">
                  <c:v>87.695705616134106</c:v>
                </c:pt>
                <c:pt idx="161">
                  <c:v>87.621272897425328</c:v>
                </c:pt>
                <c:pt idx="162">
                  <c:v>87.545835831743275</c:v>
                </c:pt>
                <c:pt idx="163">
                  <c:v>87.469342553292833</c:v>
                </c:pt>
                <c:pt idx="164">
                  <c:v>87.391741102527831</c:v>
                </c:pt>
                <c:pt idx="165">
                  <c:v>87.312979401462442</c:v>
                </c:pt>
                <c:pt idx="166">
                  <c:v>87.23300522718624</c:v>
                </c:pt>
                <c:pt idx="167">
                  <c:v>87.151766183761566</c:v>
                </c:pt>
                <c:pt idx="168">
                  <c:v>87.069209672672073</c:v>
                </c:pt>
                <c:pt idx="169">
                  <c:v>86.985282861989603</c:v>
                </c:pt>
                <c:pt idx="170">
                  <c:v>86.899932654416418</c:v>
                </c:pt>
                <c:pt idx="171">
                  <c:v>86.813105654354459</c:v>
                </c:pt>
                <c:pt idx="172">
                  <c:v>86.724748134143255</c:v>
                </c:pt>
                <c:pt idx="173">
                  <c:v>86.634805999603557</c:v>
                </c:pt>
                <c:pt idx="174">
                  <c:v>86.543224755010613</c:v>
                </c:pt>
                <c:pt idx="175">
                  <c:v>86.44994946761696</c:v>
                </c:pt>
                <c:pt idx="176">
                  <c:v>86.354924731832583</c:v>
                </c:pt>
                <c:pt idx="177">
                  <c:v>86.258094633167801</c:v>
                </c:pt>
                <c:pt idx="178">
                  <c:v>86.159402712029618</c:v>
                </c:pt>
                <c:pt idx="179">
                  <c:v>86.058791927460788</c:v>
                </c:pt>
                <c:pt idx="180">
                  <c:v>85.956204620901801</c:v>
                </c:pt>
                <c:pt idx="181">
                  <c:v>85.851582480050226</c:v>
                </c:pt>
                <c:pt idx="182">
                  <c:v>85.744866502885557</c:v>
                </c:pt>
                <c:pt idx="183">
                  <c:v>85.635996961924349</c:v>
                </c:pt>
                <c:pt idx="184">
                  <c:v>85.52491336876362</c:v>
                </c:pt>
                <c:pt idx="185">
                  <c:v>85.411554438969276</c:v>
                </c:pt>
                <c:pt idx="186">
                  <c:v>85.295858057360817</c:v>
                </c:pt>
                <c:pt idx="187">
                  <c:v>85.177761243742509</c:v>
                </c:pt>
                <c:pt idx="188">
                  <c:v>85.05720011912895</c:v>
                </c:pt>
                <c:pt idx="189">
                  <c:v>84.934109872510788</c:v>
                </c:pt>
                <c:pt idx="190">
                  <c:v>84.808424728206703</c:v>
                </c:pt>
                <c:pt idx="191">
                  <c:v>84.680077913847313</c:v>
                </c:pt>
                <c:pt idx="192">
                  <c:v>84.54900162903607</c:v>
                </c:pt>
                <c:pt idx="193">
                  <c:v>84.415127014734622</c:v>
                </c:pt>
                <c:pt idx="194">
                  <c:v>84.278384123421489</c:v>
                </c:pt>
                <c:pt idx="195">
                  <c:v>84.138701890072909</c:v>
                </c:pt>
                <c:pt idx="196">
                  <c:v>83.99600810402076</c:v>
                </c:pt>
                <c:pt idx="197">
                  <c:v>83.850229381742409</c:v>
                </c:pt>
                <c:pt idx="198">
                  <c:v>83.701291140642695</c:v>
                </c:pt>
                <c:pt idx="199">
                  <c:v>83.549117573891692</c:v>
                </c:pt>
                <c:pt idx="200">
                  <c:v>83.393631626387133</c:v>
                </c:pt>
                <c:pt idx="201">
                  <c:v>83.234754971914242</c:v>
                </c:pt>
                <c:pt idx="202">
                  <c:v>83.072407991582438</c:v>
                </c:pt>
                <c:pt idx="203">
                  <c:v>82.906509753623538</c:v>
                </c:pt>
                <c:pt idx="204">
                  <c:v>82.736977994643382</c:v>
                </c:pt>
                <c:pt idx="205">
                  <c:v>82.56372910242402</c:v>
                </c:pt>
                <c:pt idx="206">
                  <c:v>82.386678100383648</c:v>
                </c:pt>
                <c:pt idx="207">
                  <c:v>82.205738633805225</c:v>
                </c:pt>
                <c:pt idx="208">
                  <c:v>82.020822957957733</c:v>
                </c:pt>
                <c:pt idx="209">
                  <c:v>81.831841928238006</c:v>
                </c:pt>
                <c:pt idx="210">
                  <c:v>81.638704992473194</c:v>
                </c:pt>
                <c:pt idx="211">
                  <c:v>81.441320185531936</c:v>
                </c:pt>
                <c:pt idx="212">
                  <c:v>81.239594126401272</c:v>
                </c:pt>
                <c:pt idx="213">
                  <c:v>81.033432017899173</c:v>
                </c:pt>
                <c:pt idx="214">
                  <c:v>80.82273764920015</c:v>
                </c:pt>
                <c:pt idx="215">
                  <c:v>80.607413401362109</c:v>
                </c:pt>
                <c:pt idx="216">
                  <c:v>80.387360256057832</c:v>
                </c:pt>
                <c:pt idx="217">
                  <c:v>80.162477807718957</c:v>
                </c:pt>
                <c:pt idx="218">
                  <c:v>79.932664279318573</c:v>
                </c:pt>
                <c:pt idx="219">
                  <c:v>79.697816542025109</c:v>
                </c:pt>
                <c:pt idx="220">
                  <c:v>79.457830138974813</c:v>
                </c:pt>
                <c:pt idx="221">
                  <c:v>79.212599313421649</c:v>
                </c:pt>
                <c:pt idx="222">
                  <c:v>78.962017041532974</c:v>
                </c:pt>
                <c:pt idx="223">
                  <c:v>78.705975070114434</c:v>
                </c:pt>
                <c:pt idx="224">
                  <c:v>78.444363959556952</c:v>
                </c:pt>
                <c:pt idx="225">
                  <c:v>78.177073132308834</c:v>
                </c:pt>
                <c:pt idx="226">
                  <c:v>77.903990927189014</c:v>
                </c:pt>
                <c:pt idx="227">
                  <c:v>77.625004659867571</c:v>
                </c:pt>
                <c:pt idx="228">
                  <c:v>77.340000689847074</c:v>
                </c:pt>
                <c:pt idx="229">
                  <c:v>77.048864494285695</c:v>
                </c:pt>
                <c:pt idx="230">
                  <c:v>76.751480749018583</c:v>
                </c:pt>
                <c:pt idx="231">
                  <c:v>76.447733417127594</c:v>
                </c:pt>
                <c:pt idx="232">
                  <c:v>76.137505845425721</c:v>
                </c:pt>
                <c:pt idx="233">
                  <c:v>75.820680869217028</c:v>
                </c:pt>
                <c:pt idx="234">
                  <c:v>75.497140925700705</c:v>
                </c:pt>
                <c:pt idx="235">
                  <c:v>75.166768176379847</c:v>
                </c:pt>
                <c:pt idx="236">
                  <c:v>74.829444638836108</c:v>
                </c:pt>
                <c:pt idx="237">
                  <c:v>74.485052328223517</c:v>
                </c:pt>
                <c:pt idx="238">
                  <c:v>74.133473408821999</c:v>
                </c:pt>
                <c:pt idx="239">
                  <c:v>73.77459035598109</c:v>
                </c:pt>
                <c:pt idx="240">
                  <c:v>73.40828612876247</c:v>
                </c:pt>
                <c:pt idx="241">
                  <c:v>73.034444353568333</c:v>
                </c:pt>
                <c:pt idx="242">
                  <c:v>72.652949519019629</c:v>
                </c:pt>
                <c:pt idx="243">
                  <c:v>72.263687182306754</c:v>
                </c:pt>
                <c:pt idx="244">
                  <c:v>71.866544187204497</c:v>
                </c:pt>
                <c:pt idx="245">
                  <c:v>71.461408893894941</c:v>
                </c:pt>
                <c:pt idx="246">
                  <c:v>71.048171420691133</c:v>
                </c:pt>
                <c:pt idx="247">
                  <c:v>70.62672389769466</c:v>
                </c:pt>
                <c:pt idx="248">
                  <c:v>70.196960732357724</c:v>
                </c:pt>
                <c:pt idx="249">
                  <c:v>69.758778886843544</c:v>
                </c:pt>
                <c:pt idx="250">
                  <c:v>69.312078166997551</c:v>
                </c:pt>
                <c:pt idx="251">
                  <c:v>68.856761522655532</c:v>
                </c:pt>
                <c:pt idx="252">
                  <c:v>68.39273535890861</c:v>
                </c:pt>
                <c:pt idx="253">
                  <c:v>67.919909857848324</c:v>
                </c:pt>
                <c:pt idx="254">
                  <c:v>67.43819931018831</c:v>
                </c:pt>
                <c:pt idx="255">
                  <c:v>66.947522456042435</c:v>
                </c:pt>
                <c:pt idx="256">
                  <c:v>66.447802834006382</c:v>
                </c:pt>
                <c:pt idx="257">
                  <c:v>65.93896913754007</c:v>
                </c:pt>
                <c:pt idx="258">
                  <c:v>65.420955577516736</c:v>
                </c:pt>
                <c:pt idx="259">
                  <c:v>64.89370224963335</c:v>
                </c:pt>
                <c:pt idx="260">
                  <c:v>64.357155505229528</c:v>
                </c:pt>
                <c:pt idx="261">
                  <c:v>63.81126832389414</c:v>
                </c:pt>
                <c:pt idx="262">
                  <c:v>63.256000686067509</c:v>
                </c:pt>
                <c:pt idx="263">
                  <c:v>62.691319943688342</c:v>
                </c:pt>
                <c:pt idx="264">
                  <c:v>62.11720118675499</c:v>
                </c:pt>
                <c:pt idx="265">
                  <c:v>61.533627603520472</c:v>
                </c:pt>
                <c:pt idx="266">
                  <c:v>60.940590831865357</c:v>
                </c:pt>
                <c:pt idx="267">
                  <c:v>60.338091299252113</c:v>
                </c:pt>
                <c:pt idx="268">
                  <c:v>59.726138548521838</c:v>
                </c:pt>
                <c:pt idx="269">
                  <c:v>59.104751546657994</c:v>
                </c:pt>
                <c:pt idx="270">
                  <c:v>58.473958973546161</c:v>
                </c:pt>
                <c:pt idx="271">
                  <c:v>57.833799487651333</c:v>
                </c:pt>
                <c:pt idx="272">
                  <c:v>57.184321965484671</c:v>
                </c:pt>
                <c:pt idx="273">
                  <c:v>56.525585711671539</c:v>
                </c:pt>
                <c:pt idx="274">
                  <c:v>55.857660636443711</c:v>
                </c:pt>
                <c:pt idx="275">
                  <c:v>55.180627397381151</c:v>
                </c:pt>
                <c:pt idx="276">
                  <c:v>54.494577502300992</c:v>
                </c:pt>
                <c:pt idx="277">
                  <c:v>53.799613370285584</c:v>
                </c:pt>
                <c:pt idx="278">
                  <c:v>53.095848347969657</c:v>
                </c:pt>
                <c:pt idx="279">
                  <c:v>52.383406678404945</c:v>
                </c:pt>
                <c:pt idx="280">
                  <c:v>51.662423420021668</c:v>
                </c:pt>
                <c:pt idx="281">
                  <c:v>50.933044313490811</c:v>
                </c:pt>
                <c:pt idx="282">
                  <c:v>50.195425594590056</c:v>
                </c:pt>
                <c:pt idx="283">
                  <c:v>49.44973375152987</c:v>
                </c:pt>
                <c:pt idx="284">
                  <c:v>48.696145225589227</c:v>
                </c:pt>
                <c:pt idx="285">
                  <c:v>47.934846054331686</c:v>
                </c:pt>
                <c:pt idx="286">
                  <c:v>47.166031457140825</c:v>
                </c:pt>
                <c:pt idx="287">
                  <c:v>46.389905363289365</c:v>
                </c:pt>
                <c:pt idx="288">
                  <c:v>45.606679883278616</c:v>
                </c:pt>
                <c:pt idx="289">
                  <c:v>44.816574724697702</c:v>
                </c:pt>
                <c:pt idx="290">
                  <c:v>44.019816554391902</c:v>
                </c:pt>
                <c:pt idx="291">
                  <c:v>43.21663830926267</c:v>
                </c:pt>
                <c:pt idx="292">
                  <c:v>42.407278458541533</c:v>
                </c:pt>
                <c:pt idx="293">
                  <c:v>41.591980220896502</c:v>
                </c:pt>
                <c:pt idx="294">
                  <c:v>40.770990740214081</c:v>
                </c:pt>
                <c:pt idx="295">
                  <c:v>39.944560224349026</c:v>
                </c:pt>
                <c:pt idx="296">
                  <c:v>39.112941051549328</c:v>
                </c:pt>
                <c:pt idx="297">
                  <c:v>38.276386849630597</c:v>
                </c:pt>
                <c:pt idx="298">
                  <c:v>37.435151553276725</c:v>
                </c:pt>
                <c:pt idx="299">
                  <c:v>36.589488445101516</c:v>
                </c:pt>
                <c:pt idx="300">
                  <c:v>35.739649186285504</c:v>
                </c:pt>
                <c:pt idx="301">
                  <c:v>34.885882842717052</c:v>
                </c:pt>
                <c:pt idx="302">
                  <c:v>34.028434912620405</c:v>
                </c:pt>
                <c:pt idx="303">
                  <c:v>33.167546361615706</c:v>
                </c:pt>
                <c:pt idx="304">
                  <c:v>32.303452671069422</c:v>
                </c:pt>
                <c:pt idx="305">
                  <c:v>31.436382905422519</c:v>
                </c:pt>
                <c:pt idx="306">
                  <c:v>30.566558803954351</c:v>
                </c:pt>
                <c:pt idx="307">
                  <c:v>29.694193902145297</c:v>
                </c:pt>
                <c:pt idx="308">
                  <c:v>28.819492687455067</c:v>
                </c:pt>
                <c:pt idx="309">
                  <c:v>27.942649793938088</c:v>
                </c:pt>
                <c:pt idx="310">
                  <c:v>27.06384923967121</c:v>
                </c:pt>
                <c:pt idx="311">
                  <c:v>26.183263710502501</c:v>
                </c:pt>
                <c:pt idx="312">
                  <c:v>25.301053893128856</c:v>
                </c:pt>
                <c:pt idx="313">
                  <c:v>24.417367859990893</c:v>
                </c:pt>
                <c:pt idx="314">
                  <c:v>23.53234050795318</c:v>
                </c:pt>
                <c:pt idx="315">
                  <c:v>22.646093052213203</c:v>
                </c:pt>
                <c:pt idx="316">
                  <c:v>21.758732576351864</c:v>
                </c:pt>
                <c:pt idx="317">
                  <c:v>20.870351638958176</c:v>
                </c:pt>
                <c:pt idx="318">
                  <c:v>19.981027936755229</c:v>
                </c:pt>
                <c:pt idx="319">
                  <c:v>19.090824023717907</c:v>
                </c:pt>
                <c:pt idx="320">
                  <c:v>18.19978708523869</c:v>
                </c:pt>
                <c:pt idx="321">
                  <c:v>17.307948766025177</c:v>
                </c:pt>
                <c:pt idx="322">
                  <c:v>16.415325050060872</c:v>
                </c:pt>
                <c:pt idx="323">
                  <c:v>15.521916190661495</c:v>
                </c:pt>
                <c:pt idx="324">
                  <c:v>14.627706688403046</c:v>
                </c:pt>
                <c:pt idx="325">
                  <c:v>13.732665314490644</c:v>
                </c:pt>
                <c:pt idx="326">
                  <c:v>12.836745176966891</c:v>
                </c:pt>
                <c:pt idx="327">
                  <c:v>11.939883827033796</c:v>
                </c:pt>
                <c:pt idx="328">
                  <c:v>11.042003402702459</c:v>
                </c:pt>
                <c:pt idx="329">
                  <c:v>10.143010806919133</c:v>
                </c:pt>
                <c:pt idx="330">
                  <c:v>9.2427979173607682</c:v>
                </c:pt>
                <c:pt idx="331">
                  <c:v>8.3412418250929328</c:v>
                </c:pt>
                <c:pt idx="332">
                  <c:v>7.438205099390828</c:v>
                </c:pt>
                <c:pt idx="333">
                  <c:v>6.5335360761115959</c:v>
                </c:pt>
                <c:pt idx="334">
                  <c:v>5.6270691671539428</c:v>
                </c:pt>
                <c:pt idx="335">
                  <c:v>4.7186251886949799</c:v>
                </c:pt>
                <c:pt idx="336">
                  <c:v>3.8080117060844874</c:v>
                </c:pt>
                <c:pt idx="337">
                  <c:v>2.8950233934699132</c:v>
                </c:pt>
                <c:pt idx="338">
                  <c:v>1.979442406460586</c:v>
                </c:pt>
                <c:pt idx="339">
                  <c:v>1.0610387663668681</c:v>
                </c:pt>
                <c:pt idx="340">
                  <c:v>0.13957075479645659</c:v>
                </c:pt>
                <c:pt idx="341">
                  <c:v>-0.7852146823458247</c:v>
                </c:pt>
                <c:pt idx="342">
                  <c:v>-1.7135815221435367</c:v>
                </c:pt>
                <c:pt idx="343">
                  <c:v>-2.6458042436530702</c:v>
                </c:pt>
                <c:pt idx="344">
                  <c:v>-3.5821673987212668</c:v>
                </c:pt>
                <c:pt idx="345">
                  <c:v>-4.522965174487986</c:v>
                </c:pt>
                <c:pt idx="346">
                  <c:v>-5.468500947128331</c:v>
                </c:pt>
                <c:pt idx="347">
                  <c:v>-6.4190868261054002</c:v>
                </c:pt>
                <c:pt idx="348">
                  <c:v>-7.3750431879129428</c:v>
                </c:pt>
                <c:pt idx="349">
                  <c:v>-8.3366981979803008</c:v>
                </c:pt>
                <c:pt idx="350">
                  <c:v>-9.3043873191266027</c:v>
                </c:pt>
                <c:pt idx="351">
                  <c:v>-10.278452804652938</c:v>
                </c:pt>
                <c:pt idx="352">
                  <c:v>-11.259243173857483</c:v>
                </c:pt>
                <c:pt idx="353">
                  <c:v>-12.247112667474527</c:v>
                </c:pt>
                <c:pt idx="354">
                  <c:v>-13.242420680242075</c:v>
                </c:pt>
                <c:pt idx="355">
                  <c:v>-14.24553116750366</c:v>
                </c:pt>
                <c:pt idx="356">
                  <c:v>-15.256812022491641</c:v>
                </c:pt>
                <c:pt idx="357">
                  <c:v>-16.276634420637482</c:v>
                </c:pt>
                <c:pt idx="358">
                  <c:v>-17.305372127011704</c:v>
                </c:pt>
                <c:pt idx="359">
                  <c:v>-18.343400762735861</c:v>
                </c:pt>
                <c:pt idx="360">
                  <c:v>-19.391097025984905</c:v>
                </c:pt>
                <c:pt idx="361">
                  <c:v>-20.448837862986775</c:v>
                </c:pt>
                <c:pt idx="362">
                  <c:v>-21.516999584255277</c:v>
                </c:pt>
                <c:pt idx="363">
                  <c:v>-22.595956921151746</c:v>
                </c:pt>
                <c:pt idx="364">
                  <c:v>-23.686082017777622</c:v>
                </c:pt>
                <c:pt idx="365">
                  <c:v>-24.787743353160618</c:v>
                </c:pt>
                <c:pt idx="366">
                  <c:v>-25.901304588734316</c:v>
                </c:pt>
                <c:pt idx="367">
                  <c:v>-27.027123336204873</c:v>
                </c:pt>
                <c:pt idx="368">
                  <c:v>-28.165549841109407</c:v>
                </c:pt>
                <c:pt idx="369">
                  <c:v>-29.31692557766986</c:v>
                </c:pt>
                <c:pt idx="370">
                  <c:v>-30.481581750969422</c:v>
                </c:pt>
                <c:pt idx="371">
                  <c:v>-31.659837703057644</c:v>
                </c:pt>
                <c:pt idx="372">
                  <c:v>-32.851999220295298</c:v>
                </c:pt>
                <c:pt idx="373">
                  <c:v>-34.058356740156668</c:v>
                </c:pt>
                <c:pt idx="374">
                  <c:v>-35.279183456788502</c:v>
                </c:pt>
                <c:pt idx="375">
                  <c:v>-36.514733325916126</c:v>
                </c:pt>
                <c:pt idx="376">
                  <c:v>-37.765238971197768</c:v>
                </c:pt>
                <c:pt idx="377">
                  <c:v>-39.03090949587564</c:v>
                </c:pt>
                <c:pt idx="378">
                  <c:v>-40.311928205550196</c:v>
                </c:pt>
                <c:pt idx="379">
                  <c:v>-41.608450250136116</c:v>
                </c:pt>
                <c:pt idx="380">
                  <c:v>-42.920600195512385</c:v>
                </c:pt>
                <c:pt idx="381">
                  <c:v>-44.248469538073486</c:v>
                </c:pt>
                <c:pt idx="382">
                  <c:v>-45.592114178280752</c:v>
                </c:pt>
                <c:pt idx="383">
                  <c:v>-46.951551872369109</c:v>
                </c:pt>
                <c:pt idx="384">
                  <c:v>-48.326759684563228</c:v>
                </c:pt>
                <c:pt idx="385">
                  <c:v>-49.717671465400095</c:v>
                </c:pt>
                <c:pt idx="386">
                  <c:v>-51.124175385021069</c:v>
                </c:pt>
                <c:pt idx="387">
                  <c:v>-52.546111553442145</c:v>
                </c:pt>
                <c:pt idx="388">
                  <c:v>-53.983269762779067</c:v>
                </c:pt>
                <c:pt idx="389">
                  <c:v>-55.435387389055684</c:v>
                </c:pt>
                <c:pt idx="390">
                  <c:v>-56.902147493450528</c:v>
                </c:pt>
                <c:pt idx="391">
                  <c:v>-58.383177164481097</c:v>
                </c:pt>
                <c:pt idx="392">
                  <c:v>-59.878046143582054</c:v>
                </c:pt>
                <c:pt idx="393">
                  <c:v>-61.386265776648138</c:v>
                </c:pt>
                <c:pt idx="394">
                  <c:v>-62.907288333255373</c:v>
                </c:pt>
                <c:pt idx="395">
                  <c:v>-64.440506733371592</c:v>
                </c:pt>
                <c:pt idx="396">
                  <c:v>-65.985254718274319</c:v>
                </c:pt>
                <c:pt idx="397">
                  <c:v>-67.540807498120216</c:v>
                </c:pt>
                <c:pt idx="398">
                  <c:v>-69.10638290309133</c:v>
                </c:pt>
                <c:pt idx="399">
                  <c:v>-70.681143058341661</c:v>
                </c:pt>
                <c:pt idx="400">
                  <c:v>-72.26419659513833</c:v>
                </c:pt>
                <c:pt idx="401">
                  <c:v>-73.85460140180065</c:v>
                </c:pt>
                <c:pt idx="402">
                  <c:v>-75.45136790843965</c:v>
                </c:pt>
                <c:pt idx="403">
                  <c:v>-77.053462889362009</c:v>
                </c:pt>
                <c:pt idx="404">
                  <c:v>-78.659813756580874</c:v>
                </c:pt>
                <c:pt idx="405">
                  <c:v>-80.269313307507957</c:v>
                </c:pt>
                <c:pt idx="406">
                  <c:v>-81.880824879914613</c:v>
                </c:pt>
                <c:pt idx="407">
                  <c:v>-83.493187857984523</c:v>
                </c:pt>
                <c:pt idx="408">
                  <c:v>-85.105223465091285</c:v>
                </c:pt>
                <c:pt idx="409">
                  <c:v>-86.715740772097703</c:v>
                </c:pt>
                <c:pt idx="410">
                  <c:v>-88.323542844776767</c:v>
                </c:pt>
                <c:pt idx="411">
                  <c:v>-89.927432950594834</c:v>
                </c:pt>
                <c:pt idx="412">
                  <c:v>-91.526220743702993</c:v>
                </c:pt>
                <c:pt idx="413">
                  <c:v>-93.118728347606606</c:v>
                </c:pt>
                <c:pt idx="414">
                  <c:v>-94.703796257627587</c:v>
                </c:pt>
                <c:pt idx="415">
                  <c:v>-96.280288989785191</c:v>
                </c:pt>
                <c:pt idx="416">
                  <c:v>-97.847100408969737</c:v>
                </c:pt>
                <c:pt idx="417">
                  <c:v>-99.403158676985669</c:v>
                </c:pt>
                <c:pt idx="418">
                  <c:v>-100.94743076994402</c:v>
                </c:pt>
                <c:pt idx="419">
                  <c:v>-102.4789265242139</c:v>
                </c:pt>
                <c:pt idx="420">
                  <c:v>-103.99670218041089</c:v>
                </c:pt>
                <c:pt idx="421">
                  <c:v>-105.49986340531515</c:v>
                </c:pt>
                <c:pt idx="422">
                  <c:v>-106.98756778187415</c:v>
                </c:pt>
                <c:pt idx="423">
                  <c:v>-108.45902676726948</c:v>
                </c:pt>
                <c:pt idx="424">
                  <c:v>-109.91350712809634</c:v>
                </c:pt>
                <c:pt idx="425">
                  <c:v>-111.3503318699177</c:v>
                </c:pt>
                <c:pt idx="426">
                  <c:v>-112.76888068553234</c:v>
                </c:pt>
                <c:pt idx="427">
                  <c:v>-114.16858995223552</c:v>
                </c:pt>
                <c:pt idx="428">
                  <c:v>-115.54895231306715</c:v>
                </c:pt>
                <c:pt idx="429">
                  <c:v>-116.90951588052526</c:v>
                </c:pt>
                <c:pt idx="430">
                  <c:v>-118.24988310349819</c:v>
                </c:pt>
                <c:pt idx="431">
                  <c:v>-119.56970933941005</c:v>
                </c:pt>
                <c:pt idx="432">
                  <c:v>-120.86870117371583</c:v>
                </c:pt>
                <c:pt idx="433">
                  <c:v>-122.14661452822712</c:v>
                </c:pt>
                <c:pt idx="434">
                  <c:v>-123.4032525982753</c:v>
                </c:pt>
                <c:pt idx="435">
                  <c:v>-124.63846365668397</c:v>
                </c:pt>
                <c:pt idx="436">
                  <c:v>-125.85213875997816</c:v>
                </c:pt>
                <c:pt idx="437">
                  <c:v>-127.04420938937601</c:v>
                </c:pt>
                <c:pt idx="438">
                  <c:v>-128.21464505600417</c:v>
                </c:pt>
                <c:pt idx="439">
                  <c:v>-129.36345089655177</c:v>
                </c:pt>
                <c:pt idx="440">
                  <c:v>-130.49066528231594</c:v>
                </c:pt>
                <c:pt idx="441">
                  <c:v>-131.59635746141345</c:v>
                </c:pt>
                <c:pt idx="442">
                  <c:v>-132.68062525082559</c:v>
                </c:pt>
                <c:pt idx="443">
                  <c:v>-133.74359279205638</c:v>
                </c:pt>
                <c:pt idx="444">
                  <c:v>-134.78540838146608</c:v>
                </c:pt>
                <c:pt idx="445">
                  <c:v>-135.80624238386844</c:v>
                </c:pt>
                <c:pt idx="446">
                  <c:v>-136.80628523575422</c:v>
                </c:pt>
                <c:pt idx="447">
                  <c:v>-137.78574554252606</c:v>
                </c:pt>
                <c:pt idx="448">
                  <c:v>-138.74484827239797</c:v>
                </c:pt>
                <c:pt idx="449">
                  <c:v>-139.68383304813642</c:v>
                </c:pt>
                <c:pt idx="450">
                  <c:v>-140.60295253655701</c:v>
                </c:pt>
                <c:pt idx="451">
                  <c:v>-141.50247093465788</c:v>
                </c:pt>
                <c:pt idx="452">
                  <c:v>-142.38266255042578</c:v>
                </c:pt>
                <c:pt idx="453">
                  <c:v>-143.24381047568701</c:v>
                </c:pt>
                <c:pt idx="454">
                  <c:v>-144.08620534786667</c:v>
                </c:pt>
                <c:pt idx="455">
                  <c:v>-144.91014419716095</c:v>
                </c:pt>
                <c:pt idx="456">
                  <c:v>-145.71592937535803</c:v>
                </c:pt>
                <c:pt idx="457">
                  <c:v>-146.50386756242034</c:v>
                </c:pt>
                <c:pt idx="458">
                  <c:v>-147.27426884685801</c:v>
                </c:pt>
                <c:pt idx="459">
                  <c:v>-148.02744587592943</c:v>
                </c:pt>
                <c:pt idx="460">
                  <c:v>-148.76371307176942</c:v>
                </c:pt>
                <c:pt idx="461">
                  <c:v>-149.4833859096363</c:v>
                </c:pt>
                <c:pt idx="462">
                  <c:v>-150.18678025460429</c:v>
                </c:pt>
                <c:pt idx="463">
                  <c:v>-150.87421175317462</c:v>
                </c:pt>
                <c:pt idx="464">
                  <c:v>-151.54599527644248</c:v>
                </c:pt>
                <c:pt idx="465">
                  <c:v>-152.20244441163078</c:v>
                </c:pt>
                <c:pt idx="466">
                  <c:v>-152.84387099897268</c:v>
                </c:pt>
                <c:pt idx="467">
                  <c:v>-153.47058471109708</c:v>
                </c:pt>
                <c:pt idx="468">
                  <c:v>-154.0828926722279</c:v>
                </c:pt>
                <c:pt idx="469">
                  <c:v>-154.68109911468338</c:v>
                </c:pt>
                <c:pt idx="470">
                  <c:v>-155.26550507029108</c:v>
                </c:pt>
                <c:pt idx="471">
                  <c:v>-155.83640809448423</c:v>
                </c:pt>
                <c:pt idx="472">
                  <c:v>-156.39410202097392</c:v>
                </c:pt>
                <c:pt idx="473">
                  <c:v>-156.93887674500957</c:v>
                </c:pt>
                <c:pt idx="474">
                  <c:v>-157.47101803334829</c:v>
                </c:pt>
                <c:pt idx="475">
                  <c:v>-157.99080735915962</c:v>
                </c:pt>
                <c:pt idx="476">
                  <c:v>-158.49852176017853</c:v>
                </c:pt>
                <c:pt idx="477">
                  <c:v>-158.99443371852126</c:v>
                </c:pt>
                <c:pt idx="478">
                  <c:v>-159.47881106063363</c:v>
                </c:pt>
                <c:pt idx="479">
                  <c:v>-159.95191687594038</c:v>
                </c:pt>
                <c:pt idx="480">
                  <c:v>-160.41400945282234</c:v>
                </c:pt>
                <c:pt idx="481">
                  <c:v>-160.86534223061221</c:v>
                </c:pt>
                <c:pt idx="482">
                  <c:v>-161.30616376636877</c:v>
                </c:pt>
                <c:pt idx="483">
                  <c:v>-161.73671771524758</c:v>
                </c:pt>
                <c:pt idx="484">
                  <c:v>-162.15724282334048</c:v>
                </c:pt>
                <c:pt idx="485">
                  <c:v>-162.56797293191542</c:v>
                </c:pt>
                <c:pt idx="486">
                  <c:v>-162.96913699204433</c:v>
                </c:pt>
                <c:pt idx="487">
                  <c:v>-163.36095908865414</c:v>
                </c:pt>
                <c:pt idx="488">
                  <c:v>-163.74365847309269</c:v>
                </c:pt>
                <c:pt idx="489">
                  <c:v>-164.11744960335017</c:v>
                </c:pt>
                <c:pt idx="490">
                  <c:v>-164.48254219112678</c:v>
                </c:pt>
                <c:pt idx="491">
                  <c:v>-164.83914125498558</c:v>
                </c:pt>
                <c:pt idx="492">
                  <c:v>-165.18744717887697</c:v>
                </c:pt>
                <c:pt idx="493">
                  <c:v>-165.52765577536712</c:v>
                </c:pt>
                <c:pt idx="494">
                  <c:v>-165.85995835294952</c:v>
                </c:pt>
                <c:pt idx="495">
                  <c:v>-166.18454178685985</c:v>
                </c:pt>
                <c:pt idx="496">
                  <c:v>-166.50158859285793</c:v>
                </c:pt>
                <c:pt idx="497">
                  <c:v>-166.81127700348281</c:v>
                </c:pt>
                <c:pt idx="498">
                  <c:v>-167.11378104632163</c:v>
                </c:pt>
                <c:pt idx="499">
                  <c:v>-167.40927062387618</c:v>
                </c:pt>
                <c:pt idx="500">
                  <c:v>-167.69791159464305</c:v>
                </c:pt>
                <c:pt idx="501">
                  <c:v>-167.97986585505726</c:v>
                </c:pt>
                <c:pt idx="502">
                  <c:v>-168.25529142198445</c:v>
                </c:pt>
                <c:pt idx="503">
                  <c:v>-168.52434251547402</c:v>
                </c:pt>
                <c:pt idx="504">
                  <c:v>-168.78716964151664</c:v>
                </c:pt>
                <c:pt idx="505">
                  <c:v>-169.04391967457454</c:v>
                </c:pt>
                <c:pt idx="506">
                  <c:v>-169.29473593968027</c:v>
                </c:pt>
                <c:pt idx="507">
                  <c:v>-169.53975829392093</c:v>
                </c:pt>
                <c:pt idx="508">
                  <c:v>-169.77912320714884</c:v>
                </c:pt>
                <c:pt idx="509">
                  <c:v>-170.01296384177795</c:v>
                </c:pt>
                <c:pt idx="510">
                  <c:v>-170.24141013154454</c:v>
                </c:pt>
                <c:pt idx="511">
                  <c:v>-170.46458885912801</c:v>
                </c:pt>
                <c:pt idx="512">
                  <c:v>-170.68262373254373</c:v>
                </c:pt>
                <c:pt idx="513">
                  <c:v>-170.89563546023368</c:v>
                </c:pt>
                <c:pt idx="514">
                  <c:v>-171.10374182479097</c:v>
                </c:pt>
                <c:pt idx="515">
                  <c:v>-171.30705775527295</c:v>
                </c:pt>
                <c:pt idx="516">
                  <c:v>-171.50569539806062</c:v>
                </c:pt>
                <c:pt idx="517">
                  <c:v>-171.69976418623577</c:v>
                </c:pt>
                <c:pt idx="518">
                  <c:v>-171.88937090745614</c:v>
                </c:pt>
                <c:pt idx="519">
                  <c:v>-172.07461977031377</c:v>
                </c:pt>
                <c:pt idx="520">
                  <c:v>-172.25561246917184</c:v>
                </c:pt>
                <c:pt idx="521">
                  <c:v>-172.43244824747779</c:v>
                </c:pt>
                <c:pt idx="522">
                  <c:v>-172.60522395955911</c:v>
                </c:pt>
                <c:pt idx="523">
                  <c:v>-172.77403413091056</c:v>
                </c:pt>
                <c:pt idx="524">
                  <c:v>-172.93897101698624</c:v>
                </c:pt>
                <c:pt idx="525">
                  <c:v>-173.10012466051404</c:v>
                </c:pt>
                <c:pt idx="526">
                  <c:v>-173.25758294735121</c:v>
                </c:pt>
                <c:pt idx="527">
                  <c:v>-173.41143166090475</c:v>
                </c:pt>
                <c:pt idx="528">
                  <c:v>-173.56175453513956</c:v>
                </c:pt>
                <c:pt idx="529">
                  <c:v>-173.70863330620264</c:v>
                </c:pt>
                <c:pt idx="530">
                  <c:v>-173.85214776268768</c:v>
                </c:pt>
                <c:pt idx="531">
                  <c:v>-173.99237579457204</c:v>
                </c:pt>
                <c:pt idx="532">
                  <c:v>-174.12939344085359</c:v>
                </c:pt>
                <c:pt idx="533">
                  <c:v>-174.26327493591739</c:v>
                </c:pt>
                <c:pt idx="534">
                  <c:v>-174.39409275466409</c:v>
                </c:pt>
                <c:pt idx="535">
                  <c:v>-174.52191765642928</c:v>
                </c:pt>
                <c:pt idx="536">
                  <c:v>-174.64681872772513</c:v>
                </c:pt>
                <c:pt idx="537">
                  <c:v>-174.76886342383511</c:v>
                </c:pt>
                <c:pt idx="538">
                  <c:v>-174.88811760929227</c:v>
                </c:pt>
                <c:pt idx="539">
                  <c:v>-175.00464559727098</c:v>
                </c:pt>
                <c:pt idx="540">
                  <c:v>-175.11851018792223</c:v>
                </c:pt>
                <c:pt idx="541">
                  <c:v>-175.22977270568131</c:v>
                </c:pt>
              </c:numCache>
            </c:numRef>
          </c:yVal>
          <c:smooth val="1"/>
          <c:extLst>
            <c:ext xmlns:c16="http://schemas.microsoft.com/office/drawing/2014/chart" uri="{C3380CC4-5D6E-409C-BE32-E72D297353CC}">
              <c16:uniqueId val="{00000009-2366-45D5-89AB-25312676E0B6}"/>
            </c:ext>
          </c:extLst>
        </c:ser>
        <c:dLbls>
          <c:showLegendKey val="0"/>
          <c:showVal val="0"/>
          <c:showCatName val="0"/>
          <c:showSerName val="0"/>
          <c:showPercent val="0"/>
          <c:showBubbleSize val="0"/>
        </c:dLbls>
        <c:axId val="589562624"/>
        <c:axId val="589421184"/>
      </c:scatterChart>
      <c:valAx>
        <c:axId val="589404800"/>
        <c:scaling>
          <c:logBase val="10"/>
          <c:orientation val="minMax"/>
          <c:max val="2000000"/>
          <c:min val="10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589419264"/>
        <c:crosses val="autoZero"/>
        <c:crossBetween val="midCat"/>
      </c:valAx>
      <c:valAx>
        <c:axId val="589419264"/>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589404800"/>
        <c:crosses val="autoZero"/>
        <c:crossBetween val="midCat"/>
        <c:majorUnit val="20"/>
        <c:minorUnit val="10"/>
      </c:valAx>
      <c:valAx>
        <c:axId val="589421184"/>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589562624"/>
        <c:crosses val="max"/>
        <c:crossBetween val="midCat"/>
        <c:majorUnit val="90"/>
        <c:minorUnit val="45"/>
      </c:valAx>
      <c:valAx>
        <c:axId val="589562624"/>
        <c:scaling>
          <c:logBase val="10"/>
          <c:orientation val="minMax"/>
        </c:scaling>
        <c:delete val="1"/>
        <c:axPos val="b"/>
        <c:numFmt formatCode="0.00" sourceLinked="1"/>
        <c:majorTickMark val="out"/>
        <c:minorTickMark val="none"/>
        <c:tickLblPos val="nextTo"/>
        <c:crossAx val="589421184"/>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CCM_Loop_Modeling_Isolated!$AT$19:$AT$560</c:f>
              <c:numCache>
                <c:formatCode>General</c:formatCode>
                <c:ptCount val="542"/>
                <c:pt idx="0">
                  <c:v>-17.260614926902747</c:v>
                </c:pt>
                <c:pt idx="1">
                  <c:v>-17.263066835534062</c:v>
                </c:pt>
                <c:pt idx="2">
                  <c:v>-17.265413163001323</c:v>
                </c:pt>
                <c:pt idx="3">
                  <c:v>-17.267658716095557</c:v>
                </c:pt>
                <c:pt idx="4">
                  <c:v>-17.269808102233046</c:v>
                </c:pt>
                <c:pt idx="5">
                  <c:v>-17.271865737954347</c:v>
                </c:pt>
                <c:pt idx="6">
                  <c:v>-17.273835857124098</c:v>
                </c:pt>
                <c:pt idx="7">
                  <c:v>-17.27572251883873</c:v>
                </c:pt>
                <c:pt idx="8">
                  <c:v>-17.277529615052298</c:v>
                </c:pt>
                <c:pt idx="9">
                  <c:v>-17.279260877926358</c:v>
                </c:pt>
                <c:pt idx="10">
                  <c:v>-17.280919886914926</c:v>
                </c:pt>
                <c:pt idx="11">
                  <c:v>-17.282510075591297</c:v>
                </c:pt>
                <c:pt idx="12">
                  <c:v>-17.284034738224861</c:v>
                </c:pt>
                <c:pt idx="13">
                  <c:v>-17.285497036118041</c:v>
                </c:pt>
                <c:pt idx="14">
                  <c:v>-17.286900003709594</c:v>
                </c:pt>
                <c:pt idx="15">
                  <c:v>-17.288246554453547</c:v>
                </c:pt>
                <c:pt idx="16">
                  <c:v>-17.289539486481658</c:v>
                </c:pt>
                <c:pt idx="17">
                  <c:v>-17.290781488056783</c:v>
                </c:pt>
                <c:pt idx="18">
                  <c:v>-17.291975142824562</c:v>
                </c:pt>
                <c:pt idx="19">
                  <c:v>-17.293122934873228</c:v>
                </c:pt>
                <c:pt idx="20">
                  <c:v>-17.294227253604863</c:v>
                </c:pt>
                <c:pt idx="21">
                  <c:v>-17.295290398429572</c:v>
                </c:pt>
                <c:pt idx="22">
                  <c:v>-17.296314583285508</c:v>
                </c:pt>
                <c:pt idx="23">
                  <c:v>-17.297301940995517</c:v>
                </c:pt>
                <c:pt idx="24">
                  <c:v>-17.298254527462461</c:v>
                </c:pt>
                <c:pt idx="25">
                  <c:v>-17.29917432571408</c:v>
                </c:pt>
                <c:pt idx="26">
                  <c:v>-17.300063249799859</c:v>
                </c:pt>
                <c:pt idx="27">
                  <c:v>-17.300923148546982</c:v>
                </c:pt>
                <c:pt idx="28">
                  <c:v>-17.301755809182062</c:v>
                </c:pt>
                <c:pt idx="29">
                  <c:v>-17.302562960821927</c:v>
                </c:pt>
                <c:pt idx="30">
                  <c:v>-17.303346277840415</c:v>
                </c:pt>
                <c:pt idx="31">
                  <c:v>-17.304107383114292</c:v>
                </c:pt>
                <c:pt idx="32">
                  <c:v>-17.30484785115441</c:v>
                </c:pt>
                <c:pt idx="33">
                  <c:v>-17.30556921112521</c:v>
                </c:pt>
                <c:pt idx="34">
                  <c:v>-17.306272949757805</c:v>
                </c:pt>
                <c:pt idx="35">
                  <c:v>-17.306960514158828</c:v>
                </c:pt>
                <c:pt idx="36">
                  <c:v>-17.307633314519716</c:v>
                </c:pt>
                <c:pt idx="37">
                  <c:v>-17.308292726729558</c:v>
                </c:pt>
                <c:pt idx="38">
                  <c:v>-17.30894009489348</c:v>
                </c:pt>
                <c:pt idx="39">
                  <c:v>-17.309576733759958</c:v>
                </c:pt>
                <c:pt idx="40">
                  <c:v>-17.310203931059135</c:v>
                </c:pt>
                <c:pt idx="41">
                  <c:v>-17.310822949753675</c:v>
                </c:pt>
                <c:pt idx="42">
                  <c:v>-17.311435030204237</c:v>
                </c:pt>
                <c:pt idx="43">
                  <c:v>-17.312041392250819</c:v>
                </c:pt>
                <c:pt idx="44">
                  <c:v>-17.312643237209745</c:v>
                </c:pt>
                <c:pt idx="45">
                  <c:v>-17.313241749788961</c:v>
                </c:pt>
                <c:pt idx="46">
                  <c:v>-17.313838099919629</c:v>
                </c:pt>
                <c:pt idx="47">
                  <c:v>-17.31443344450485</c:v>
                </c:pt>
                <c:pt idx="48">
                  <c:v>-17.315028929084956</c:v>
                </c:pt>
                <c:pt idx="49">
                  <c:v>-17.315625689418134</c:v>
                </c:pt>
                <c:pt idx="50">
                  <c:v>-17.316224852974358</c:v>
                </c:pt>
                <c:pt idx="51">
                  <c:v>-17.316827540342022</c:v>
                </c:pt>
                <c:pt idx="52">
                  <c:v>-17.317434866543479</c:v>
                </c:pt>
                <c:pt idx="53">
                  <c:v>-17.318047942258094</c:v>
                </c:pt>
                <c:pt idx="54">
                  <c:v>-17.318667874948542</c:v>
                </c:pt>
                <c:pt idx="55">
                  <c:v>-17.319295769887223</c:v>
                </c:pt>
                <c:pt idx="56">
                  <c:v>-17.319932731078541</c:v>
                </c:pt>
                <c:pt idx="57">
                  <c:v>-17.320579862072613</c:v>
                </c:pt>
                <c:pt idx="58">
                  <c:v>-17.321238266664999</c:v>
                </c:pt>
                <c:pt idx="59">
                  <c:v>-17.321909049477732</c:v>
                </c:pt>
                <c:pt idx="60">
                  <c:v>-17.322593316414515</c:v>
                </c:pt>
                <c:pt idx="61">
                  <c:v>-17.323292174985781</c:v>
                </c:pt>
                <c:pt idx="62">
                  <c:v>-17.324006734494386</c:v>
                </c:pt>
                <c:pt idx="63">
                  <c:v>-17.324738106077476</c:v>
                </c:pt>
                <c:pt idx="64">
                  <c:v>-17.325487402594995</c:v>
                </c:pt>
                <c:pt idx="65">
                  <c:v>-17.326255738359336</c:v>
                </c:pt>
                <c:pt idx="66">
                  <c:v>-17.327044228696138</c:v>
                </c:pt>
                <c:pt idx="67">
                  <c:v>-17.327853989330752</c:v>
                </c:pt>
                <c:pt idx="68">
                  <c:v>-17.328686135589578</c:v>
                </c:pt>
                <c:pt idx="69">
                  <c:v>-17.329541781411379</c:v>
                </c:pt>
                <c:pt idx="70">
                  <c:v>-17.330422038158105</c:v>
                </c:pt>
                <c:pt idx="71">
                  <c:v>-17.331328013219633</c:v>
                </c:pt>
                <c:pt idx="72">
                  <c:v>-17.332260808404094</c:v>
                </c:pt>
                <c:pt idx="73">
                  <c:v>-17.333221518107717</c:v>
                </c:pt>
                <c:pt idx="74">
                  <c:v>-17.334211227258162</c:v>
                </c:pt>
                <c:pt idx="75">
                  <c:v>-17.335231009026089</c:v>
                </c:pt>
                <c:pt idx="76">
                  <c:v>-17.336281922301747</c:v>
                </c:pt>
                <c:pt idx="77">
                  <c:v>-17.337365008932501</c:v>
                </c:pt>
                <c:pt idx="78">
                  <c:v>-17.338481290721301</c:v>
                </c:pt>
                <c:pt idx="79">
                  <c:v>-17.339631766185935</c:v>
                </c:pt>
                <c:pt idx="80">
                  <c:v>-17.34081740708131</c:v>
                </c:pt>
                <c:pt idx="81">
                  <c:v>-17.342039154689513</c:v>
                </c:pt>
                <c:pt idx="82">
                  <c:v>-17.343297915884431</c:v>
                </c:pt>
                <c:pt idx="83">
                  <c:v>-17.344594558980184</c:v>
                </c:pt>
                <c:pt idx="84">
                  <c:v>-17.345929909376128</c:v>
                </c:pt>
                <c:pt idx="85">
                  <c:v>-17.347304745013059</c:v>
                </c:pt>
                <c:pt idx="86">
                  <c:v>-17.34871979166012</c:v>
                </c:pt>
                <c:pt idx="87">
                  <c:v>-17.350175718054086</c:v>
                </c:pt>
                <c:pt idx="88">
                  <c:v>-17.351673130915735</c:v>
                </c:pt>
                <c:pt idx="89">
                  <c:v>-17.353212569874255</c:v>
                </c:pt>
                <c:pt idx="90">
                  <c:v>-17.354794502331366</c:v>
                </c:pt>
                <c:pt idx="91">
                  <c:v>-17.356419318301569</c:v>
                </c:pt>
                <c:pt idx="92">
                  <c:v>-17.358087325270695</c:v>
                </c:pt>
                <c:pt idx="93">
                  <c:v>-17.359798743113867</c:v>
                </c:pt>
                <c:pt idx="94">
                  <c:v>-17.361553699122737</c:v>
                </c:pt>
                <c:pt idx="95">
                  <c:v>-17.363352223190187</c:v>
                </c:pt>
                <c:pt idx="96">
                  <c:v>-17.365194243206737</c:v>
                </c:pt>
                <c:pt idx="97">
                  <c:v>-17.367079580722656</c:v>
                </c:pt>
                <c:pt idx="98">
                  <c:v>-17.369007946933699</c:v>
                </c:pt>
                <c:pt idx="99">
                  <c:v>-17.370978939047493</c:v>
                </c:pt>
                <c:pt idx="100">
                  <c:v>-17.372992037089464</c:v>
                </c:pt>
                <c:pt idx="101">
                  <c:v>-17.375046601204982</c:v>
                </c:pt>
                <c:pt idx="102">
                  <c:v>-17.377141869515842</c:v>
                </c:pt>
                <c:pt idx="103">
                  <c:v>-17.379276956583741</c:v>
                </c:pt>
                <c:pt idx="104">
                  <c:v>-17.381450852533003</c:v>
                </c:pt>
                <c:pt idx="105">
                  <c:v>-17.383662422878711</c:v>
                </c:pt>
                <c:pt idx="106">
                  <c:v>-17.385910409102653</c:v>
                </c:pt>
                <c:pt idx="107">
                  <c:v>-17.388193430012315</c:v>
                </c:pt>
                <c:pt idx="108">
                  <c:v>-17.390509983912118</c:v>
                </c:pt>
                <c:pt idx="109">
                  <c:v>-17.392858451606489</c:v>
                </c:pt>
                <c:pt idx="110">
                  <c:v>-17.395237100249229</c:v>
                </c:pt>
                <c:pt idx="111">
                  <c:v>-17.397644088038849</c:v>
                </c:pt>
                <c:pt idx="112">
                  <c:v>-17.400077469755125</c:v>
                </c:pt>
                <c:pt idx="113">
                  <c:v>-17.402535203118504</c:v>
                </c:pt>
                <c:pt idx="114">
                  <c:v>-17.405015155945115</c:v>
                </c:pt>
                <c:pt idx="115">
                  <c:v>-17.40751511405816</c:v>
                </c:pt>
                <c:pt idx="116">
                  <c:v>-17.410032789908886</c:v>
                </c:pt>
                <c:pt idx="117">
                  <c:v>-17.412565831847498</c:v>
                </c:pt>
                <c:pt idx="118">
                  <c:v>-17.415111833977125</c:v>
                </c:pt>
                <c:pt idx="119">
                  <c:v>-17.417668346515647</c:v>
                </c:pt>
                <c:pt idx="120">
                  <c:v>-17.420232886581182</c:v>
                </c:pt>
                <c:pt idx="121">
                  <c:v>-17.422802949311755</c:v>
                </c:pt>
                <c:pt idx="122">
                  <c:v>-17.425376019226867</c:v>
                </c:pt>
                <c:pt idx="123">
                  <c:v>-17.427949581728999</c:v>
                </c:pt>
                <c:pt idx="124">
                  <c:v>-17.430521134650071</c:v>
                </c:pt>
                <c:pt idx="125">
                  <c:v>-17.433088199737725</c:v>
                </c:pt>
                <c:pt idx="126">
                  <c:v>-17.435648333985789</c:v>
                </c:pt>
                <c:pt idx="127">
                  <c:v>-17.438199140709322</c:v>
                </c:pt>
                <c:pt idx="128">
                  <c:v>-17.440738280274509</c:v>
                </c:pt>
                <c:pt idx="129">
                  <c:v>-17.443263480391987</c:v>
                </c:pt>
                <c:pt idx="130">
                  <c:v>-17.445772545898347</c:v>
                </c:pt>
                <c:pt idx="131">
                  <c:v>-17.448263367948382</c:v>
                </c:pt>
                <c:pt idx="132">
                  <c:v>-17.450733932556986</c:v>
                </c:pt>
                <c:pt idx="133">
                  <c:v>-17.453182328434696</c:v>
                </c:pt>
                <c:pt idx="134">
                  <c:v>-17.455606754073745</c:v>
                </c:pt>
                <c:pt idx="135">
                  <c:v>-17.458005524048914</c:v>
                </c:pt>
                <c:pt idx="136">
                  <c:v>-17.46037707451093</c:v>
                </c:pt>
                <c:pt idx="137">
                  <c:v>-17.462719967858469</c:v>
                </c:pt>
                <c:pt idx="138">
                  <c:v>-17.4650328965858</c:v>
                </c:pt>
                <c:pt idx="139">
                  <c:v>-17.46731468631269</c:v>
                </c:pt>
                <c:pt idx="140">
                  <c:v>-17.46956429801293</c:v>
                </c:pt>
                <c:pt idx="141">
                  <c:v>-17.471780829465306</c:v>
                </c:pt>
                <c:pt idx="142">
                  <c:v>-17.473963515958609</c:v>
                </c:pt>
                <c:pt idx="143">
                  <c:v>-17.47611173029086</c:v>
                </c:pt>
                <c:pt idx="144">
                  <c:v>-17.478224982105768</c:v>
                </c:pt>
                <c:pt idx="145">
                  <c:v>-17.480302916616623</c:v>
                </c:pt>
                <c:pt idx="146">
                  <c:v>-17.482345312770825</c:v>
                </c:pt>
                <c:pt idx="147">
                  <c:v>-17.484352080911723</c:v>
                </c:pt>
                <c:pt idx="148">
                  <c:v>-17.486323259993807</c:v>
                </c:pt>
                <c:pt idx="149">
                  <c:v>-17.488259014413849</c:v>
                </c:pt>
                <c:pt idx="150">
                  <c:v>-17.490159630514363</c:v>
                </c:pt>
                <c:pt idx="151">
                  <c:v>-17.492025512819247</c:v>
                </c:pt>
                <c:pt idx="152">
                  <c:v>-17.493857180060349</c:v>
                </c:pt>
                <c:pt idx="153">
                  <c:v>-17.495655261048462</c:v>
                </c:pt>
                <c:pt idx="154">
                  <c:v>-17.497420490444352</c:v>
                </c:pt>
                <c:pt idx="155">
                  <c:v>-17.499153704480047</c:v>
                </c:pt>
                <c:pt idx="156">
                  <c:v>-17.500855836676521</c:v>
                </c:pt>
                <c:pt idx="157">
                  <c:v>-17.502527913604887</c:v>
                </c:pt>
                <c:pt idx="158">
                  <c:v>-17.504171050728953</c:v>
                </c:pt>
                <c:pt idx="159">
                  <c:v>-17.50578644836876</c:v>
                </c:pt>
                <c:pt idx="160">
                  <c:v>-17.507375387817724</c:v>
                </c:pt>
                <c:pt idx="161">
                  <c:v>-17.508939227642948</c:v>
                </c:pt>
                <c:pt idx="162">
                  <c:v>-17.510479400195873</c:v>
                </c:pt>
                <c:pt idx="163">
                  <c:v>-17.511997408356464</c:v>
                </c:pt>
                <c:pt idx="164">
                  <c:v>-17.513494822529687</c:v>
                </c:pt>
                <c:pt idx="165">
                  <c:v>-17.514973277912066</c:v>
                </c:pt>
                <c:pt idx="166">
                  <c:v>-17.516434472041947</c:v>
                </c:pt>
                <c:pt idx="167">
                  <c:v>-17.517880162643429</c:v>
                </c:pt>
                <c:pt idx="168">
                  <c:v>-17.519312165775084</c:v>
                </c:pt>
                <c:pt idx="169">
                  <c:v>-17.520732354287393</c:v>
                </c:pt>
                <c:pt idx="170">
                  <c:v>-17.522142656595658</c:v>
                </c:pt>
                <c:pt idx="171">
                  <c:v>-17.523545055769489</c:v>
                </c:pt>
                <c:pt idx="172">
                  <c:v>-17.524941588942355</c:v>
                </c:pt>
                <c:pt idx="173">
                  <c:v>-17.526334347038674</c:v>
                </c:pt>
                <c:pt idx="174">
                  <c:v>-17.527725474820379</c:v>
                </c:pt>
                <c:pt idx="175">
                  <c:v>-17.529117171248529</c:v>
                </c:pt>
                <c:pt idx="176">
                  <c:v>-17.530511690160161</c:v>
                </c:pt>
                <c:pt idx="177">
                  <c:v>-17.531911341254435</c:v>
                </c:pt>
                <c:pt idx="178">
                  <c:v>-17.533318491387263</c:v>
                </c:pt>
                <c:pt idx="179">
                  <c:v>-17.534735566169914</c:v>
                </c:pt>
                <c:pt idx="180">
                  <c:v>-17.536165051867822</c:v>
                </c:pt>
                <c:pt idx="181">
                  <c:v>-17.537609497596037</c:v>
                </c:pt>
                <c:pt idx="182">
                  <c:v>-17.539071517808267</c:v>
                </c:pt>
                <c:pt idx="183">
                  <c:v>-17.540553795075823</c:v>
                </c:pt>
                <c:pt idx="184">
                  <c:v>-17.542059083153777</c:v>
                </c:pt>
                <c:pt idx="185">
                  <c:v>-17.543590210331502</c:v>
                </c:pt>
                <c:pt idx="186">
                  <c:v>-17.545150083066055</c:v>
                </c:pt>
                <c:pt idx="187">
                  <c:v>-17.546741689894912</c:v>
                </c:pt>
                <c:pt idx="188">
                  <c:v>-17.548368105629535</c:v>
                </c:pt>
                <c:pt idx="189">
                  <c:v>-17.550032495826013</c:v>
                </c:pt>
                <c:pt idx="190">
                  <c:v>-17.551738121534676</c:v>
                </c:pt>
                <c:pt idx="191">
                  <c:v>-17.553488344327835</c:v>
                </c:pt>
                <c:pt idx="192">
                  <c:v>-17.55528663160699</c:v>
                </c:pt>
                <c:pt idx="193">
                  <c:v>-17.557136562190284</c:v>
                </c:pt>
                <c:pt idx="194">
                  <c:v>-17.559041832182057</c:v>
                </c:pt>
                <c:pt idx="195">
                  <c:v>-17.561006261127726</c:v>
                </c:pt>
                <c:pt idx="196">
                  <c:v>-17.563033798455074</c:v>
                </c:pt>
                <c:pt idx="197">
                  <c:v>-17.56512853020676</c:v>
                </c:pt>
                <c:pt idx="198">
                  <c:v>-17.567294686066639</c:v>
                </c:pt>
                <c:pt idx="199">
                  <c:v>-17.569536646684391</c:v>
                </c:pt>
                <c:pt idx="200">
                  <c:v>-17.571858951302445</c:v>
                </c:pt>
                <c:pt idx="201">
                  <c:v>-17.57426630569012</c:v>
                </c:pt>
                <c:pt idx="202">
                  <c:v>-17.576763590389856</c:v>
                </c:pt>
                <c:pt idx="203">
                  <c:v>-17.579355869280178</c:v>
                </c:pt>
                <c:pt idx="204">
                  <c:v>-17.582048398461225</c:v>
                </c:pt>
                <c:pt idx="205">
                  <c:v>-17.584846635467489</c:v>
                </c:pt>
                <c:pt idx="206">
                  <c:v>-17.587756248813392</c:v>
                </c:pt>
                <c:pt idx="207">
                  <c:v>-17.590783127877074</c:v>
                </c:pt>
                <c:pt idx="208">
                  <c:v>-17.593933393126953</c:v>
                </c:pt>
                <c:pt idx="209">
                  <c:v>-17.597213406695857</c:v>
                </c:pt>
                <c:pt idx="210">
                  <c:v>-17.600629783308158</c:v>
                </c:pt>
                <c:pt idx="211">
                  <c:v>-17.604189401562433</c:v>
                </c:pt>
                <c:pt idx="212">
                  <c:v>-17.607899415574582</c:v>
                </c:pt>
                <c:pt idx="213">
                  <c:v>-17.611767266983417</c:v>
                </c:pt>
                <c:pt idx="214">
                  <c:v>-17.61580069732047</c:v>
                </c:pt>
                <c:pt idx="215">
                  <c:v>-17.620007760746855</c:v>
                </c:pt>
                <c:pt idx="216">
                  <c:v>-17.624396837154958</c:v>
                </c:pt>
                <c:pt idx="217">
                  <c:v>-17.628976645635767</c:v>
                </c:pt>
                <c:pt idx="218">
                  <c:v>-17.633756258307596</c:v>
                </c:pt>
                <c:pt idx="219">
                  <c:v>-17.638745114504374</c:v>
                </c:pt>
                <c:pt idx="220">
                  <c:v>-17.643953035315498</c:v>
                </c:pt>
                <c:pt idx="221">
                  <c:v>-17.649390238469866</c:v>
                </c:pt>
                <c:pt idx="222">
                  <c:v>-17.655067353556483</c:v>
                </c:pt>
                <c:pt idx="223">
                  <c:v>-17.66099543756523</c:v>
                </c:pt>
                <c:pt idx="224">
                  <c:v>-17.667185990736705</c:v>
                </c:pt>
                <c:pt idx="225">
                  <c:v>-17.673650972701115</c:v>
                </c:pt>
                <c:pt idx="226">
                  <c:v>-17.680402818885732</c:v>
                </c:pt>
                <c:pt idx="227">
                  <c:v>-17.687454457166243</c:v>
                </c:pt>
                <c:pt idx="228">
                  <c:v>-17.694819324735946</c:v>
                </c:pt>
                <c:pt idx="229">
                  <c:v>-17.702511385155283</c:v>
                </c:pt>
                <c:pt idx="230">
                  <c:v>-17.71054514555312</c:v>
                </c:pt>
                <c:pt idx="231">
                  <c:v>-17.718935673930119</c:v>
                </c:pt>
                <c:pt idx="232">
                  <c:v>-17.727698616525746</c:v>
                </c:pt>
                <c:pt idx="233">
                  <c:v>-17.736850215190717</c:v>
                </c:pt>
                <c:pt idx="234">
                  <c:v>-17.74640732471255</c:v>
                </c:pt>
                <c:pt idx="235">
                  <c:v>-17.75638743002872</c:v>
                </c:pt>
                <c:pt idx="236">
                  <c:v>-17.766808663258363</c:v>
                </c:pt>
                <c:pt idx="237">
                  <c:v>-17.77768982047635</c:v>
                </c:pt>
                <c:pt idx="238">
                  <c:v>-17.789050378145735</c:v>
                </c:pt>
                <c:pt idx="239">
                  <c:v>-17.800910509119092</c:v>
                </c:pt>
                <c:pt idx="240">
                  <c:v>-17.813291098109865</c:v>
                </c:pt>
                <c:pt idx="241">
                  <c:v>-17.826213756527491</c:v>
                </c:pt>
                <c:pt idx="242">
                  <c:v>-17.839700836562649</c:v>
                </c:pt>
                <c:pt idx="243">
                  <c:v>-17.853775444399155</c:v>
                </c:pt>
                <c:pt idx="244">
                  <c:v>-17.868461452423748</c:v>
                </c:pt>
                <c:pt idx="245">
                  <c:v>-17.883783510291579</c:v>
                </c:pt>
                <c:pt idx="246">
                  <c:v>-17.899767054702373</c:v>
                </c:pt>
                <c:pt idx="247">
                  <c:v>-17.916438317729646</c:v>
                </c:pt>
                <c:pt idx="248">
                  <c:v>-17.93382433353942</c:v>
                </c:pt>
                <c:pt idx="249">
                  <c:v>-17.951952943326177</c:v>
                </c:pt>
                <c:pt idx="250">
                  <c:v>-17.970852798287016</c:v>
                </c:pt>
                <c:pt idx="251">
                  <c:v>-17.99055336044686</c:v>
                </c:pt>
                <c:pt idx="252">
                  <c:v>-18.011084901144208</c:v>
                </c:pt>
                <c:pt idx="253">
                  <c:v>-18.032478496976371</c:v>
                </c:pt>
                <c:pt idx="254">
                  <c:v>-18.054766023006749</c:v>
                </c:pt>
                <c:pt idx="255">
                  <c:v>-18.077980143025044</c:v>
                </c:pt>
                <c:pt idx="256">
                  <c:v>-18.102154296655975</c:v>
                </c:pt>
                <c:pt idx="257">
                  <c:v>-18.127322683110705</c:v>
                </c:pt>
                <c:pt idx="258">
                  <c:v>-18.153520241373386</c:v>
                </c:pt>
                <c:pt idx="259">
                  <c:v>-18.18078262662539</c:v>
                </c:pt>
                <c:pt idx="260">
                  <c:v>-18.209146182710441</c:v>
                </c:pt>
                <c:pt idx="261">
                  <c:v>-18.238647910455374</c:v>
                </c:pt>
                <c:pt idx="262">
                  <c:v>-18.269325431671838</c:v>
                </c:pt>
                <c:pt idx="263">
                  <c:v>-18.301216948677656</c:v>
                </c:pt>
                <c:pt idx="264">
                  <c:v>-18.334361199196231</c:v>
                </c:pt>
                <c:pt idx="265">
                  <c:v>-18.368797406508492</c:v>
                </c:pt>
                <c:pt idx="266">
                  <c:v>-18.404565224760436</c:v>
                </c:pt>
                <c:pt idx="267">
                  <c:v>-18.441704679352515</c:v>
                </c:pt>
                <c:pt idx="268">
                  <c:v>-18.480256102369438</c:v>
                </c:pt>
                <c:pt idx="269">
                  <c:v>-18.520260063043189</c:v>
                </c:pt>
                <c:pt idx="270">
                  <c:v>-18.561757293278013</c:v>
                </c:pt>
                <c:pt idx="271">
                  <c:v>-18.604788608307288</c:v>
                </c:pt>
                <c:pt idx="272">
                  <c:v>-18.649394822595969</c:v>
                </c:pt>
                <c:pt idx="273">
                  <c:v>-18.695616661148946</c:v>
                </c:pt>
                <c:pt idx="274">
                  <c:v>-18.743494666432092</c:v>
                </c:pt>
                <c:pt idx="275">
                  <c:v>-18.79306910116561</c:v>
                </c:pt>
                <c:pt idx="276">
                  <c:v>-18.8443798473021</c:v>
                </c:pt>
                <c:pt idx="277">
                  <c:v>-18.897466301550022</c:v>
                </c:pt>
                <c:pt idx="278">
                  <c:v>-18.952367267862083</c:v>
                </c:pt>
                <c:pt idx="279">
                  <c:v>-19.00912084735673</c:v>
                </c:pt>
                <c:pt idx="280">
                  <c:v>-19.06776432619337</c:v>
                </c:pt>
                <c:pt idx="281">
                  <c:v>-19.128334061970417</c:v>
                </c:pt>
                <c:pt idx="282">
                  <c:v>-19.190865369261587</c:v>
                </c:pt>
                <c:pt idx="283">
                  <c:v>-19.255392404947013</c:v>
                </c:pt>
                <c:pt idx="284">
                  <c:v>-19.321948054033555</c:v>
                </c:pt>
                <c:pt idx="285">
                  <c:v>-19.390563816688054</c:v>
                </c:pt>
                <c:pt idx="286">
                  <c:v>-19.461269697234169</c:v>
                </c:pt>
                <c:pt idx="287">
                  <c:v>-19.534094095877805</c:v>
                </c:pt>
                <c:pt idx="288">
                  <c:v>-19.609063703937146</c:v>
                </c:pt>
                <c:pt idx="289">
                  <c:v>-19.686203403352188</c:v>
                </c:pt>
                <c:pt idx="290">
                  <c:v>-19.765536171240683</c:v>
                </c:pt>
                <c:pt idx="291">
                  <c:v>-19.847082990247511</c:v>
                </c:pt>
                <c:pt idx="292">
                  <c:v>-19.930862765408715</c:v>
                </c:pt>
                <c:pt idx="293">
                  <c:v>-20.016892248211427</c:v>
                </c:pt>
                <c:pt idx="294">
                  <c:v>-20.105185968485927</c:v>
                </c:pt>
                <c:pt idx="295">
                  <c:v>-20.19575617470916</c:v>
                </c:pt>
                <c:pt idx="296">
                  <c:v>-20.288612783235571</c:v>
                </c:pt>
                <c:pt idx="297">
                  <c:v>-20.383763336898628</c:v>
                </c:pt>
                <c:pt idx="298">
                  <c:v>-20.481212973349155</c:v>
                </c:pt>
                <c:pt idx="299">
                  <c:v>-20.580964403412196</c:v>
                </c:pt>
                <c:pt idx="300">
                  <c:v>-20.683017899655923</c:v>
                </c:pt>
                <c:pt idx="301">
                  <c:v>-20.787371295275577</c:v>
                </c:pt>
                <c:pt idx="302">
                  <c:v>-20.89401999330283</c:v>
                </c:pt>
                <c:pt idx="303">
                  <c:v>-21.002956986057399</c:v>
                </c:pt>
                <c:pt idx="304">
                  <c:v>-21.114172884667624</c:v>
                </c:pt>
                <c:pt idx="305">
                  <c:v>-21.22765595839622</c:v>
                </c:pt>
                <c:pt idx="306">
                  <c:v>-21.34339218342452</c:v>
                </c:pt>
                <c:pt idx="307">
                  <c:v>-21.461365300666909</c:v>
                </c:pt>
                <c:pt idx="308">
                  <c:v>-21.581556882116061</c:v>
                </c:pt>
                <c:pt idx="309">
                  <c:v>-21.703946405151587</c:v>
                </c:pt>
                <c:pt idx="310">
                  <c:v>-21.828511334189045</c:v>
                </c:pt>
                <c:pt idx="311">
                  <c:v>-21.955227208995964</c:v>
                </c:pt>
                <c:pt idx="312">
                  <c:v>-22.08406773896218</c:v>
                </c:pt>
                <c:pt idx="313">
                  <c:v>-22.215004902582351</c:v>
                </c:pt>
                <c:pt idx="314">
                  <c:v>-22.348009051387507</c:v>
                </c:pt>
                <c:pt idx="315">
                  <c:v>-22.483049017550464</c:v>
                </c:pt>
                <c:pt idx="316">
                  <c:v>-22.620092224391357</c:v>
                </c:pt>
                <c:pt idx="317">
                  <c:v>-22.759104799011762</c:v>
                </c:pt>
                <c:pt idx="318">
                  <c:v>-22.900051686306035</c:v>
                </c:pt>
                <c:pt idx="319">
                  <c:v>-23.04289676361789</c:v>
                </c:pt>
                <c:pt idx="320">
                  <c:v>-23.187602955341706</c:v>
                </c:pt>
                <c:pt idx="321">
                  <c:v>-23.334132346803493</c:v>
                </c:pt>
                <c:pt idx="322">
                  <c:v>-23.482446296795946</c:v>
                </c:pt>
                <c:pt idx="323">
                  <c:v>-23.632505548189123</c:v>
                </c:pt>
                <c:pt idx="324">
                  <c:v>-23.784270336085434</c:v>
                </c:pt>
                <c:pt idx="325">
                  <c:v>-23.937700493037298</c:v>
                </c:pt>
                <c:pt idx="326">
                  <c:v>-24.092755550900829</c:v>
                </c:pt>
                <c:pt idx="327">
                  <c:v>-24.249394838948817</c:v>
                </c:pt>
                <c:pt idx="328">
                  <c:v>-24.407577577921419</c:v>
                </c:pt>
                <c:pt idx="329">
                  <c:v>-24.567262969744519</c:v>
                </c:pt>
                <c:pt idx="330">
                  <c:v>-24.728410282695975</c:v>
                </c:pt>
                <c:pt idx="331">
                  <c:v>-24.890978931851016</c:v>
                </c:pt>
                <c:pt idx="332">
                  <c:v>-25.054928554681947</c:v>
                </c:pt>
                <c:pt idx="333">
                  <c:v>-25.220219081734388</c:v>
                </c:pt>
                <c:pt idx="334">
                  <c:v>-25.386810802341849</c:v>
                </c:pt>
                <c:pt idx="335">
                  <c:v>-25.554664425377883</c:v>
                </c:pt>
                <c:pt idx="336">
                  <c:v>-25.723741135081937</c:v>
                </c:pt>
                <c:pt idx="337">
                  <c:v>-25.894002642023807</c:v>
                </c:pt>
                <c:pt idx="338">
                  <c:v>-26.065411229301141</c:v>
                </c:pt>
                <c:pt idx="339">
                  <c:v>-26.237929794087425</c:v>
                </c:pt>
                <c:pt idx="340">
                  <c:v>-26.411521884671004</c:v>
                </c:pt>
                <c:pt idx="341">
                  <c:v>-26.586151733141506</c:v>
                </c:pt>
                <c:pt idx="342">
                  <c:v>-26.761784283895317</c:v>
                </c:pt>
                <c:pt idx="343">
                  <c:v>-26.938385218145484</c:v>
                </c:pt>
                <c:pt idx="344">
                  <c:v>-27.115920974627198</c:v>
                </c:pt>
                <c:pt idx="345">
                  <c:v>-27.294358766700668</c:v>
                </c:pt>
                <c:pt idx="346">
                  <c:v>-27.47366659605423</c:v>
                </c:pt>
                <c:pt idx="347">
                  <c:v>-27.653813263213742</c:v>
                </c:pt>
                <c:pt idx="348">
                  <c:v>-27.834768375066837</c:v>
                </c:pt>
                <c:pt idx="349">
                  <c:v>-28.016502349606277</c:v>
                </c:pt>
                <c:pt idx="350">
                  <c:v>-28.198986418095409</c:v>
                </c:pt>
                <c:pt idx="351">
                  <c:v>-28.382192624855023</c:v>
                </c:pt>
                <c:pt idx="352">
                  <c:v>-28.566093824865554</c:v>
                </c:pt>
                <c:pt idx="353">
                  <c:v>-28.750663679370902</c:v>
                </c:pt>
                <c:pt idx="354">
                  <c:v>-28.935876649668405</c:v>
                </c:pt>
                <c:pt idx="355">
                  <c:v>-29.121707989254769</c:v>
                </c:pt>
                <c:pt idx="356">
                  <c:v>-29.308133734496778</c:v>
                </c:pt>
                <c:pt idx="357">
                  <c:v>-29.4951306939844</c:v>
                </c:pt>
                <c:pt idx="358">
                  <c:v>-29.682676436715045</c:v>
                </c:pt>
                <c:pt idx="359">
                  <c:v>-29.870749279250983</c:v>
                </c:pt>
                <c:pt idx="360">
                  <c:v>-30.05932827198329</c:v>
                </c:pt>
                <c:pt idx="361">
                  <c:v>-30.248393184625343</c:v>
                </c:pt>
                <c:pt idx="362">
                  <c:v>-30.437924491053803</c:v>
                </c:pt>
                <c:pt idx="363">
                  <c:v>-30.627903353603266</c:v>
                </c:pt>
                <c:pt idx="364">
                  <c:v>-30.818311606916986</c:v>
                </c:pt>
                <c:pt idx="365">
                  <c:v>-31.009131741443436</c:v>
                </c:pt>
                <c:pt idx="366">
                  <c:v>-31.200346886666026</c:v>
                </c:pt>
                <c:pt idx="367">
                  <c:v>-31.3919407941431</c:v>
                </c:pt>
                <c:pt idx="368">
                  <c:v>-31.583897820428724</c:v>
                </c:pt>
                <c:pt idx="369">
                  <c:v>-31.776202909940441</c:v>
                </c:pt>
                <c:pt idx="370">
                  <c:v>-31.968841577831345</c:v>
                </c:pt>
                <c:pt idx="371">
                  <c:v>-32.161799892920172</c:v>
                </c:pt>
                <c:pt idx="372">
                  <c:v>-32.35506446072646</c:v>
                </c:pt>
                <c:pt idx="373">
                  <c:v>-32.548622406652989</c:v>
                </c:pt>
                <c:pt idx="374">
                  <c:v>-32.742461359353861</c:v>
                </c:pt>
                <c:pt idx="375">
                  <c:v>-32.936569434320248</c:v>
                </c:pt>
                <c:pt idx="376">
                  <c:v>-33.130935217714409</c:v>
                </c:pt>
                <c:pt idx="377">
                  <c:v>-33.325547750474875</c:v>
                </c:pt>
                <c:pt idx="378">
                  <c:v>-33.520396512717319</c:v>
                </c:pt>
                <c:pt idx="379">
                  <c:v>-33.7154714084473</c:v>
                </c:pt>
                <c:pt idx="380">
                  <c:v>-33.910762750601251</c:v>
                </c:pt>
                <c:pt idx="381">
                  <c:v>-34.106261246428701</c:v>
                </c:pt>
                <c:pt idx="382">
                  <c:v>-34.301957983225336</c:v>
                </c:pt>
                <c:pt idx="383">
                  <c:v>-34.497844414425295</c:v>
                </c:pt>
                <c:pt idx="384">
                  <c:v>-34.693912346058113</c:v>
                </c:pt>
                <c:pt idx="385">
                  <c:v>-34.890153923575554</c:v>
                </c:pt>
                <c:pt idx="386">
                  <c:v>-35.086561619048702</c:v>
                </c:pt>
                <c:pt idx="387">
                  <c:v>-35.283128218738007</c:v>
                </c:pt>
                <c:pt idx="388">
                  <c:v>-35.479846811035117</c:v>
                </c:pt>
                <c:pt idx="389">
                  <c:v>-35.676710774774165</c:v>
                </c:pt>
                <c:pt idx="390">
                  <c:v>-35.873713767910893</c:v>
                </c:pt>
                <c:pt idx="391">
                  <c:v>-36.070849716564673</c:v>
                </c:pt>
                <c:pt idx="392">
                  <c:v>-36.268112804420461</c:v>
                </c:pt>
                <c:pt idx="393">
                  <c:v>-36.465497462483825</c:v>
                </c:pt>
                <c:pt idx="394">
                  <c:v>-36.662998359184066</c:v>
                </c:pt>
                <c:pt idx="395">
                  <c:v>-36.860610390819076</c:v>
                </c:pt>
                <c:pt idx="396">
                  <c:v>-37.058328672334618</c:v>
                </c:pt>
                <c:pt idx="397">
                  <c:v>-37.256148528431595</c:v>
                </c:pt>
                <c:pt idx="398">
                  <c:v>-37.454065484992881</c:v>
                </c:pt>
                <c:pt idx="399">
                  <c:v>-37.652075260822699</c:v>
                </c:pt>
                <c:pt idx="400">
                  <c:v>-37.850173759690101</c:v>
                </c:pt>
                <c:pt idx="401">
                  <c:v>-38.048357062669275</c:v>
                </c:pt>
                <c:pt idx="402">
                  <c:v>-38.246621420767404</c:v>
                </c:pt>
                <c:pt idx="403">
                  <c:v>-38.444963247832398</c:v>
                </c:pt>
                <c:pt idx="404">
                  <c:v>-38.643379113733197</c:v>
                </c:pt>
                <c:pt idx="405">
                  <c:v>-38.841865737801946</c:v>
                </c:pt>
                <c:pt idx="406">
                  <c:v>-39.040419982533294</c:v>
                </c:pt>
                <c:pt idx="407">
                  <c:v>-39.239038847529045</c:v>
                </c:pt>
                <c:pt idx="408">
                  <c:v>-39.437719463683308</c:v>
                </c:pt>
                <c:pt idx="409">
                  <c:v>-39.636459087597842</c:v>
                </c:pt>
                <c:pt idx="410">
                  <c:v>-39.83525509622141</c:v>
                </c:pt>
                <c:pt idx="411">
                  <c:v>-40.034104981704829</c:v>
                </c:pt>
                <c:pt idx="412">
                  <c:v>-40.233006346463505</c:v>
                </c:pt>
                <c:pt idx="413">
                  <c:v>-40.431956898441669</c:v>
                </c:pt>
                <c:pt idx="414">
                  <c:v>-40.630954446569483</c:v>
                </c:pt>
                <c:pt idx="415">
                  <c:v>-40.829996896407017</c:v>
                </c:pt>
                <c:pt idx="416">
                  <c:v>-41.029082245968155</c:v>
                </c:pt>
                <c:pt idx="417">
                  <c:v>-41.228208581717112</c:v>
                </c:pt>
                <c:pt idx="418">
                  <c:v>-41.427374074731311</c:v>
                </c:pt>
                <c:pt idx="419">
                  <c:v>-41.626576977025458</c:v>
                </c:pt>
                <c:pt idx="420">
                  <c:v>-41.82581561802828</c:v>
                </c:pt>
                <c:pt idx="421">
                  <c:v>-42.025088401208208</c:v>
                </c:pt>
                <c:pt idx="422">
                  <c:v>-42.224393800841611</c:v>
                </c:pt>
                <c:pt idx="423">
                  <c:v>-42.423730358916892</c:v>
                </c:pt>
                <c:pt idx="424">
                  <c:v>-42.623096682170988</c:v>
                </c:pt>
                <c:pt idx="425">
                  <c:v>-42.822491439250818</c:v>
                </c:pt>
                <c:pt idx="426">
                  <c:v>-43.021913357997441</c:v>
                </c:pt>
                <c:pt idx="427">
                  <c:v>-43.221361222844628</c:v>
                </c:pt>
                <c:pt idx="428">
                  <c:v>-43.420833872329879</c:v>
                </c:pt>
                <c:pt idx="429">
                  <c:v>-43.620330196713027</c:v>
                </c:pt>
                <c:pt idx="430">
                  <c:v>-43.819849135695812</c:v>
                </c:pt>
                <c:pt idx="431">
                  <c:v>-44.019389676241325</c:v>
                </c:pt>
                <c:pt idx="432">
                  <c:v>-44.21895085048682</c:v>
                </c:pt>
                <c:pt idx="433">
                  <c:v>-44.418531733747606</c:v>
                </c:pt>
                <c:pt idx="434">
                  <c:v>-44.618131442607151</c:v>
                </c:pt>
                <c:pt idx="435">
                  <c:v>-44.817749133090061</c:v>
                </c:pt>
                <c:pt idx="436">
                  <c:v>-45.017383998915392</c:v>
                </c:pt>
                <c:pt idx="437">
                  <c:v>-45.217035269825097</c:v>
                </c:pt>
                <c:pt idx="438">
                  <c:v>-45.416702209986546</c:v>
                </c:pt>
                <c:pt idx="439">
                  <c:v>-45.616384116463784</c:v>
                </c:pt>
                <c:pt idx="440">
                  <c:v>-45.81608031775658</c:v>
                </c:pt>
                <c:pt idx="441">
                  <c:v>-46.015790172403499</c:v>
                </c:pt>
                <c:pt idx="442">
                  <c:v>-46.215513067645588</c:v>
                </c:pt>
                <c:pt idx="443">
                  <c:v>-46.415248418149673</c:v>
                </c:pt>
                <c:pt idx="444">
                  <c:v>-46.614995664787067</c:v>
                </c:pt>
                <c:pt idx="445">
                  <c:v>-46.814754273466747</c:v>
                </c:pt>
                <c:pt idx="446">
                  <c:v>-47.014523734019633</c:v>
                </c:pt>
                <c:pt idx="447">
                  <c:v>-47.214303559131956</c:v>
                </c:pt>
                <c:pt idx="448">
                  <c:v>-47.414093283325656</c:v>
                </c:pt>
                <c:pt idx="449">
                  <c:v>-47.613892461984875</c:v>
                </c:pt>
                <c:pt idx="450">
                  <c:v>-47.813700670424133</c:v>
                </c:pt>
                <c:pt idx="451">
                  <c:v>-48.013517502998354</c:v>
                </c:pt>
                <c:pt idx="452">
                  <c:v>-48.213342572252728</c:v>
                </c:pt>
                <c:pt idx="453">
                  <c:v>-48.413175508109596</c:v>
                </c:pt>
                <c:pt idx="454">
                  <c:v>-48.613015957091761</c:v>
                </c:pt>
                <c:pt idx="455">
                  <c:v>-48.812863581580643</c:v>
                </c:pt>
                <c:pt idx="456">
                  <c:v>-49.012718059106142</c:v>
                </c:pt>
                <c:pt idx="457">
                  <c:v>-49.212579081669716</c:v>
                </c:pt>
                <c:pt idx="458">
                  <c:v>-49.412446355096485</c:v>
                </c:pt>
                <c:pt idx="459">
                  <c:v>-49.6123195984162</c:v>
                </c:pt>
                <c:pt idx="460">
                  <c:v>-49.812198543272601</c:v>
                </c:pt>
                <c:pt idx="461">
                  <c:v>-50.012082933357782</c:v>
                </c:pt>
                <c:pt idx="462">
                  <c:v>-50.211972523873328</c:v>
                </c:pt>
                <c:pt idx="463">
                  <c:v>-50.41186708101371</c:v>
                </c:pt>
                <c:pt idx="464">
                  <c:v>-50.611766381474652</c:v>
                </c:pt>
                <c:pt idx="465">
                  <c:v>-50.811670211981706</c:v>
                </c:pt>
                <c:pt idx="466">
                  <c:v>-51.011578368840887</c:v>
                </c:pt>
                <c:pt idx="467">
                  <c:v>-51.211490657509088</c:v>
                </c:pt>
                <c:pt idx="468">
                  <c:v>-51.41140689218382</c:v>
                </c:pt>
                <c:pt idx="469">
                  <c:v>-51.611326895410912</c:v>
                </c:pt>
                <c:pt idx="470">
                  <c:v>-51.811250497710226</c:v>
                </c:pt>
                <c:pt idx="471">
                  <c:v>-52.011177537217954</c:v>
                </c:pt>
                <c:pt idx="472">
                  <c:v>-52.211107859344501</c:v>
                </c:pt>
                <c:pt idx="473">
                  <c:v>-52.411041316448333</c:v>
                </c:pt>
                <c:pt idx="474">
                  <c:v>-52.610977767523977</c:v>
                </c:pt>
                <c:pt idx="475">
                  <c:v>-52.810917077904278</c:v>
                </c:pt>
                <c:pt idx="476">
                  <c:v>-53.010859118975766</c:v>
                </c:pt>
                <c:pt idx="477">
                  <c:v>-53.210803767906533</c:v>
                </c:pt>
                <c:pt idx="478">
                  <c:v>-53.410750907387296</c:v>
                </c:pt>
                <c:pt idx="479">
                  <c:v>-53.610700425382689</c:v>
                </c:pt>
                <c:pt idx="480">
                  <c:v>-53.810652214894716</c:v>
                </c:pt>
                <c:pt idx="481">
                  <c:v>-54.010606173736619</c:v>
                </c:pt>
                <c:pt idx="482">
                  <c:v>-54.210562204316197</c:v>
                </c:pt>
                <c:pt idx="483">
                  <c:v>-54.410520213430161</c:v>
                </c:pt>
                <c:pt idx="484">
                  <c:v>-54.610480112066362</c:v>
                </c:pt>
                <c:pt idx="485">
                  <c:v>-54.810441815215547</c:v>
                </c:pt>
                <c:pt idx="486">
                  <c:v>-55.010405241691622</c:v>
                </c:pt>
                <c:pt idx="487">
                  <c:v>-55.210370313959913</c:v>
                </c:pt>
                <c:pt idx="488">
                  <c:v>-55.410336957972945</c:v>
                </c:pt>
                <c:pt idx="489">
                  <c:v>-55.610305103013438</c:v>
                </c:pt>
                <c:pt idx="490">
                  <c:v>-55.810274681545195</c:v>
                </c:pt>
                <c:pt idx="491">
                  <c:v>-56.010245629069587</c:v>
                </c:pt>
                <c:pt idx="492">
                  <c:v>-56.210217883989429</c:v>
                </c:pt>
                <c:pt idx="493">
                  <c:v>-56.410191387478044</c:v>
                </c:pt>
                <c:pt idx="494">
                  <c:v>-56.610166083355217</c:v>
                </c:pt>
                <c:pt idx="495">
                  <c:v>-56.810141917967869</c:v>
                </c:pt>
                <c:pt idx="496">
                  <c:v>-57.010118840076593</c:v>
                </c:pt>
                <c:pt idx="497">
                  <c:v>-57.210096800747088</c:v>
                </c:pt>
                <c:pt idx="498">
                  <c:v>-57.410075753246389</c:v>
                </c:pt>
                <c:pt idx="499">
                  <c:v>-57.610055652944006</c:v>
                </c:pt>
                <c:pt idx="500">
                  <c:v>-57.810036457217429</c:v>
                </c:pt>
                <c:pt idx="501">
                  <c:v>-58.010018125361647</c:v>
                </c:pt>
                <c:pt idx="502">
                  <c:v>-58.210000618503059</c:v>
                </c:pt>
                <c:pt idx="503">
                  <c:v>-58.409983899516995</c:v>
                </c:pt>
                <c:pt idx="504">
                  <c:v>-58.609967932949203</c:v>
                </c:pt>
                <c:pt idx="505">
                  <c:v>-58.809952684940569</c:v>
                </c:pt>
                <c:pt idx="506">
                  <c:v>-59.009938123155372</c:v>
                </c:pt>
                <c:pt idx="507">
                  <c:v>-59.209924216712892</c:v>
                </c:pt>
                <c:pt idx="508">
                  <c:v>-59.409910936121861</c:v>
                </c:pt>
                <c:pt idx="509">
                  <c:v>-59.60989825321797</c:v>
                </c:pt>
                <c:pt idx="510">
                  <c:v>-59.809886141104165</c:v>
                </c:pt>
                <c:pt idx="511">
                  <c:v>-60.009874574093764</c:v>
                </c:pt>
                <c:pt idx="512">
                  <c:v>-60.209863527655884</c:v>
                </c:pt>
                <c:pt idx="513">
                  <c:v>-60.409852978363325</c:v>
                </c:pt>
                <c:pt idx="514">
                  <c:v>-60.609842903843258</c:v>
                </c:pt>
                <c:pt idx="515">
                  <c:v>-60.809833282729436</c:v>
                </c:pt>
                <c:pt idx="516">
                  <c:v>-61.00982409461713</c:v>
                </c:pt>
                <c:pt idx="517">
                  <c:v>-61.209815320019921</c:v>
                </c:pt>
                <c:pt idx="518">
                  <c:v>-61.409806940328068</c:v>
                </c:pt>
                <c:pt idx="519">
                  <c:v>-61.60979893776932</c:v>
                </c:pt>
                <c:pt idx="520">
                  <c:v>-61.809791295371369</c:v>
                </c:pt>
                <c:pt idx="521">
                  <c:v>-62.009783996925364</c:v>
                </c:pt>
                <c:pt idx="522">
                  <c:v>-62.209777026952224</c:v>
                </c:pt>
                <c:pt idx="523">
                  <c:v>-62.409770370668966</c:v>
                </c:pt>
                <c:pt idx="524">
                  <c:v>-62.609764013958333</c:v>
                </c:pt>
                <c:pt idx="525">
                  <c:v>-62.809757943338134</c:v>
                </c:pt>
                <c:pt idx="526">
                  <c:v>-63.009752145932922</c:v>
                </c:pt>
                <c:pt idx="527">
                  <c:v>-63.209746609446746</c:v>
                </c:pt>
                <c:pt idx="528">
                  <c:v>-63.409741322136767</c:v>
                </c:pt>
                <c:pt idx="529">
                  <c:v>-63.609736272789036</c:v>
                </c:pt>
                <c:pt idx="530">
                  <c:v>-63.809731450693874</c:v>
                </c:pt>
                <c:pt idx="531">
                  <c:v>-64.009726845623774</c:v>
                </c:pt>
                <c:pt idx="532">
                  <c:v>-64.209722447811401</c:v>
                </c:pt>
                <c:pt idx="533">
                  <c:v>-64.409718247929035</c:v>
                </c:pt>
                <c:pt idx="534">
                  <c:v>-64.609714237068729</c:v>
                </c:pt>
                <c:pt idx="535">
                  <c:v>-64.809710406723468</c:v>
                </c:pt>
                <c:pt idx="536">
                  <c:v>-65.009706748768906</c:v>
                </c:pt>
                <c:pt idx="537">
                  <c:v>-65.209703255446513</c:v>
                </c:pt>
                <c:pt idx="538">
                  <c:v>-65.409699919346949</c:v>
                </c:pt>
                <c:pt idx="539">
                  <c:v>-65.609696733394259</c:v>
                </c:pt>
                <c:pt idx="540">
                  <c:v>-65.809693690830755</c:v>
                </c:pt>
                <c:pt idx="541">
                  <c:v>-66.009690785203304</c:v>
                </c:pt>
              </c:numCache>
            </c:numRef>
          </c:yVal>
          <c:smooth val="1"/>
          <c:extLst>
            <c:ext xmlns:c16="http://schemas.microsoft.com/office/drawing/2014/chart" uri="{C3380CC4-5D6E-409C-BE32-E72D297353CC}">
              <c16:uniqueId val="{00000000-3DFE-43A9-93A4-11C3658A6E80}"/>
            </c:ext>
          </c:extLst>
        </c:ser>
        <c:dLbls>
          <c:showLegendKey val="0"/>
          <c:showVal val="0"/>
          <c:showCatName val="0"/>
          <c:showSerName val="0"/>
          <c:showPercent val="0"/>
          <c:showBubbleSize val="0"/>
        </c:dLbls>
        <c:axId val="337758080"/>
        <c:axId val="384032768"/>
      </c:scatterChart>
      <c:scatterChart>
        <c:scatterStyle val="smoothMarker"/>
        <c:varyColors val="0"/>
        <c:ser>
          <c:idx val="1"/>
          <c:order val="1"/>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CCM_Loop_Modeling_Isolated!$AU$19:$AU$560</c:f>
              <c:numCache>
                <c:formatCode>General</c:formatCode>
                <c:ptCount val="542"/>
                <c:pt idx="0">
                  <c:v>173.47425447702102</c:v>
                </c:pt>
                <c:pt idx="1">
                  <c:v>173.6148997444709</c:v>
                </c:pt>
                <c:pt idx="2">
                  <c:v>173.75226447635893</c:v>
                </c:pt>
                <c:pt idx="3">
                  <c:v>173.88641479777652</c:v>
                </c:pt>
                <c:pt idx="4">
                  <c:v>174.01741558167726</c:v>
                </c:pt>
                <c:pt idx="5">
                  <c:v>174.14533045516328</c:v>
                </c:pt>
                <c:pt idx="6">
                  <c:v>174.27022180694388</c:v>
                </c:pt>
                <c:pt idx="7">
                  <c:v>174.3921507958656</c:v>
                </c:pt>
                <c:pt idx="8">
                  <c:v>174.5111773604182</c:v>
                </c:pt>
                <c:pt idx="9">
                  <c:v>174.62736022912711</c:v>
                </c:pt>
                <c:pt idx="10">
                  <c:v>174.74075693175124</c:v>
                </c:pt>
                <c:pt idx="11">
                  <c:v>174.85142381120744</c:v>
                </c:pt>
                <c:pt idx="12">
                  <c:v>174.95941603615171</c:v>
                </c:pt>
                <c:pt idx="13">
                  <c:v>175.06478761414994</c:v>
                </c:pt>
                <c:pt idx="14">
                  <c:v>175.16759140537744</c:v>
                </c:pt>
                <c:pt idx="15">
                  <c:v>175.26787913679053</c:v>
                </c:pt>
                <c:pt idx="16">
                  <c:v>175.36570141671825</c:v>
                </c:pt>
                <c:pt idx="17">
                  <c:v>175.46110774982603</c:v>
                </c:pt>
                <c:pt idx="18">
                  <c:v>175.5541465524083</c:v>
                </c:pt>
                <c:pt idx="19">
                  <c:v>175.64486516796828</c:v>
                </c:pt>
                <c:pt idx="20">
                  <c:v>175.73330988305077</c:v>
                </c:pt>
                <c:pt idx="21">
                  <c:v>175.81952594329292</c:v>
                </c:pt>
                <c:pt idx="22">
                  <c:v>175.90355756966403</c:v>
                </c:pt>
                <c:pt idx="23">
                  <c:v>175.98544797486861</c:v>
                </c:pt>
                <c:pt idx="24">
                  <c:v>176.06523937988578</c:v>
                </c:pt>
                <c:pt idx="25">
                  <c:v>176.14297303062835</c:v>
                </c:pt>
                <c:pt idx="26">
                  <c:v>176.21868921469871</c:v>
                </c:pt>
                <c:pt idx="27">
                  <c:v>176.29242727822896</c:v>
                </c:pt>
                <c:pt idx="28">
                  <c:v>176.3642256427888</c:v>
                </c:pt>
                <c:pt idx="29">
                  <c:v>176.43412182235252</c:v>
                </c:pt>
                <c:pt idx="30">
                  <c:v>176.5021524403133</c:v>
                </c:pt>
                <c:pt idx="31">
                  <c:v>176.56835324653852</c:v>
                </c:pt>
                <c:pt idx="32">
                  <c:v>176.63275913446029</c:v>
                </c:pt>
                <c:pt idx="33">
                  <c:v>176.69540415819878</c:v>
                </c:pt>
                <c:pt idx="34">
                  <c:v>176.75632154971336</c:v>
                </c:pt>
                <c:pt idx="35">
                  <c:v>176.81554373598459</c:v>
                </c:pt>
                <c:pt idx="36">
                  <c:v>176.87310235622425</c:v>
                </c:pt>
                <c:pt idx="37">
                  <c:v>176.92902827911965</c:v>
                </c:pt>
                <c:pt idx="38">
                  <c:v>176.98335162011278</c:v>
                </c:pt>
                <c:pt idx="39">
                  <c:v>177.03610175872026</c:v>
                </c:pt>
                <c:pt idx="40">
                  <c:v>177.0873073558999</c:v>
                </c:pt>
                <c:pt idx="41">
                  <c:v>177.13699637147062</c:v>
                </c:pt>
                <c:pt idx="42">
                  <c:v>177.18519608159326</c:v>
                </c:pt>
                <c:pt idx="43">
                  <c:v>177.23193309632029</c:v>
                </c:pt>
                <c:pt idx="44">
                  <c:v>177.27723337722387</c:v>
                </c:pt>
                <c:pt idx="45">
                  <c:v>177.32112225511131</c:v>
                </c:pt>
                <c:pt idx="46">
                  <c:v>177.36362444783799</c:v>
                </c:pt>
                <c:pt idx="47">
                  <c:v>177.40476407822717</c:v>
                </c:pt>
                <c:pt idx="48">
                  <c:v>177.44456469210661</c:v>
                </c:pt>
                <c:pt idx="49">
                  <c:v>177.48304927647246</c:v>
                </c:pt>
                <c:pt idx="50">
                  <c:v>177.52024027778785</c:v>
                </c:pt>
                <c:pt idx="51">
                  <c:v>177.55615962042771</c:v>
                </c:pt>
                <c:pt idx="52">
                  <c:v>177.59082872527495</c:v>
                </c:pt>
                <c:pt idx="53">
                  <c:v>177.62426852847682</c:v>
                </c:pt>
                <c:pt idx="54">
                  <c:v>177.65649950036573</c:v>
                </c:pt>
                <c:pt idx="55">
                  <c:v>177.68754166454897</c:v>
                </c:pt>
                <c:pt idx="56">
                  <c:v>177.71741461716965</c:v>
                </c:pt>
                <c:pt idx="57">
                  <c:v>177.74613754633728</c:v>
                </c:pt>
                <c:pt idx="58">
                  <c:v>177.7737292517271</c:v>
                </c:pt>
                <c:pt idx="59">
                  <c:v>177.80020816434032</c:v>
                </c:pt>
                <c:pt idx="60">
                  <c:v>177.82559236641703</c:v>
                </c:pt>
                <c:pt idx="61">
                  <c:v>177.84989961148861</c:v>
                </c:pt>
                <c:pt idx="62">
                  <c:v>177.87314734455236</c:v>
                </c:pt>
                <c:pt idx="63">
                  <c:v>177.89535272234647</c:v>
                </c:pt>
                <c:pt idx="64">
                  <c:v>177.91653263369744</c:v>
                </c:pt>
                <c:pt idx="65">
                  <c:v>177.93670371990851</c:v>
                </c:pt>
                <c:pt idx="66">
                  <c:v>177.95588239514902</c:v>
                </c:pt>
                <c:pt idx="67">
                  <c:v>177.97408486680064</c:v>
                </c:pt>
                <c:pt idx="68">
                  <c:v>177.99132715570528</c:v>
                </c:pt>
                <c:pt idx="69">
                  <c:v>178.00762511625902</c:v>
                </c:pt>
                <c:pt idx="70">
                  <c:v>178.02299445627892</c:v>
                </c:pt>
                <c:pt idx="71">
                  <c:v>178.03745075657039</c:v>
                </c:pt>
                <c:pt idx="72">
                  <c:v>178.05100949010799</c:v>
                </c:pt>
                <c:pt idx="73">
                  <c:v>178.0636860407358</c:v>
                </c:pt>
                <c:pt idx="74">
                  <c:v>178.0754957212838</c:v>
                </c:pt>
                <c:pt idx="75">
                  <c:v>178.08645379098911</c:v>
                </c:pt>
                <c:pt idx="76">
                  <c:v>178.09657547209571</c:v>
                </c:pt>
                <c:pt idx="77">
                  <c:v>178.10587596550715</c:v>
                </c:pt>
                <c:pt idx="78">
                  <c:v>178.11437046534641</c:v>
                </c:pt>
                <c:pt idx="79">
                  <c:v>178.12207417227538</c:v>
                </c:pt>
                <c:pt idx="80">
                  <c:v>178.12900230541783</c:v>
                </c:pt>
                <c:pt idx="81">
                  <c:v>178.13517011271915</c:v>
                </c:pt>
                <c:pt idx="82">
                  <c:v>178.140592879574</c:v>
                </c:pt>
                <c:pt idx="83">
                  <c:v>178.14528593554272</c:v>
                </c:pt>
                <c:pt idx="84">
                  <c:v>178.14926465898117</c:v>
                </c:pt>
                <c:pt idx="85">
                  <c:v>178.15254447939751</c:v>
                </c:pt>
                <c:pt idx="86">
                  <c:v>178.15514087736</c:v>
                </c:pt>
                <c:pt idx="87">
                  <c:v>178.15706938177112</c:v>
                </c:pt>
                <c:pt idx="88">
                  <c:v>178.15834556434035</c:v>
                </c:pt>
                <c:pt idx="89">
                  <c:v>178.15898503108397</c:v>
                </c:pt>
                <c:pt idx="90">
                  <c:v>178.1590034107011</c:v>
                </c:pt>
                <c:pt idx="91">
                  <c:v>178.15841633968108</c:v>
                </c:pt>
                <c:pt idx="92">
                  <c:v>178.15723944402143</c:v>
                </c:pt>
                <c:pt idx="93">
                  <c:v>178.15548831745312</c:v>
                </c:pt>
                <c:pt idx="94">
                  <c:v>178.15317849609272</c:v>
                </c:pt>
                <c:pt idx="95">
                  <c:v>178.15032542947671</c:v>
                </c:pt>
                <c:pt idx="96">
                  <c:v>178.14694444795325</c:v>
                </c:pt>
                <c:pt idx="97">
                  <c:v>178.14305072645527</c:v>
                </c:pt>
                <c:pt idx="98">
                  <c:v>178.13865924470736</c:v>
                </c:pt>
                <c:pt idx="99">
                  <c:v>178.133784743962</c:v>
                </c:pt>
                <c:pt idx="100">
                  <c:v>178.12844168040925</c:v>
                </c:pt>
                <c:pt idx="101">
                  <c:v>178.12264417544287</c:v>
                </c:pt>
                <c:pt idx="102">
                  <c:v>178.1164059630176</c:v>
                </c:pt>
                <c:pt idx="103">
                  <c:v>178.10974033437523</c:v>
                </c:pt>
                <c:pt idx="104">
                  <c:v>178.10266008046929</c:v>
                </c:pt>
                <c:pt idx="105">
                  <c:v>178.09517743245726</c:v>
                </c:pt>
                <c:pt idx="106">
                  <c:v>178.08730400067898</c:v>
                </c:pt>
                <c:pt idx="107">
                  <c:v>178.07905071257673</c:v>
                </c:pt>
                <c:pt idx="108">
                  <c:v>178.07042775004857</c:v>
                </c:pt>
                <c:pt idx="109">
                  <c:v>178.06144448675983</c:v>
                </c:pt>
                <c:pt idx="110">
                  <c:v>178.05210942596264</c:v>
                </c:pt>
                <c:pt idx="111">
                  <c:v>178.04243013938779</c:v>
                </c:pt>
                <c:pt idx="112">
                  <c:v>178.03241320778849</c:v>
                </c:pt>
                <c:pt idx="113">
                  <c:v>178.02206416371828</c:v>
                </c:pt>
                <c:pt idx="114">
                  <c:v>178.01138743711257</c:v>
                </c:pt>
                <c:pt idx="115">
                  <c:v>178.0003863042339</c:v>
                </c:pt>
                <c:pt idx="116">
                  <c:v>177.98906284051665</c:v>
                </c:pt>
                <c:pt idx="117">
                  <c:v>177.97741787780626</c:v>
                </c:pt>
                <c:pt idx="118">
                  <c:v>177.96545096645482</c:v>
                </c:pt>
                <c:pt idx="119">
                  <c:v>177.95316034267583</c:v>
                </c:pt>
                <c:pt idx="120">
                  <c:v>177.9405429015101</c:v>
                </c:pt>
                <c:pt idx="121">
                  <c:v>177.927594175682</c:v>
                </c:pt>
                <c:pt idx="122">
                  <c:v>177.9143083205644</c:v>
                </c:pt>
                <c:pt idx="123">
                  <c:v>177.90067810539065</c:v>
                </c:pt>
                <c:pt idx="124">
                  <c:v>177.88669491077277</c:v>
                </c:pt>
                <c:pt idx="125">
                  <c:v>177.87234873251822</c:v>
                </c:pt>
                <c:pt idx="126">
                  <c:v>177.85762819164682</c:v>
                </c:pt>
                <c:pt idx="127">
                  <c:v>177.84252055043834</c:v>
                </c:pt>
                <c:pt idx="128">
                  <c:v>177.8270117342735</c:v>
                </c:pt>
                <c:pt idx="129">
                  <c:v>177.81108635896027</c:v>
                </c:pt>
                <c:pt idx="130">
                  <c:v>177.79472776316345</c:v>
                </c:pt>
                <c:pt idx="131">
                  <c:v>177.77791804552055</c:v>
                </c:pt>
                <c:pt idx="132">
                  <c:v>177.76063810596085</c:v>
                </c:pt>
                <c:pt idx="133">
                  <c:v>177.74286769072029</c:v>
                </c:pt>
                <c:pt idx="134">
                  <c:v>177.72458544049755</c:v>
                </c:pt>
                <c:pt idx="135">
                  <c:v>177.7057689411904</c:v>
                </c:pt>
                <c:pt idx="136">
                  <c:v>177.68639477663072</c:v>
                </c:pt>
                <c:pt idx="137">
                  <c:v>177.66643858273636</c:v>
                </c:pt>
                <c:pt idx="138">
                  <c:v>177.6458751025026</c:v>
                </c:pt>
                <c:pt idx="139">
                  <c:v>177.62467824126691</c:v>
                </c:pt>
                <c:pt idx="140">
                  <c:v>177.60282112170847</c:v>
                </c:pt>
                <c:pt idx="141">
                  <c:v>177.58027613806161</c:v>
                </c:pt>
                <c:pt idx="142">
                  <c:v>177.55701500906687</c:v>
                </c:pt>
                <c:pt idx="143">
                  <c:v>177.53300882920882</c:v>
                </c:pt>
                <c:pt idx="144">
                  <c:v>177.50822811784136</c:v>
                </c:pt>
                <c:pt idx="145">
                  <c:v>177.48264286584384</c:v>
                </c:pt>
                <c:pt idx="146">
                  <c:v>177.45622257949177</c:v>
                </c:pt>
                <c:pt idx="147">
                  <c:v>177.42893632127937</c:v>
                </c:pt>
                <c:pt idx="148">
                  <c:v>177.40075274747917</c:v>
                </c:pt>
                <c:pt idx="149">
                  <c:v>177.37164014226246</c:v>
                </c:pt>
                <c:pt idx="150">
                  <c:v>177.34156644825782</c:v>
                </c:pt>
                <c:pt idx="151">
                  <c:v>177.31049929346577</c:v>
                </c:pt>
                <c:pt idx="152">
                  <c:v>177.27840601448364</c:v>
                </c:pt>
                <c:pt idx="153">
                  <c:v>177.24525367604022</c:v>
                </c:pt>
                <c:pt idx="154">
                  <c:v>177.21100908686489</c:v>
                </c:pt>
                <c:pt idx="155">
                  <c:v>177.17563881195386</c:v>
                </c:pt>
                <c:pt idx="156">
                  <c:v>177.13910918132308</c:v>
                </c:pt>
                <c:pt idx="157">
                  <c:v>177.10138629535399</c:v>
                </c:pt>
                <c:pt idx="158">
                  <c:v>177.06243602686823</c:v>
                </c:pt>
                <c:pt idx="159">
                  <c:v>177.02222402007618</c:v>
                </c:pt>
                <c:pt idx="160">
                  <c:v>176.98071568656164</c:v>
                </c:pt>
                <c:pt idx="161">
                  <c:v>176.93787619847376</c:v>
                </c:pt>
                <c:pt idx="162">
                  <c:v>176.89367047910497</c:v>
                </c:pt>
                <c:pt idx="163">
                  <c:v>176.84806319103853</c:v>
                </c:pt>
                <c:pt idx="164">
                  <c:v>176.8010187220487</c:v>
                </c:pt>
                <c:pt idx="165">
                  <c:v>176.75250116894219</c:v>
                </c:pt>
                <c:pt idx="166">
                  <c:v>176.70247431952106</c:v>
                </c:pt>
                <c:pt idx="167">
                  <c:v>176.65090163284935</c:v>
                </c:pt>
                <c:pt idx="168">
                  <c:v>176.59774621799622</c:v>
                </c:pt>
                <c:pt idx="169">
                  <c:v>176.5429708114269</c:v>
                </c:pt>
                <c:pt idx="170">
                  <c:v>176.48653775320173</c:v>
                </c:pt>
                <c:pt idx="171">
                  <c:v>176.42840896213963</c:v>
                </c:pt>
                <c:pt idx="172">
                  <c:v>176.36854591009083</c:v>
                </c:pt>
                <c:pt idx="173">
                  <c:v>176.30690959545998</c:v>
                </c:pt>
                <c:pt idx="174">
                  <c:v>176.24346051610749</c:v>
                </c:pt>
                <c:pt idx="175">
                  <c:v>176.1781586417529</c:v>
                </c:pt>
                <c:pt idx="176">
                  <c:v>176.11096338599177</c:v>
                </c:pt>
                <c:pt idx="177">
                  <c:v>176.04183357803518</c:v>
                </c:pt>
                <c:pt idx="178">
                  <c:v>175.97072743426713</c:v>
                </c:pt>
                <c:pt idx="179">
                  <c:v>175.89760252971192</c:v>
                </c:pt>
                <c:pt idx="180">
                  <c:v>175.82241576949636</c:v>
                </c:pt>
                <c:pt idx="181">
                  <c:v>175.7451233603847</c:v>
                </c:pt>
                <c:pt idx="182">
                  <c:v>175.66568078245854</c:v>
                </c:pt>
                <c:pt idx="183">
                  <c:v>175.58404276101001</c:v>
                </c:pt>
                <c:pt idx="184">
                  <c:v>175.50016323871034</c:v>
                </c:pt>
                <c:pt idx="185">
                  <c:v>175.41399534811438</c:v>
                </c:pt>
                <c:pt idx="186">
                  <c:v>175.32549138455607</c:v>
                </c:pt>
                <c:pt idx="187">
                  <c:v>175.23460277948928</c:v>
                </c:pt>
                <c:pt idx="188">
                  <c:v>175.14128007432501</c:v>
                </c:pt>
                <c:pt idx="189">
                  <c:v>175.04547289481587</c:v>
                </c:pt>
                <c:pt idx="190">
                  <c:v>174.94712992603672</c:v>
                </c:pt>
                <c:pt idx="191">
                  <c:v>174.84619888801146</c:v>
                </c:pt>
                <c:pt idx="192">
                  <c:v>174.74262651203532</c:v>
                </c:pt>
                <c:pt idx="193">
                  <c:v>174.6363585177433</c:v>
                </c:pt>
                <c:pt idx="194">
                  <c:v>174.52733959097867</c:v>
                </c:pt>
                <c:pt idx="195">
                  <c:v>174.41551336251305</c:v>
                </c:pt>
                <c:pt idx="196">
                  <c:v>174.30082238767818</c:v>
                </c:pt>
                <c:pt idx="197">
                  <c:v>174.1832081269676</c:v>
                </c:pt>
                <c:pt idx="198">
                  <c:v>174.06261092767269</c:v>
                </c:pt>
                <c:pt idx="199">
                  <c:v>173.93897000662065</c:v>
                </c:pt>
                <c:pt idx="200">
                  <c:v>173.81222343408788</c:v>
                </c:pt>
                <c:pt idx="201">
                  <c:v>173.68230811896495</c:v>
                </c:pt>
                <c:pt idx="202">
                  <c:v>173.54915979525751</c:v>
                </c:pt>
                <c:pt idx="203">
                  <c:v>173.41271301001132</c:v>
                </c:pt>
                <c:pt idx="204">
                  <c:v>173.27290111275812</c:v>
                </c:pt>
                <c:pt idx="205">
                  <c:v>173.12965624658355</c:v>
                </c:pt>
                <c:pt idx="206">
                  <c:v>172.98290934092842</c:v>
                </c:pt>
                <c:pt idx="207">
                  <c:v>172.83259010623891</c:v>
                </c:pt>
                <c:pt idx="208">
                  <c:v>172.67862703059404</c:v>
                </c:pt>
                <c:pt idx="209">
                  <c:v>172.52094737844271</c:v>
                </c:pt>
                <c:pt idx="210">
                  <c:v>172.35947719159475</c:v>
                </c:pt>
                <c:pt idx="211">
                  <c:v>172.19414129261889</c:v>
                </c:pt>
                <c:pt idx="212">
                  <c:v>172.02486329080926</c:v>
                </c:pt>
                <c:pt idx="213">
                  <c:v>171.85156559089447</c:v>
                </c:pt>
                <c:pt idx="214">
                  <c:v>171.67416940467217</c:v>
                </c:pt>
                <c:pt idx="215">
                  <c:v>171.49259476576162</c:v>
                </c:pt>
                <c:pt idx="216">
                  <c:v>171.30676054768222</c:v>
                </c:pt>
                <c:pt idx="217">
                  <c:v>171.11658448547149</c:v>
                </c:pt>
                <c:pt idx="218">
                  <c:v>170.92198320107303</c:v>
                </c:pt>
                <c:pt idx="219">
                  <c:v>170.7228722327323</c:v>
                </c:pt>
                <c:pt idx="220">
                  <c:v>170.51916606865245</c:v>
                </c:pt>
                <c:pt idx="221">
                  <c:v>170.31077818517474</c:v>
                </c:pt>
                <c:pt idx="222">
                  <c:v>170.09762108975659</c:v>
                </c:pt>
                <c:pt idx="223">
                  <c:v>169.87960636903628</c:v>
                </c:pt>
                <c:pt idx="224">
                  <c:v>169.6566447422824</c:v>
                </c:pt>
                <c:pt idx="225">
                  <c:v>169.42864612053691</c:v>
                </c:pt>
                <c:pt idx="226">
                  <c:v>169.19551967177316</c:v>
                </c:pt>
                <c:pt idx="227">
                  <c:v>168.95717389240048</c:v>
                </c:pt>
                <c:pt idx="228">
                  <c:v>168.71351668545509</c:v>
                </c:pt>
                <c:pt idx="229">
                  <c:v>168.46445544582383</c:v>
                </c:pt>
                <c:pt idx="230">
                  <c:v>168.20989715286302</c:v>
                </c:pt>
                <c:pt idx="231">
                  <c:v>167.94974847076898</c:v>
                </c:pt>
                <c:pt idx="232">
                  <c:v>167.68391585707241</c:v>
                </c:pt>
                <c:pt idx="233">
                  <c:v>167.41230567962364</c:v>
                </c:pt>
                <c:pt idx="234">
                  <c:v>167.13482434244372</c:v>
                </c:pt>
                <c:pt idx="235">
                  <c:v>166.85137842080866</c:v>
                </c:pt>
                <c:pt idx="236">
                  <c:v>166.56187480593439</c:v>
                </c:pt>
                <c:pt idx="237">
                  <c:v>166.26622085962208</c:v>
                </c:pt>
                <c:pt idx="238">
                  <c:v>165.96432457921162</c:v>
                </c:pt>
                <c:pt idx="239">
                  <c:v>165.65609477318048</c:v>
                </c:pt>
                <c:pt idx="240">
                  <c:v>165.34144124770361</c:v>
                </c:pt>
                <c:pt idx="241">
                  <c:v>165.02027500446874</c:v>
                </c:pt>
                <c:pt idx="242">
                  <c:v>164.69250845001756</c:v>
                </c:pt>
                <c:pt idx="243">
                  <c:v>164.3580556168441</c:v>
                </c:pt>
                <c:pt idx="244">
                  <c:v>164.01683239644896</c:v>
                </c:pt>
                <c:pt idx="245">
                  <c:v>163.66875678450018</c:v>
                </c:pt>
                <c:pt idx="246">
                  <c:v>163.31374913820261</c:v>
                </c:pt>
                <c:pt idx="247">
                  <c:v>162.95173244591618</c:v>
                </c:pt>
                <c:pt idx="248">
                  <c:v>162.58263260900148</c:v>
                </c:pt>
                <c:pt idx="249">
                  <c:v>162.2063787357952</c:v>
                </c:pt>
                <c:pt idx="250">
                  <c:v>161.82290344753702</c:v>
                </c:pt>
                <c:pt idx="251">
                  <c:v>161.43214319597979</c:v>
                </c:pt>
                <c:pt idx="252">
                  <c:v>161.03403859231608</c:v>
                </c:pt>
                <c:pt idx="253">
                  <c:v>160.62853474694867</c:v>
                </c:pt>
                <c:pt idx="254">
                  <c:v>160.21558161951359</c:v>
                </c:pt>
                <c:pt idx="255">
                  <c:v>159.79513437844344</c:v>
                </c:pt>
                <c:pt idx="256">
                  <c:v>159.36715376922692</c:v>
                </c:pt>
                <c:pt idx="257">
                  <c:v>158.9316064903733</c:v>
                </c:pt>
                <c:pt idx="258">
                  <c:v>158.48846557595402</c:v>
                </c:pt>
                <c:pt idx="259">
                  <c:v>158.0377107834299</c:v>
                </c:pt>
                <c:pt idx="260">
                  <c:v>157.57932898531791</c:v>
                </c:pt>
                <c:pt idx="261">
                  <c:v>157.1133145630873</c:v>
                </c:pt>
                <c:pt idx="262">
                  <c:v>156.63966980150573</c:v>
                </c:pt>
                <c:pt idx="263">
                  <c:v>156.15840528149107</c:v>
                </c:pt>
                <c:pt idx="264">
                  <c:v>155.66954026935258</c:v>
                </c:pt>
                <c:pt idx="265">
                  <c:v>155.17310310014952</c:v>
                </c:pt>
                <c:pt idx="266">
                  <c:v>154.66913155272269</c:v>
                </c:pt>
                <c:pt idx="267">
                  <c:v>154.15767321381415</c:v>
                </c:pt>
                <c:pt idx="268">
                  <c:v>153.63878582854653</c:v>
                </c:pt>
                <c:pt idx="269">
                  <c:v>153.11253763439831</c:v>
                </c:pt>
                <c:pt idx="270">
                  <c:v>152.57900767571545</c:v>
                </c:pt>
                <c:pt idx="271">
                  <c:v>152.03828609569229</c:v>
                </c:pt>
                <c:pt idx="272">
                  <c:v>151.49047440270607</c:v>
                </c:pt>
                <c:pt idx="273">
                  <c:v>150.93568570782779</c:v>
                </c:pt>
                <c:pt idx="274">
                  <c:v>150.37404493034546</c:v>
                </c:pt>
                <c:pt idx="275">
                  <c:v>149.805688968136</c:v>
                </c:pt>
                <c:pt idx="276">
                  <c:v>149.23076682979672</c:v>
                </c:pt>
                <c:pt idx="277">
                  <c:v>148.64943972553954</c:v>
                </c:pt>
                <c:pt idx="278">
                  <c:v>148.06188111398126</c:v>
                </c:pt>
                <c:pt idx="279">
                  <c:v>147.46827670215967</c:v>
                </c:pt>
                <c:pt idx="280">
                  <c:v>146.86882439630796</c:v>
                </c:pt>
                <c:pt idx="281">
                  <c:v>146.2637342012035</c:v>
                </c:pt>
                <c:pt idx="282">
                  <c:v>145.6532280662062</c:v>
                </c:pt>
                <c:pt idx="283">
                  <c:v>145.03753967645514</c:v>
                </c:pt>
                <c:pt idx="284">
                  <c:v>144.41691418808563</c:v>
                </c:pt>
                <c:pt idx="285">
                  <c:v>143.79160790674914</c:v>
                </c:pt>
                <c:pt idx="286">
                  <c:v>143.16188790918667</c:v>
                </c:pt>
                <c:pt idx="287">
                  <c:v>142.52803160808352</c:v>
                </c:pt>
                <c:pt idx="288">
                  <c:v>141.89032626095008</c:v>
                </c:pt>
                <c:pt idx="289">
                  <c:v>141.24906842429399</c:v>
                </c:pt>
                <c:pt idx="290">
                  <c:v>140.60456335487885</c:v>
                </c:pt>
                <c:pt idx="291">
                  <c:v>139.95712436040722</c:v>
                </c:pt>
                <c:pt idx="292">
                  <c:v>139.30707210247559</c:v>
                </c:pt>
                <c:pt idx="293">
                  <c:v>138.65473385517353</c:v>
                </c:pt>
                <c:pt idx="294">
                  <c:v>138.00044272317498</c:v>
                </c:pt>
                <c:pt idx="295">
                  <c:v>137.3445368236244</c:v>
                </c:pt>
                <c:pt idx="296">
                  <c:v>136.68735843653147</c:v>
                </c:pt>
                <c:pt idx="297">
                  <c:v>136.02925312875311</c:v>
                </c:pt>
                <c:pt idx="298">
                  <c:v>135.37056885694707</c:v>
                </c:pt>
                <c:pt idx="299">
                  <c:v>134.71165505513335</c:v>
                </c:pt>
                <c:pt idx="300">
                  <c:v>134.05286171267966</c:v>
                </c:pt>
                <c:pt idx="301">
                  <c:v>133.39453844864298</c:v>
                </c:pt>
                <c:pt idx="302">
                  <c:v>132.73703358844392</c:v>
                </c:pt>
                <c:pt idx="303">
                  <c:v>132.08069324882015</c:v>
                </c:pt>
                <c:pt idx="304">
                  <c:v>131.42586043690758</c:v>
                </c:pt>
                <c:pt idx="305">
                  <c:v>130.77287416913046</c:v>
                </c:pt>
                <c:pt idx="306">
                  <c:v>130.12206861534511</c:v>
                </c:pt>
                <c:pt idx="307">
                  <c:v>129.47377227338669</c:v>
                </c:pt>
                <c:pt idx="308">
                  <c:v>128.82830717881717</c:v>
                </c:pt>
                <c:pt idx="309">
                  <c:v>128.18598815427282</c:v>
                </c:pt>
                <c:pt idx="310">
                  <c:v>127.54712210235886</c:v>
                </c:pt>
                <c:pt idx="311">
                  <c:v>126.91200734556965</c:v>
                </c:pt>
                <c:pt idx="312">
                  <c:v>126.28093301620102</c:v>
                </c:pt>
                <c:pt idx="313">
                  <c:v>125.65417849870363</c:v>
                </c:pt>
                <c:pt idx="314">
                  <c:v>125.03201292638731</c:v>
                </c:pt>
                <c:pt idx="315">
                  <c:v>124.41469473386812</c:v>
                </c:pt>
                <c:pt idx="316">
                  <c:v>123.80247126609872</c:v>
                </c:pt>
                <c:pt idx="317">
                  <c:v>123.19557844433783</c:v>
                </c:pt>
                <c:pt idx="318">
                  <c:v>122.59424048890057</c:v>
                </c:pt>
                <c:pt idx="319">
                  <c:v>121.99866969807755</c:v>
                </c:pt>
                <c:pt idx="320">
                  <c:v>121.40906628216942</c:v>
                </c:pt>
                <c:pt idx="321">
                  <c:v>120.8256182511915</c:v>
                </c:pt>
                <c:pt idx="322">
                  <c:v>120.24850135443909</c:v>
                </c:pt>
                <c:pt idx="323">
                  <c:v>119.67787906978353</c:v>
                </c:pt>
                <c:pt idx="324">
                  <c:v>119.11390264029998</c:v>
                </c:pt>
                <c:pt idx="325">
                  <c:v>118.55671115558881</c:v>
                </c:pt>
                <c:pt idx="326">
                  <c:v>118.00643167497024</c:v>
                </c:pt>
                <c:pt idx="327">
                  <c:v>117.46317938957414</c:v>
                </c:pt>
                <c:pt idx="328">
                  <c:v>116.92705782025951</c:v>
                </c:pt>
                <c:pt idx="329">
                  <c:v>116.39815904820388</c:v>
                </c:pt>
                <c:pt idx="330">
                  <c:v>115.87656397500834</c:v>
                </c:pt>
                <c:pt idx="331">
                  <c:v>115.36234260912975</c:v>
                </c:pt>
                <c:pt idx="332">
                  <c:v>114.85555437551703</c:v>
                </c:pt>
                <c:pt idx="333">
                  <c:v>114.35624844536646</c:v>
                </c:pt>
                <c:pt idx="334">
                  <c:v>113.86446408301504</c:v>
                </c:pt>
                <c:pt idx="335">
                  <c:v>113.38023100708344</c:v>
                </c:pt>
                <c:pt idx="336">
                  <c:v>112.90356976311406</c:v>
                </c:pt>
                <c:pt idx="337">
                  <c:v>112.43449210507919</c:v>
                </c:pt>
                <c:pt idx="338">
                  <c:v>111.9730013832917</c:v>
                </c:pt>
                <c:pt idx="339">
                  <c:v>111.51909293640611</c:v>
                </c:pt>
                <c:pt idx="340">
                  <c:v>111.07275448535746</c:v>
                </c:pt>
                <c:pt idx="341">
                  <c:v>110.63396652725886</c:v>
                </c:pt>
                <c:pt idx="342">
                  <c:v>110.20270272744193</c:v>
                </c:pt>
                <c:pt idx="343">
                  <c:v>109.77893030799581</c:v>
                </c:pt>
                <c:pt idx="344">
                  <c:v>109.36261043132022</c:v>
                </c:pt>
                <c:pt idx="345">
                  <c:v>108.95369857737091</c:v>
                </c:pt>
                <c:pt idx="346">
                  <c:v>108.55214491343511</c:v>
                </c:pt>
                <c:pt idx="347">
                  <c:v>108.1578946554171</c:v>
                </c:pt>
                <c:pt idx="348">
                  <c:v>107.77088841975694</c:v>
                </c:pt>
                <c:pt idx="349">
                  <c:v>107.39106256524744</c:v>
                </c:pt>
                <c:pt idx="350">
                  <c:v>107.01834952412889</c:v>
                </c:pt>
                <c:pt idx="351">
                  <c:v>106.65267812196765</c:v>
                </c:pt>
                <c:pt idx="352">
                  <c:v>106.29397388592943</c:v>
                </c:pt>
                <c:pt idx="353">
                  <c:v>105.94215934116095</c:v>
                </c:pt>
                <c:pt idx="354">
                  <c:v>105.59715429507885</c:v>
                </c:pt>
                <c:pt idx="355">
                  <c:v>105.25887610946361</c:v>
                </c:pt>
                <c:pt idx="356">
                  <c:v>104.92723996030917</c:v>
                </c:pt>
                <c:pt idx="357">
                  <c:v>104.60215908546809</c:v>
                </c:pt>
                <c:pt idx="358">
                  <c:v>104.28354502017793</c:v>
                </c:pt>
                <c:pt idx="359">
                  <c:v>103.97130782061285</c:v>
                </c:pt>
                <c:pt idx="360">
                  <c:v>103.66535627564996</c:v>
                </c:pt>
                <c:pt idx="361">
                  <c:v>103.36559810707962</c:v>
                </c:pt>
                <c:pt idx="362">
                  <c:v>103.07194015852322</c:v>
                </c:pt>
                <c:pt idx="363">
                  <c:v>102.7842885733493</c:v>
                </c:pt>
                <c:pt idx="364">
                  <c:v>102.50254896190359</c:v>
                </c:pt>
                <c:pt idx="365">
                  <c:v>102.2266265583897</c:v>
                </c:pt>
                <c:pt idx="366">
                  <c:v>101.95642636774622</c:v>
                </c:pt>
                <c:pt idx="367">
                  <c:v>101.69185330288416</c:v>
                </c:pt>
                <c:pt idx="368">
                  <c:v>101.43281231265175</c:v>
                </c:pt>
                <c:pt idx="369">
                  <c:v>101.17920850089932</c:v>
                </c:pt>
                <c:pt idx="370">
                  <c:v>100.93094723702168</c:v>
                </c:pt>
                <c:pt idx="371">
                  <c:v>100.68793425835078</c:v>
                </c:pt>
                <c:pt idx="372">
                  <c:v>100.45007576477258</c:v>
                </c:pt>
                <c:pt idx="373">
                  <c:v>100.21727850593767</c:v>
                </c:pt>
                <c:pt idx="374">
                  <c:v>99.989449861426593</c:v>
                </c:pt>
                <c:pt idx="375">
                  <c:v>99.766497914227514</c:v>
                </c:pt>
                <c:pt idx="376">
                  <c:v>99.54833151787399</c:v>
                </c:pt>
                <c:pt idx="377">
                  <c:v>99.334860357580411</c:v>
                </c:pt>
                <c:pt idx="378">
                  <c:v>99.125995005706315</c:v>
                </c:pt>
                <c:pt idx="379">
                  <c:v>98.921646971866622</c:v>
                </c:pt>
                <c:pt idx="380">
                  <c:v>98.721728747996281</c:v>
                </c:pt>
                <c:pt idx="381">
                  <c:v>98.526153848667107</c:v>
                </c:pt>
                <c:pt idx="382">
                  <c:v>98.334836846940888</c:v>
                </c:pt>
                <c:pt idx="383">
                  <c:v>98.147693406033639</c:v>
                </c:pt>
                <c:pt idx="384">
                  <c:v>97.964640307053187</c:v>
                </c:pt>
                <c:pt idx="385">
                  <c:v>97.785595473062216</c:v>
                </c:pt>
                <c:pt idx="386">
                  <c:v>97.610477989704378</c:v>
                </c:pt>
                <c:pt idx="387">
                  <c:v>97.439208122624052</c:v>
                </c:pt>
                <c:pt idx="388">
                  <c:v>97.271707331896096</c:v>
                </c:pt>
                <c:pt idx="389">
                  <c:v>97.107898283672839</c:v>
                </c:pt>
                <c:pt idx="390">
                  <c:v>96.947704859243899</c:v>
                </c:pt>
                <c:pt idx="391">
                  <c:v>96.791052161695163</c:v>
                </c:pt>
                <c:pt idx="392">
                  <c:v>96.637866520343465</c:v>
                </c:pt>
                <c:pt idx="393">
                  <c:v>96.488075493112262</c:v>
                </c:pt>
                <c:pt idx="394">
                  <c:v>96.341607867006857</c:v>
                </c:pt>
                <c:pt idx="395">
                  <c:v>96.198393656836615</c:v>
                </c:pt>
                <c:pt idx="396">
                  <c:v>96.058364102324518</c:v>
                </c:pt>
                <c:pt idx="397">
                  <c:v>95.921451663735468</c:v>
                </c:pt>
                <c:pt idx="398">
                  <c:v>95.78759001614732</c:v>
                </c:pt>
                <c:pt idx="399">
                  <c:v>95.656714042480957</c:v>
                </c:pt>
                <c:pt idx="400">
                  <c:v>95.52875982539841</c:v>
                </c:pt>
                <c:pt idx="401">
                  <c:v>95.403664638171961</c:v>
                </c:pt>
                <c:pt idx="402">
                  <c:v>95.281366934619584</c:v>
                </c:pt>
                <c:pt idx="403">
                  <c:v>95.161806338196712</c:v>
                </c:pt>
                <c:pt idx="404">
                  <c:v>95.044923630328867</c:v>
                </c:pt>
                <c:pt idx="405">
                  <c:v>94.930660738062869</c:v>
                </c:pt>
                <c:pt idx="406">
                  <c:v>94.818960721109818</c:v>
                </c:pt>
                <c:pt idx="407">
                  <c:v>94.709767758349258</c:v>
                </c:pt>
                <c:pt idx="408">
                  <c:v>94.603027133856685</c:v>
                </c:pt>
                <c:pt idx="409">
                  <c:v>94.49868522251441</c:v>
                </c:pt>
                <c:pt idx="410">
                  <c:v>94.396689475260743</c:v>
                </c:pt>
                <c:pt idx="411">
                  <c:v>94.296988404028482</c:v>
                </c:pt>
                <c:pt idx="412">
                  <c:v>94.199531566420163</c:v>
                </c:pt>
                <c:pt idx="413">
                  <c:v>94.104269550163835</c:v>
                </c:pt>
                <c:pt idx="414">
                  <c:v>94.011153957390434</c:v>
                </c:pt>
                <c:pt idx="415">
                  <c:v>93.920137388770186</c:v>
                </c:pt>
                <c:pt idx="416">
                  <c:v>93.831173427542026</c:v>
                </c:pt>
                <c:pt idx="417">
                  <c:v>93.744216623469882</c:v>
                </c:pt>
                <c:pt idx="418">
                  <c:v>93.659222476753015</c:v>
                </c:pt>
                <c:pt idx="419">
                  <c:v>93.576147421919345</c:v>
                </c:pt>
                <c:pt idx="420">
                  <c:v>93.494948811725749</c:v>
                </c:pt>
                <c:pt idx="421">
                  <c:v>93.415584901088224</c:v>
                </c:pt>
                <c:pt idx="422">
                  <c:v>93.338014831063489</c:v>
                </c:pt>
                <c:pt idx="423">
                  <c:v>93.262198612899311</c:v>
                </c:pt>
                <c:pt idx="424">
                  <c:v>93.188097112173693</c:v>
                </c:pt>
                <c:pt idx="425">
                  <c:v>93.115672033035736</c:v>
                </c:pt>
                <c:pt idx="426">
                  <c:v>93.044885902564317</c:v>
                </c:pt>
                <c:pt idx="427">
                  <c:v>92.975702055257244</c:v>
                </c:pt>
                <c:pt idx="428">
                  <c:v>92.908084617662396</c:v>
                </c:pt>
                <c:pt idx="429">
                  <c:v>92.841998493160133</c:v>
                </c:pt>
                <c:pt idx="430">
                  <c:v>92.77740934690911</c:v>
                </c:pt>
                <c:pt idx="431">
                  <c:v>92.714283590960562</c:v>
                </c:pt>
                <c:pt idx="432">
                  <c:v>92.652588369551111</c:v>
                </c:pt>
                <c:pt idx="433">
                  <c:v>92.592291544578558</c:v>
                </c:pt>
                <c:pt idx="434">
                  <c:v>92.533361681267735</c:v>
                </c:pt>
                <c:pt idx="435">
                  <c:v>92.475768034030551</c:v>
                </c:pt>
                <c:pt idx="436">
                  <c:v>92.41948053252473</c:v>
                </c:pt>
                <c:pt idx="437">
                  <c:v>92.364469767914613</c:v>
                </c:pt>
                <c:pt idx="438">
                  <c:v>92.310706979337013</c:v>
                </c:pt>
                <c:pt idx="439">
                  <c:v>92.258164040574627</c:v>
                </c:pt>
                <c:pt idx="440">
                  <c:v>92.206813446938853</c:v>
                </c:pt>
                <c:pt idx="441">
                  <c:v>92.156628302362989</c:v>
                </c:pt>
                <c:pt idx="442">
                  <c:v>92.107582306707641</c:v>
                </c:pt>
                <c:pt idx="443">
                  <c:v>92.059649743278115</c:v>
                </c:pt>
                <c:pt idx="444">
                  <c:v>92.01280546655444</c:v>
                </c:pt>
                <c:pt idx="445">
                  <c:v>91.967024890133516</c:v>
                </c:pt>
                <c:pt idx="446">
                  <c:v>91.922283974883726</c:v>
                </c:pt>
                <c:pt idx="447">
                  <c:v>91.878559217310212</c:v>
                </c:pt>
                <c:pt idx="448">
                  <c:v>91.835827638130937</c:v>
                </c:pt>
                <c:pt idx="449">
                  <c:v>91.794066771061424</c:v>
                </c:pt>
                <c:pt idx="450">
                  <c:v>91.753254651807623</c:v>
                </c:pt>
                <c:pt idx="451">
                  <c:v>91.713369807264527</c:v>
                </c:pt>
                <c:pt idx="452">
                  <c:v>91.674391244919391</c:v>
                </c:pt>
                <c:pt idx="453">
                  <c:v>91.636298442457246</c:v>
                </c:pt>
                <c:pt idx="454">
                  <c:v>91.599071337567025</c:v>
                </c:pt>
                <c:pt idx="455">
                  <c:v>91.562690317945624</c:v>
                </c:pt>
                <c:pt idx="456">
                  <c:v>91.527136211498288</c:v>
                </c:pt>
                <c:pt idx="457">
                  <c:v>91.49239027673238</c:v>
                </c:pt>
                <c:pt idx="458">
                  <c:v>91.458434193342242</c:v>
                </c:pt>
                <c:pt idx="459">
                  <c:v>91.425250052982875</c:v>
                </c:pt>
                <c:pt idx="460">
                  <c:v>91.392820350229442</c:v>
                </c:pt>
                <c:pt idx="461">
                  <c:v>91.361127973720315</c:v>
                </c:pt>
                <c:pt idx="462">
                  <c:v>91.330156197480676</c:v>
                </c:pt>
                <c:pt idx="463">
                  <c:v>91.29988867242426</c:v>
                </c:pt>
                <c:pt idx="464">
                  <c:v>91.27030941803001</c:v>
                </c:pt>
                <c:pt idx="465">
                  <c:v>91.241402814191559</c:v>
                </c:pt>
                <c:pt idx="466">
                  <c:v>91.213153593236086</c:v>
                </c:pt>
                <c:pt idx="467">
                  <c:v>91.185546832109935</c:v>
                </c:pt>
                <c:pt idx="468">
                  <c:v>91.158567944728617</c:v>
                </c:pt>
                <c:pt idx="469">
                  <c:v>91.132202674487644</c:v>
                </c:pt>
                <c:pt idx="470">
                  <c:v>91.10643708693199</c:v>
                </c:pt>
                <c:pt idx="471">
                  <c:v>91.081257562580959</c:v>
                </c:pt>
                <c:pt idx="472">
                  <c:v>91.056650789906087</c:v>
                </c:pt>
                <c:pt idx="473">
                  <c:v>91.032603758458919</c:v>
                </c:pt>
                <c:pt idx="474">
                  <c:v>91.009103752146018</c:v>
                </c:pt>
                <c:pt idx="475">
                  <c:v>90.986138342648616</c:v>
                </c:pt>
                <c:pt idx="476">
                  <c:v>90.963695382983985</c:v>
                </c:pt>
                <c:pt idx="477">
                  <c:v>90.941763001205885</c:v>
                </c:pt>
                <c:pt idx="478">
                  <c:v>90.920329594241494</c:v>
                </c:pt>
                <c:pt idx="479">
                  <c:v>90.899383821862259</c:v>
                </c:pt>
                <c:pt idx="480">
                  <c:v>90.878914600785592</c:v>
                </c:pt>
                <c:pt idx="481">
                  <c:v>90.858911098905423</c:v>
                </c:pt>
                <c:pt idx="482">
                  <c:v>90.839362729648812</c:v>
                </c:pt>
                <c:pt idx="483">
                  <c:v>90.820259146455911</c:v>
                </c:pt>
                <c:pt idx="484">
                  <c:v>90.801590237381134</c:v>
                </c:pt>
                <c:pt idx="485">
                  <c:v>90.783346119812819</c:v>
                </c:pt>
                <c:pt idx="486">
                  <c:v>90.765517135309096</c:v>
                </c:pt>
                <c:pt idx="487">
                  <c:v>90.748093844547668</c:v>
                </c:pt>
                <c:pt idx="488">
                  <c:v>90.731067022386867</c:v>
                </c:pt>
                <c:pt idx="489">
                  <c:v>90.714427653036012</c:v>
                </c:pt>
                <c:pt idx="490">
                  <c:v>90.698166925332615</c:v>
                </c:pt>
                <c:pt idx="491">
                  <c:v>90.682276228124238</c:v>
                </c:pt>
                <c:pt idx="492">
                  <c:v>90.666747145752865</c:v>
                </c:pt>
                <c:pt idx="493">
                  <c:v>90.651571453639491</c:v>
                </c:pt>
                <c:pt idx="494">
                  <c:v>90.636741113967005</c:v>
                </c:pt>
                <c:pt idx="495">
                  <c:v>90.622248271459199</c:v>
                </c:pt>
                <c:pt idx="496">
                  <c:v>90.608085249253719</c:v>
                </c:pt>
                <c:pt idx="497">
                  <c:v>90.594244544867166</c:v>
                </c:pt>
                <c:pt idx="498">
                  <c:v>90.580718826250319</c:v>
                </c:pt>
                <c:pt idx="499">
                  <c:v>90.567500927931476</c:v>
                </c:pt>
                <c:pt idx="500">
                  <c:v>90.554583847246036</c:v>
                </c:pt>
                <c:pt idx="501">
                  <c:v>90.541960740650538</c:v>
                </c:pt>
                <c:pt idx="502">
                  <c:v>90.529624920119133</c:v>
                </c:pt>
                <c:pt idx="503">
                  <c:v>90.517569849621111</c:v>
                </c:pt>
                <c:pt idx="504">
                  <c:v>90.505789141677155</c:v>
                </c:pt>
                <c:pt idx="505">
                  <c:v>90.49427655399306</c:v>
                </c:pt>
                <c:pt idx="506">
                  <c:v>90.483025986169082</c:v>
                </c:pt>
                <c:pt idx="507">
                  <c:v>90.472031476483139</c:v>
                </c:pt>
                <c:pt idx="508">
                  <c:v>90.461287198746476</c:v>
                </c:pt>
                <c:pt idx="509">
                  <c:v>90.450787459230014</c:v>
                </c:pt>
                <c:pt idx="510">
                  <c:v>90.440526693659933</c:v>
                </c:pt>
                <c:pt idx="511">
                  <c:v>90.430499464280857</c:v>
                </c:pt>
                <c:pt idx="512">
                  <c:v>90.42070045698533</c:v>
                </c:pt>
                <c:pt idx="513">
                  <c:v>90.411124478507958</c:v>
                </c:pt>
                <c:pt idx="514">
                  <c:v>90.401766453682768</c:v>
                </c:pt>
                <c:pt idx="515">
                  <c:v>90.392621422762602</c:v>
                </c:pt>
                <c:pt idx="516">
                  <c:v>90.383684538798917</c:v>
                </c:pt>
                <c:pt idx="517">
                  <c:v>90.374951065080751</c:v>
                </c:pt>
                <c:pt idx="518">
                  <c:v>90.366416372631633</c:v>
                </c:pt>
                <c:pt idx="519">
                  <c:v>90.358075937762962</c:v>
                </c:pt>
                <c:pt idx="520">
                  <c:v>90.349925339682741</c:v>
                </c:pt>
                <c:pt idx="521">
                  <c:v>90.341960258158394</c:v>
                </c:pt>
                <c:pt idx="522">
                  <c:v>90.334176471232396</c:v>
                </c:pt>
                <c:pt idx="523">
                  <c:v>90.326569852989678</c:v>
                </c:pt>
                <c:pt idx="524">
                  <c:v>90.319136371375464</c:v>
                </c:pt>
                <c:pt idx="525">
                  <c:v>90.311872086062579</c:v>
                </c:pt>
                <c:pt idx="526">
                  <c:v>90.304773146367012</c:v>
                </c:pt>
                <c:pt idx="527">
                  <c:v>90.297835789210666</c:v>
                </c:pt>
                <c:pt idx="528">
                  <c:v>90.291056337130414</c:v>
                </c:pt>
                <c:pt idx="529">
                  <c:v>90.28443119633198</c:v>
                </c:pt>
                <c:pt idx="530">
                  <c:v>90.277956854788215</c:v>
                </c:pt>
                <c:pt idx="531">
                  <c:v>90.27162988038036</c:v>
                </c:pt>
                <c:pt idx="532">
                  <c:v>90.265446919081398</c:v>
                </c:pt>
                <c:pt idx="533">
                  <c:v>90.25940469318067</c:v>
                </c:pt>
                <c:pt idx="534">
                  <c:v>90.253499999548779</c:v>
                </c:pt>
                <c:pt idx="535">
                  <c:v>90.247729707941787</c:v>
                </c:pt>
                <c:pt idx="536">
                  <c:v>90.242090759343952</c:v>
                </c:pt>
                <c:pt idx="537">
                  <c:v>90.236580164347998</c:v>
                </c:pt>
                <c:pt idx="538">
                  <c:v>90.231195001572203</c:v>
                </c:pt>
                <c:pt idx="539">
                  <c:v>90.225932416113395</c:v>
                </c:pt>
                <c:pt idx="540">
                  <c:v>90.220789618035056</c:v>
                </c:pt>
                <c:pt idx="541">
                  <c:v>90.215763880889753</c:v>
                </c:pt>
              </c:numCache>
            </c:numRef>
          </c:yVal>
          <c:smooth val="1"/>
          <c:extLst>
            <c:ext xmlns:c16="http://schemas.microsoft.com/office/drawing/2014/chart" uri="{C3380CC4-5D6E-409C-BE32-E72D297353CC}">
              <c16:uniqueId val="{00000001-3DFE-43A9-93A4-11C3658A6E80}"/>
            </c:ext>
          </c:extLst>
        </c:ser>
        <c:dLbls>
          <c:showLegendKey val="0"/>
          <c:showVal val="0"/>
          <c:showCatName val="0"/>
          <c:showSerName val="0"/>
          <c:showPercent val="0"/>
          <c:showBubbleSize val="0"/>
        </c:dLbls>
        <c:axId val="384036224"/>
        <c:axId val="384034688"/>
      </c:scatterChart>
      <c:valAx>
        <c:axId val="33775808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84032768"/>
        <c:crosses val="autoZero"/>
        <c:crossBetween val="midCat"/>
      </c:valAx>
      <c:valAx>
        <c:axId val="38403276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37758080"/>
        <c:crosses val="autoZero"/>
        <c:crossBetween val="midCat"/>
        <c:majorUnit val="20"/>
        <c:minorUnit val="10"/>
      </c:valAx>
      <c:valAx>
        <c:axId val="384034688"/>
        <c:scaling>
          <c:orientation val="minMax"/>
          <c:max val="180"/>
          <c:min val="-180"/>
        </c:scaling>
        <c:delete val="0"/>
        <c:axPos val="r"/>
        <c:numFmt formatCode="General" sourceLinked="1"/>
        <c:majorTickMark val="out"/>
        <c:minorTickMark val="none"/>
        <c:tickLblPos val="nextTo"/>
        <c:crossAx val="384036224"/>
        <c:crosses val="max"/>
        <c:crossBetween val="midCat"/>
        <c:majorUnit val="90"/>
        <c:minorUnit val="45"/>
      </c:valAx>
      <c:valAx>
        <c:axId val="384036224"/>
        <c:scaling>
          <c:logBase val="10"/>
          <c:orientation val="minMax"/>
        </c:scaling>
        <c:delete val="1"/>
        <c:axPos val="b"/>
        <c:numFmt formatCode="0.00" sourceLinked="1"/>
        <c:majorTickMark val="out"/>
        <c:minorTickMark val="none"/>
        <c:tickLblPos val="nextTo"/>
        <c:crossAx val="384034688"/>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8.7413438847232044E-2"/>
          <c:y val="8.91580410193186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CCM_Loop_Modeling_Isolated!$AW$19:$AW$560</c:f>
              <c:numCache>
                <c:formatCode>0.000</c:formatCode>
                <c:ptCount val="542"/>
                <c:pt idx="0">
                  <c:v>32.865165371515644</c:v>
                </c:pt>
                <c:pt idx="1">
                  <c:v>32.730961964260466</c:v>
                </c:pt>
                <c:pt idx="2">
                  <c:v>32.594809158138396</c:v>
                </c:pt>
                <c:pt idx="3">
                  <c:v>32.456733884080165</c:v>
                </c:pt>
                <c:pt idx="4">
                  <c:v>32.316764637063223</c:v>
                </c:pt>
                <c:pt idx="5">
                  <c:v>32.174931354354541</c:v>
                </c:pt>
                <c:pt idx="6">
                  <c:v>32.031265292966246</c:v>
                </c:pt>
                <c:pt idx="7">
                  <c:v>31.885798907036602</c:v>
                </c:pt>
                <c:pt idx="8">
                  <c:v>31.73856572581424</c:v>
                </c:pt>
                <c:pt idx="9">
                  <c:v>31.589600232888898</c:v>
                </c:pt>
                <c:pt idx="10">
                  <c:v>31.438937747265992</c:v>
                </c:pt>
                <c:pt idx="11">
                  <c:v>31.286614306837844</c:v>
                </c:pt>
                <c:pt idx="12">
                  <c:v>31.13266655475617</c:v>
                </c:pt>
                <c:pt idx="13">
                  <c:v>30.977131629155391</c:v>
                </c:pt>
                <c:pt idx="14">
                  <c:v>30.820047056627395</c:v>
                </c:pt>
                <c:pt idx="15">
                  <c:v>30.661450649794382</c:v>
                </c:pt>
                <c:pt idx="16">
                  <c:v>30.501380409272318</c:v>
                </c:pt>
                <c:pt idx="17">
                  <c:v>30.339874430267773</c:v>
                </c:pt>
                <c:pt idx="18">
                  <c:v>30.176970814000764</c:v>
                </c:pt>
                <c:pt idx="19">
                  <c:v>30.012707584094933</c:v>
                </c:pt>
                <c:pt idx="20">
                  <c:v>29.847122608036464</c:v>
                </c:pt>
                <c:pt idx="21">
                  <c:v>29.680253523754295</c:v>
                </c:pt>
                <c:pt idx="22">
                  <c:v>29.512137671340323</c:v>
                </c:pt>
                <c:pt idx="23">
                  <c:v>29.34281202988419</c:v>
                </c:pt>
                <c:pt idx="24">
                  <c:v>29.172313159375104</c:v>
                </c:pt>
                <c:pt idx="25">
                  <c:v>29.00067714758023</c:v>
                </c:pt>
                <c:pt idx="26">
                  <c:v>28.82793956179524</c:v>
                </c:pt>
                <c:pt idx="27">
                  <c:v>28.654135405331317</c:v>
                </c:pt>
                <c:pt idx="28">
                  <c:v>28.479299078587211</c:v>
                </c:pt>
                <c:pt idx="29">
                  <c:v>28.30346434453751</c:v>
                </c:pt>
                <c:pt idx="30">
                  <c:v>28.126664298455228</c:v>
                </c:pt>
                <c:pt idx="31">
                  <c:v>27.948931341675568</c:v>
                </c:pt>
                <c:pt idx="32">
                  <c:v>27.77029715920126</c:v>
                </c:pt>
                <c:pt idx="33">
                  <c:v>27.590792700942082</c:v>
                </c:pt>
                <c:pt idx="34">
                  <c:v>27.410448166379837</c:v>
                </c:pt>
                <c:pt idx="35">
                  <c:v>27.229292992448968</c:v>
                </c:pt>
                <c:pt idx="36">
                  <c:v>27.047355844421993</c:v>
                </c:pt>
                <c:pt idx="37">
                  <c:v>26.864664609591308</c:v>
                </c:pt>
                <c:pt idx="38">
                  <c:v>26.681246393544914</c:v>
                </c:pt>
                <c:pt idx="39">
                  <c:v>26.497127518834574</c:v>
                </c:pt>
                <c:pt idx="40">
                  <c:v>26.312333525844004</c:v>
                </c:pt>
                <c:pt idx="41">
                  <c:v>26.126889175668865</c:v>
                </c:pt>
                <c:pt idx="42">
                  <c:v>25.940818454829117</c:v>
                </c:pt>
                <c:pt idx="43">
                  <c:v>25.754144581641675</c:v>
                </c:pt>
                <c:pt idx="44">
                  <c:v>25.566890014089651</c:v>
                </c:pt>
                <c:pt idx="45">
                  <c:v>25.379076459031626</c:v>
                </c:pt>
                <c:pt idx="46">
                  <c:v>25.190724882606816</c:v>
                </c:pt>
                <c:pt idx="47">
                  <c:v>25.001855521695774</c:v>
                </c:pt>
                <c:pt idx="48">
                  <c:v>24.812487896309445</c:v>
                </c:pt>
                <c:pt idx="49">
                  <c:v>24.622640822785428</c:v>
                </c:pt>
                <c:pt idx="50">
                  <c:v>24.432332427680919</c:v>
                </c:pt>
                <c:pt idx="51">
                  <c:v>24.241580162257989</c:v>
                </c:pt>
                <c:pt idx="52">
                  <c:v>24.050400817468063</c:v>
                </c:pt>
                <c:pt idx="53">
                  <c:v>23.858810539347175</c:v>
                </c:pt>
                <c:pt idx="54">
                  <c:v>23.666824844743957</c:v>
                </c:pt>
                <c:pt idx="55">
                  <c:v>23.474458637309048</c:v>
                </c:pt>
                <c:pt idx="56">
                  <c:v>23.281726223680622</c:v>
                </c:pt>
                <c:pt idx="57">
                  <c:v>23.088641329808407</c:v>
                </c:pt>
                <c:pt idx="58">
                  <c:v>22.895217117365494</c:v>
                </c:pt>
                <c:pt idx="59">
                  <c:v>22.701466200201608</c:v>
                </c:pt>
                <c:pt idx="60">
                  <c:v>22.507400660800592</c:v>
                </c:pt>
                <c:pt idx="61">
                  <c:v>22.313032066703901</c:v>
                </c:pt>
                <c:pt idx="62">
                  <c:v>22.118371486875859</c:v>
                </c:pt>
                <c:pt idx="63">
                  <c:v>21.923429507982021</c:v>
                </c:pt>
                <c:pt idx="64">
                  <c:v>21.728216250563015</c:v>
                </c:pt>
                <c:pt idx="65">
                  <c:v>21.532741385086315</c:v>
                </c:pt>
                <c:pt idx="66">
                  <c:v>21.337014147864451</c:v>
                </c:pt>
                <c:pt idx="67">
                  <c:v>21.141043356828717</c:v>
                </c:pt>
                <c:pt idx="68">
                  <c:v>20.944837427154109</c:v>
                </c:pt>
                <c:pt idx="69">
                  <c:v>20.748404386729703</c:v>
                </c:pt>
                <c:pt idx="70">
                  <c:v>20.551751891474357</c:v>
                </c:pt>
                <c:pt idx="71">
                  <c:v>20.354887240496979</c:v>
                </c:pt>
                <c:pt idx="72">
                  <c:v>20.15781739110497</c:v>
                </c:pt>
                <c:pt idx="73">
                  <c:v>19.960548973662039</c:v>
                </c:pt>
                <c:pt idx="74">
                  <c:v>19.76308830630127</c:v>
                </c:pt>
                <c:pt idx="75">
                  <c:v>19.565441409497673</c:v>
                </c:pt>
                <c:pt idx="76">
                  <c:v>19.367614020504455</c:v>
                </c:pt>
                <c:pt idx="77">
                  <c:v>19.169611607659093</c:v>
                </c:pt>
                <c:pt idx="78">
                  <c:v>18.971439384562821</c:v>
                </c:pt>
                <c:pt idx="79">
                  <c:v>18.773102324137366</c:v>
                </c:pt>
                <c:pt idx="80">
                  <c:v>18.574605172561412</c:v>
                </c:pt>
                <c:pt idx="81">
                  <c:v>18.375952463088026</c:v>
                </c:pt>
                <c:pt idx="82">
                  <c:v>18.177148529741672</c:v>
                </c:pt>
                <c:pt idx="83">
                  <c:v>17.978197520892813</c:v>
                </c:pt>
                <c:pt idx="84">
                  <c:v>17.779103412703673</c:v>
                </c:pt>
                <c:pt idx="85">
                  <c:v>17.579870022438463</c:v>
                </c:pt>
                <c:pt idx="86">
                  <c:v>17.380501021625566</c:v>
                </c:pt>
                <c:pt idx="87">
                  <c:v>17.180999949058496</c:v>
                </c:pt>
                <c:pt idx="88">
                  <c:v>16.981370223617969</c:v>
                </c:pt>
                <c:pt idx="89">
                  <c:v>16.781615156893906</c:v>
                </c:pt>
                <c:pt idx="90">
                  <c:v>16.581737965581624</c:v>
                </c:pt>
                <c:pt idx="91">
                  <c:v>16.381741783625429</c:v>
                </c:pt>
                <c:pt idx="92">
                  <c:v>16.181629674076596</c:v>
                </c:pt>
                <c:pt idx="93">
                  <c:v>15.981404640630291</c:v>
                </c:pt>
                <c:pt idx="94">
                  <c:v>15.781069638801652</c:v>
                </c:pt>
                <c:pt idx="95">
                  <c:v>15.580627586700686</c:v>
                </c:pt>
                <c:pt idx="96">
                  <c:v>15.380081375359239</c:v>
                </c:pt>
                <c:pt idx="97">
                  <c:v>15.179433878563968</c:v>
                </c:pt>
                <c:pt idx="98">
                  <c:v>14.978687962145749</c:v>
                </c:pt>
                <c:pt idx="99">
                  <c:v>14.777846492674929</c:v>
                </c:pt>
                <c:pt idx="100">
                  <c:v>14.576912345512925</c:v>
                </c:pt>
                <c:pt idx="101">
                  <c:v>14.375888412168527</c:v>
                </c:pt>
                <c:pt idx="102">
                  <c:v>14.174777606909682</c:v>
                </c:pt>
                <c:pt idx="103">
                  <c:v>13.973582872584018</c:v>
                </c:pt>
                <c:pt idx="104">
                  <c:v>13.772307185603641</c:v>
                </c:pt>
                <c:pt idx="105">
                  <c:v>13.570953560052963</c:v>
                </c:pt>
                <c:pt idx="106">
                  <c:v>13.369525050886168</c:v>
                </c:pt>
                <c:pt idx="107">
                  <c:v>13.168024756182639</c:v>
                </c:pt>
                <c:pt idx="108">
                  <c:v>12.966455818438851</c:v>
                </c:pt>
                <c:pt idx="109">
                  <c:v>12.764821424882582</c:v>
                </c:pt>
                <c:pt idx="110">
                  <c:v>12.563124806800809</c:v>
                </c:pt>
                <c:pt idx="111">
                  <c:v>12.361369237886652</c:v>
                </c:pt>
                <c:pt idx="112">
                  <c:v>12.15955803161598</c:v>
                </c:pt>
                <c:pt idx="113">
                  <c:v>11.957694537677082</c:v>
                </c:pt>
                <c:pt idx="114">
                  <c:v>11.755782137485378</c:v>
                </c:pt>
                <c:pt idx="115">
                  <c:v>11.553824238827172</c:v>
                </c:pt>
                <c:pt idx="116">
                  <c:v>11.351824269684879</c:v>
                </c:pt>
                <c:pt idx="117">
                  <c:v>11.149785671306095</c:v>
                </c:pt>
                <c:pt idx="118">
                  <c:v>10.947711890589108</c:v>
                </c:pt>
                <c:pt idx="119">
                  <c:v>10.745606371863847</c:v>
                </c:pt>
                <c:pt idx="120">
                  <c:v>10.543472548155826</c:v>
                </c:pt>
                <c:pt idx="121">
                  <c:v>10.34131383202765</c:v>
                </c:pt>
                <c:pt idx="122">
                  <c:v>10.139133606093063</c:v>
                </c:pt>
                <c:pt idx="123">
                  <c:v>9.9369352133089226</c:v>
                </c:pt>
                <c:pt idx="124">
                  <c:v>9.7347219471447399</c:v>
                </c:pt>
                <c:pt idx="125">
                  <c:v>9.5324970417369865</c:v>
                </c:pt>
                <c:pt idx="126">
                  <c:v>9.3302636621271056</c:v>
                </c:pt>
                <c:pt idx="127">
                  <c:v>9.1280248946868188</c:v>
                </c:pt>
                <c:pt idx="128">
                  <c:v>8.9257837378226199</c:v>
                </c:pt>
                <c:pt idx="129">
                  <c:v>8.7235430930528501</c:v>
                </c:pt>
                <c:pt idx="130">
                  <c:v>8.5213057565377817</c:v>
                </c:pt>
                <c:pt idx="131">
                  <c:v>8.3190744111397397</c:v>
                </c:pt>
                <c:pt idx="132">
                  <c:v>8.1168516190792843</c:v>
                </c:pt>
                <c:pt idx="133">
                  <c:v>7.9146398152439277</c:v>
                </c:pt>
                <c:pt idx="134">
                  <c:v>7.7124413011965558</c:v>
                </c:pt>
                <c:pt idx="135">
                  <c:v>7.5102582399199918</c:v>
                </c:pt>
                <c:pt idx="136">
                  <c:v>7.3080926513225393</c:v>
                </c:pt>
                <c:pt idx="137">
                  <c:v>7.1059464085210955</c:v>
                </c:pt>
                <c:pt idx="138">
                  <c:v>6.9038212349057195</c:v>
                </c:pt>
                <c:pt idx="139">
                  <c:v>6.7017187019812097</c:v>
                </c:pt>
                <c:pt idx="140">
                  <c:v>6.4996402279716001</c:v>
                </c:pt>
                <c:pt idx="141">
                  <c:v>6.2975870771647635</c:v>
                </c:pt>
                <c:pt idx="142">
                  <c:v>6.0955603599673038</c:v>
                </c:pt>
                <c:pt idx="143">
                  <c:v>5.8935610336314088</c:v>
                </c:pt>
                <c:pt idx="144">
                  <c:v>5.6915899036121163</c:v>
                </c:pt>
                <c:pt idx="145">
                  <c:v>5.4896476255052642</c:v>
                </c:pt>
                <c:pt idx="146">
                  <c:v>5.2877347075158054</c:v>
                </c:pt>
                <c:pt idx="147">
                  <c:v>5.0858515134002102</c:v>
                </c:pt>
                <c:pt idx="148">
                  <c:v>4.8839982658276409</c:v>
                </c:pt>
                <c:pt idx="149">
                  <c:v>4.6821750500999251</c:v>
                </c:pt>
                <c:pt idx="150">
                  <c:v>4.4803818181738384</c:v>
                </c:pt>
                <c:pt idx="151">
                  <c:v>4.2786183929272763</c:v>
                </c:pt>
                <c:pt idx="152">
                  <c:v>4.0768844726122655</c:v>
                </c:pt>
                <c:pt idx="153">
                  <c:v>3.8751796354408214</c:v>
                </c:pt>
                <c:pt idx="154">
                  <c:v>3.6735033442507774</c:v>
                </c:pt>
                <c:pt idx="155">
                  <c:v>3.4718549512010304</c:v>
                </c:pt>
                <c:pt idx="156">
                  <c:v>3.2702337024508115</c:v>
                </c:pt>
                <c:pt idx="157">
                  <c:v>3.0686387427783037</c:v>
                </c:pt>
                <c:pt idx="158">
                  <c:v>2.8670691200990617</c:v>
                </c:pt>
                <c:pt idx="159">
                  <c:v>2.6655237898476285</c:v>
                </c:pt>
                <c:pt idx="160">
                  <c:v>2.4640016191895149</c:v>
                </c:pt>
                <c:pt idx="161">
                  <c:v>2.2625013910338891</c:v>
                </c:pt>
                <c:pt idx="162">
                  <c:v>2.0610218078220783</c:v>
                </c:pt>
                <c:pt idx="163">
                  <c:v>1.8595614950681556</c:v>
                </c:pt>
                <c:pt idx="164">
                  <c:v>1.6581190046336158</c:v>
                </c:pt>
                <c:pt idx="165">
                  <c:v>1.4566928177191083</c:v>
                </c:pt>
                <c:pt idx="166">
                  <c:v>1.2552813475606197</c:v>
                </c:pt>
                <c:pt idx="167">
                  <c:v>1.053882941819124</c:v>
                </c:pt>
                <c:pt idx="168">
                  <c:v>0.85249588465518211</c:v>
                </c:pt>
                <c:pt idx="169">
                  <c:v>0.65111839848310582</c:v>
                </c:pt>
                <c:pt idx="170">
                  <c:v>0.44974864539964438</c:v>
                </c:pt>
                <c:pt idx="171">
                  <c:v>0.24838472828584954</c:v>
                </c:pt>
                <c:pt idx="172">
                  <c:v>4.7024691579496618E-2</c:v>
                </c:pt>
                <c:pt idx="173">
                  <c:v>-0.15433347827976751</c:v>
                </c:pt>
                <c:pt idx="174">
                  <c:v>-0.35569185273288223</c:v>
                </c:pt>
                <c:pt idx="175">
                  <c:v>-0.55705256130823144</c:v>
                </c:pt>
                <c:pt idx="176">
                  <c:v>-0.75841779215136018</c:v>
                </c:pt>
                <c:pt idx="177">
                  <c:v>-0.95978979287214661</c:v>
                </c:pt>
                <c:pt idx="178">
                  <c:v>-1.1611708717080509</c:v>
                </c:pt>
                <c:pt idx="179">
                  <c:v>-1.3625633989986068</c:v>
                </c:pt>
                <c:pt idx="180">
                  <c:v>-1.5639698089672736</c:v>
                </c:pt>
                <c:pt idx="181">
                  <c:v>-1.7653926018067381</c:v>
                </c:pt>
                <c:pt idx="182">
                  <c:v>-1.9668343460643509</c:v>
                </c:pt>
                <c:pt idx="183">
                  <c:v>-2.1682976813238333</c:v>
                </c:pt>
                <c:pt idx="184">
                  <c:v>-2.3697853211806446</c:v>
                </c:pt>
                <c:pt idx="185">
                  <c:v>-2.5713000565072313</c:v>
                </c:pt>
                <c:pt idx="186">
                  <c:v>-2.772844759007322</c:v>
                </c:pt>
                <c:pt idx="187">
                  <c:v>-2.9744223850551372</c:v>
                </c:pt>
                <c:pt idx="188">
                  <c:v>-3.176035979820738</c:v>
                </c:pt>
                <c:pt idx="189">
                  <c:v>-3.3776886816779328</c:v>
                </c:pt>
                <c:pt idx="190">
                  <c:v>-3.5793837268963973</c:v>
                </c:pt>
                <c:pt idx="191">
                  <c:v>-3.7811244546171192</c:v>
                </c:pt>
                <c:pt idx="192">
                  <c:v>-3.9829143121115851</c:v>
                </c:pt>
                <c:pt idx="193">
                  <c:v>-4.1847568603271572</c:v>
                </c:pt>
                <c:pt idx="194">
                  <c:v>-4.3866557797187919</c:v>
                </c:pt>
                <c:pt idx="195">
                  <c:v>-4.5886148763700465</c:v>
                </c:pt>
                <c:pt idx="196">
                  <c:v>-4.7906380884073636</c:v>
                </c:pt>
                <c:pt idx="197">
                  <c:v>-4.9927294927069896</c:v>
                </c:pt>
                <c:pt idx="198">
                  <c:v>-5.1948933119030629</c:v>
                </c:pt>
                <c:pt idx="199">
                  <c:v>-5.3971339216971277</c:v>
                </c:pt>
                <c:pt idx="200">
                  <c:v>-5.5994558584743874</c:v>
                </c:pt>
                <c:pt idx="201">
                  <c:v>-5.8018638272319345</c:v>
                </c:pt>
                <c:pt idx="202">
                  <c:v>-6.0043627098235861</c:v>
                </c:pt>
                <c:pt idx="203">
                  <c:v>-6.2069575735255622</c:v>
                </c:pt>
                <c:pt idx="204">
                  <c:v>-6.4096536799292601</c:v>
                </c:pt>
                <c:pt idx="205">
                  <c:v>-6.6124564941658548</c:v>
                </c:pt>
                <c:pt idx="206">
                  <c:v>-6.8153716944679967</c:v>
                </c:pt>
                <c:pt idx="207">
                  <c:v>-7.0184051820741677</c:v>
                </c:pt>
                <c:pt idx="208">
                  <c:v>-7.2215630914805198</c:v>
                </c:pt>
                <c:pt idx="209">
                  <c:v>-7.4248518010452322</c:v>
                </c:pt>
                <c:pt idx="210">
                  <c:v>-7.6282779439496071</c:v>
                </c:pt>
                <c:pt idx="211">
                  <c:v>-7.8318484195200266</c:v>
                </c:pt>
                <c:pt idx="212">
                  <c:v>-8.0355704049158252</c:v>
                </c:pt>
                <c:pt idx="213">
                  <c:v>-8.2394513671828307</c:v>
                </c:pt>
                <c:pt idx="214">
                  <c:v>-8.4434990756781332</c:v>
                </c:pt>
                <c:pt idx="215">
                  <c:v>-8.6477216148655671</c:v>
                </c:pt>
                <c:pt idx="216">
                  <c:v>-8.8521273974817944</c:v>
                </c:pt>
                <c:pt idx="217">
                  <c:v>-9.0567251780738509</c:v>
                </c:pt>
                <c:pt idx="218">
                  <c:v>-9.2615240669027816</c:v>
                </c:pt>
                <c:pt idx="219">
                  <c:v>-9.4665335442133518</c:v>
                </c:pt>
                <c:pt idx="220">
                  <c:v>-9.671763474860807</c:v>
                </c:pt>
                <c:pt idx="221">
                  <c:v>-9.8772241232878439</c:v>
                </c:pt>
                <c:pt idx="222">
                  <c:v>-10.082926168844503</c:v>
                </c:pt>
                <c:pt idx="223">
                  <c:v>-10.288880721435111</c:v>
                </c:pt>
                <c:pt idx="224">
                  <c:v>-10.495099337480205</c:v>
                </c:pt>
                <c:pt idx="225">
                  <c:v>-10.701594036174981</c:v>
                </c:pt>
                <c:pt idx="226">
                  <c:v>-10.908377316023849</c:v>
                </c:pt>
                <c:pt idx="227">
                  <c:v>-11.115462171625449</c:v>
                </c:pt>
                <c:pt idx="228">
                  <c:v>-11.322862110683829</c:v>
                </c:pt>
                <c:pt idx="229">
                  <c:v>-11.530591171208393</c:v>
                </c:pt>
                <c:pt idx="230">
                  <c:v>-11.738663938873113</c:v>
                </c:pt>
                <c:pt idx="231">
                  <c:v>-11.947095564487389</c:v>
                </c:pt>
                <c:pt idx="232">
                  <c:v>-12.155901781538958</c:v>
                </c:pt>
                <c:pt idx="233">
                  <c:v>-12.365098923752429</c:v>
                </c:pt>
                <c:pt idx="234">
                  <c:v>-12.574703942610126</c:v>
                </c:pt>
                <c:pt idx="235">
                  <c:v>-12.784734424771049</c:v>
                </c:pt>
                <c:pt idx="236">
                  <c:v>-12.995208609319686</c:v>
                </c:pt>
                <c:pt idx="237">
                  <c:v>-13.206145404767254</c:v>
                </c:pt>
                <c:pt idx="238">
                  <c:v>-13.417564405724045</c:v>
                </c:pt>
                <c:pt idx="239">
                  <c:v>-13.629485909152507</c:v>
                </c:pt>
                <c:pt idx="240">
                  <c:v>-13.841930930102569</c:v>
                </c:pt>
                <c:pt idx="241">
                  <c:v>-14.054921216825454</c:v>
                </c:pt>
                <c:pt idx="242">
                  <c:v>-14.268479265149773</c:v>
                </c:pt>
                <c:pt idx="243">
                  <c:v>-14.4826283320001</c:v>
                </c:pt>
                <c:pt idx="244">
                  <c:v>-14.697392447928239</c:v>
                </c:pt>
                <c:pt idx="245">
                  <c:v>-14.912796428516167</c:v>
                </c:pt>
                <c:pt idx="246">
                  <c:v>-15.128865884505942</c:v>
                </c:pt>
                <c:pt idx="247">
                  <c:v>-15.345627230500956</c:v>
                </c:pt>
                <c:pt idx="248">
                  <c:v>-15.563107692073794</c:v>
                </c:pt>
                <c:pt idx="249">
                  <c:v>-15.781335311111276</c:v>
                </c:pt>
                <c:pt idx="250">
                  <c:v>-16.000338949217333</c:v>
                </c:pt>
                <c:pt idx="251">
                  <c:v>-16.220148288987733</c:v>
                </c:pt>
                <c:pt idx="252">
                  <c:v>-16.440793832967501</c:v>
                </c:pt>
                <c:pt idx="253">
                  <c:v>-16.662306900090261</c:v>
                </c:pt>
                <c:pt idx="254">
                  <c:v>-16.884719619404365</c:v>
                </c:pt>
                <c:pt idx="255">
                  <c:v>-17.108064920876597</c:v>
                </c:pt>
                <c:pt idx="256">
                  <c:v>-17.332376523070209</c:v>
                </c:pt>
                <c:pt idx="257">
                  <c:v>-17.557688917494563</c:v>
                </c:pt>
                <c:pt idx="258">
                  <c:v>-17.784037349417353</c:v>
                </c:pt>
                <c:pt idx="259">
                  <c:v>-18.011457794945841</c:v>
                </c:pt>
                <c:pt idx="260">
                  <c:v>-18.239986934180415</c:v>
                </c:pt>
                <c:pt idx="261">
                  <c:v>-18.469662120256395</c:v>
                </c:pt>
                <c:pt idx="262">
                  <c:v>-18.7005213441027</c:v>
                </c:pt>
                <c:pt idx="263">
                  <c:v>-18.932603194755767</c:v>
                </c:pt>
                <c:pt idx="264">
                  <c:v>-19.165946815090482</c:v>
                </c:pt>
                <c:pt idx="265">
                  <c:v>-19.400591852843444</c:v>
                </c:pt>
                <c:pt idx="266">
                  <c:v>-19.636578406833777</c:v>
                </c:pt>
                <c:pt idx="267">
                  <c:v>-19.873946968310459</c:v>
                </c:pt>
                <c:pt idx="268">
                  <c:v>-20.112738357385751</c:v>
                </c:pt>
                <c:pt idx="269">
                  <c:v>-20.352993654550847</c:v>
                </c:pt>
                <c:pt idx="270">
                  <c:v>-20.594754127304196</c:v>
                </c:pt>
                <c:pt idx="271">
                  <c:v>-20.838061151965256</c:v>
                </c:pt>
                <c:pt idx="272">
                  <c:v>-21.082956130789565</c:v>
                </c:pt>
                <c:pt idx="273">
                  <c:v>-21.329480404549152</c:v>
                </c:pt>
                <c:pt idx="274">
                  <c:v>-21.577675160786502</c:v>
                </c:pt>
                <c:pt idx="275">
                  <c:v>-21.827581338006439</c:v>
                </c:pt>
                <c:pt idx="276">
                  <c:v>-22.07923952612013</c:v>
                </c:pt>
                <c:pt idx="277">
                  <c:v>-22.332689863505802</c:v>
                </c:pt>
                <c:pt idx="278">
                  <c:v>-22.58797193110993</c:v>
                </c:pt>
                <c:pt idx="279">
                  <c:v>-22.845124644059247</c:v>
                </c:pt>
                <c:pt idx="280">
                  <c:v>-23.104186141309984</c:v>
                </c:pt>
                <c:pt idx="281">
                  <c:v>-23.365193673905729</c:v>
                </c:pt>
                <c:pt idx="282">
                  <c:v>-23.628183492465489</c:v>
                </c:pt>
                <c:pt idx="283">
                  <c:v>-23.893190734561575</c:v>
                </c:pt>
                <c:pt idx="284">
                  <c:v>-24.16024931268753</c:v>
                </c:pt>
                <c:pt idx="285">
                  <c:v>-24.429391803544647</c:v>
                </c:pt>
                <c:pt idx="286">
                  <c:v>-24.700649339402684</c:v>
                </c:pt>
                <c:pt idx="287">
                  <c:v>-24.974051502306164</c:v>
                </c:pt>
                <c:pt idx="288">
                  <c:v>-25.249626221908088</c:v>
                </c:pt>
                <c:pt idx="289">
                  <c:v>-25.527399677710598</c:v>
                </c:pt>
                <c:pt idx="290">
                  <c:v>-25.807396206490463</c:v>
                </c:pt>
                <c:pt idx="291">
                  <c:v>-26.089638215656613</c:v>
                </c:pt>
                <c:pt idx="292">
                  <c:v>-26.374146103276168</c:v>
                </c:pt>
                <c:pt idx="293">
                  <c:v>-26.66093818545076</c:v>
                </c:pt>
                <c:pt idx="294">
                  <c:v>-26.950030631693238</c:v>
                </c:pt>
                <c:pt idx="295">
                  <c:v>-27.241437408888615</c:v>
                </c:pt>
                <c:pt idx="296">
                  <c:v>-27.535170234367158</c:v>
                </c:pt>
                <c:pt idx="297">
                  <c:v>-27.831238538541335</c:v>
                </c:pt>
                <c:pt idx="298">
                  <c:v>-28.129649437482357</c:v>
                </c:pt>
                <c:pt idx="299">
                  <c:v>-28.430407715730752</c:v>
                </c:pt>
                <c:pt idx="300">
                  <c:v>-28.733515819543534</c:v>
                </c:pt>
                <c:pt idx="301">
                  <c:v>-29.038973860695052</c:v>
                </c:pt>
                <c:pt idx="302">
                  <c:v>-29.346779630852936</c:v>
                </c:pt>
                <c:pt idx="303">
                  <c:v>-29.656928626460896</c:v>
                </c:pt>
                <c:pt idx="304">
                  <c:v>-29.969414083967862</c:v>
                </c:pt>
                <c:pt idx="305">
                  <c:v>-30.284227025155786</c:v>
                </c:pt>
                <c:pt idx="306">
                  <c:v>-30.601356312234639</c:v>
                </c:pt>
                <c:pt idx="307">
                  <c:v>-30.920788712293263</c:v>
                </c:pt>
                <c:pt idx="308">
                  <c:v>-31.242508970624559</c:v>
                </c:pt>
                <c:pt idx="309">
                  <c:v>-31.566499892376136</c:v>
                </c:pt>
                <c:pt idx="310">
                  <c:v>-31.892742431923175</c:v>
                </c:pt>
                <c:pt idx="311">
                  <c:v>-32.221215789311245</c:v>
                </c:pt>
                <c:pt idx="312">
                  <c:v>-32.551897513079012</c:v>
                </c:pt>
                <c:pt idx="313">
                  <c:v>-32.884763608740187</c:v>
                </c:pt>
                <c:pt idx="314">
                  <c:v>-33.219788652189408</c:v>
                </c:pt>
                <c:pt idx="315">
                  <c:v>-33.556945907279932</c:v>
                </c:pt>
                <c:pt idx="316">
                  <c:v>-33.89620744682918</c:v>
                </c:pt>
                <c:pt idx="317">
                  <c:v>-34.237544276308448</c:v>
                </c:pt>
                <c:pt idx="318">
                  <c:v>-34.58092645949727</c:v>
                </c:pt>
                <c:pt idx="319">
                  <c:v>-34.926323245401754</c:v>
                </c:pt>
                <c:pt idx="320">
                  <c:v>-35.273703195772065</c:v>
                </c:pt>
                <c:pt idx="321">
                  <c:v>-35.623034312588629</c:v>
                </c:pt>
                <c:pt idx="322">
                  <c:v>-35.97428416493085</c:v>
                </c:pt>
                <c:pt idx="323">
                  <c:v>-36.327420014689189</c:v>
                </c:pt>
                <c:pt idx="324">
                  <c:v>-36.682408940632207</c:v>
                </c:pt>
                <c:pt idx="325">
                  <c:v>-37.039217960389792</c:v>
                </c:pt>
                <c:pt idx="326">
                  <c:v>-37.39781414997465</c:v>
                </c:pt>
                <c:pt idx="327">
                  <c:v>-37.758164760512408</c:v>
                </c:pt>
                <c:pt idx="328">
                  <c:v>-38.120237331910012</c:v>
                </c:pt>
                <c:pt idx="329">
                  <c:v>-38.483999803247777</c:v>
                </c:pt>
                <c:pt idx="330">
                  <c:v>-38.849420619728114</c:v>
                </c:pt>
                <c:pt idx="331">
                  <c:v>-39.216468836072885</c:v>
                </c:pt>
                <c:pt idx="332">
                  <c:v>-39.585114216303097</c:v>
                </c:pt>
                <c:pt idx="333">
                  <c:v>-39.955327329888405</c:v>
                </c:pt>
                <c:pt idx="334">
                  <c:v>-40.327079644289803</c:v>
                </c:pt>
                <c:pt idx="335">
                  <c:v>-40.700343613964456</c:v>
                </c:pt>
                <c:pt idx="336">
                  <c:v>-41.075092765935473</c:v>
                </c:pt>
                <c:pt idx="337">
                  <c:v>-41.451301782063055</c:v>
                </c:pt>
                <c:pt idx="338">
                  <c:v>-41.828946578182276</c:v>
                </c:pt>
                <c:pt idx="339">
                  <c:v>-42.208004380297062</c:v>
                </c:pt>
                <c:pt idx="340">
                  <c:v>-42.588453798043275</c:v>
                </c:pt>
                <c:pt idx="341">
                  <c:v>-42.970274895651187</c:v>
                </c:pt>
                <c:pt idx="342">
                  <c:v>-43.353449260647778</c:v>
                </c:pt>
                <c:pt idx="343">
                  <c:v>-43.737960070555872</c:v>
                </c:pt>
                <c:pt idx="344">
                  <c:v>-44.123792157846438</c:v>
                </c:pt>
                <c:pt idx="345">
                  <c:v>-44.510932073409549</c:v>
                </c:pt>
                <c:pt idx="346">
                  <c:v>-44.899368148803617</c:v>
                </c:pt>
                <c:pt idx="347">
                  <c:v>-45.289090557537705</c:v>
                </c:pt>
                <c:pt idx="348">
                  <c:v>-45.680091375639208</c:v>
                </c:pt>
                <c:pt idx="349">
                  <c:v>-46.072364641739156</c:v>
                </c:pt>
                <c:pt idx="350">
                  <c:v>-46.465906416895216</c:v>
                </c:pt>
                <c:pt idx="351">
                  <c:v>-46.860714844352756</c:v>
                </c:pt>
                <c:pt idx="352">
                  <c:v>-47.256790209417659</c:v>
                </c:pt>
                <c:pt idx="353">
                  <c:v>-47.654134999585878</c:v>
                </c:pt>
                <c:pt idx="354">
                  <c:v>-48.052753965044879</c:v>
                </c:pt>
                <c:pt idx="355">
                  <c:v>-48.452654179615791</c:v>
                </c:pt>
                <c:pt idx="356">
                  <c:v>-48.853845102169295</c:v>
                </c:pt>
                <c:pt idx="357">
                  <c:v>-49.256338638492721</c:v>
                </c:pt>
                <c:pt idx="358">
                  <c:v>-49.660149203532384</c:v>
                </c:pt>
                <c:pt idx="359">
                  <c:v>-50.065293783870928</c:v>
                </c:pt>
                <c:pt idx="360">
                  <c:v>-50.471792000232405</c:v>
                </c:pt>
                <c:pt idx="361">
                  <c:v>-50.87966616972669</c:v>
                </c:pt>
                <c:pt idx="362">
                  <c:v>-51.288941367463998</c:v>
                </c:pt>
                <c:pt idx="363">
                  <c:v>-51.699645487072594</c:v>
                </c:pt>
                <c:pt idx="364">
                  <c:v>-52.111809299555823</c:v>
                </c:pt>
                <c:pt idx="365">
                  <c:v>-52.525466509807572</c:v>
                </c:pt>
                <c:pt idx="366">
                  <c:v>-52.940653809992497</c:v>
                </c:pt>
                <c:pt idx="367">
                  <c:v>-53.357410928864006</c:v>
                </c:pt>
                <c:pt idx="368">
                  <c:v>-53.775780675958401</c:v>
                </c:pt>
                <c:pt idx="369">
                  <c:v>-54.195808979460494</c:v>
                </c:pt>
                <c:pt idx="370">
                  <c:v>-54.617544916382641</c:v>
                </c:pt>
                <c:pt idx="371">
                  <c:v>-55.041040733546048</c:v>
                </c:pt>
                <c:pt idx="372">
                  <c:v>-55.466351857691343</c:v>
                </c:pt>
                <c:pt idx="373">
                  <c:v>-55.893536892886374</c:v>
                </c:pt>
                <c:pt idx="374">
                  <c:v>-56.322657603242064</c:v>
                </c:pt>
                <c:pt idx="375">
                  <c:v>-56.753778878792211</c:v>
                </c:pt>
                <c:pt idx="376">
                  <c:v>-57.186968682255504</c:v>
                </c:pt>
                <c:pt idx="377">
                  <c:v>-57.622297974266019</c:v>
                </c:pt>
                <c:pt idx="378">
                  <c:v>-58.059840614560407</c:v>
                </c:pt>
                <c:pt idx="379">
                  <c:v>-58.499673236527855</c:v>
                </c:pt>
                <c:pt idx="380">
                  <c:v>-58.941875092489965</c:v>
                </c:pt>
                <c:pt idx="381">
                  <c:v>-59.38652786708186</c:v>
                </c:pt>
                <c:pt idx="382">
                  <c:v>-59.833715456158281</c:v>
                </c:pt>
                <c:pt idx="383">
                  <c:v>-60.283523708765671</c:v>
                </c:pt>
                <c:pt idx="384">
                  <c:v>-60.736040129904751</c:v>
                </c:pt>
                <c:pt idx="385">
                  <c:v>-61.191353542074353</c:v>
                </c:pt>
                <c:pt idx="386">
                  <c:v>-61.6495537039292</c:v>
                </c:pt>
                <c:pt idx="387">
                  <c:v>-62.110730884830801</c:v>
                </c:pt>
                <c:pt idx="388">
                  <c:v>-62.574975394599548</c:v>
                </c:pt>
                <c:pt idx="389">
                  <c:v>-63.04237706840933</c:v>
                </c:pt>
                <c:pt idx="390">
                  <c:v>-63.513024707496236</c:v>
                </c:pt>
                <c:pt idx="391">
                  <c:v>-63.987005477169483</c:v>
                </c:pt>
                <c:pt idx="392">
                  <c:v>-64.46440426451413</c:v>
                </c:pt>
                <c:pt idx="393">
                  <c:v>-64.945302999147202</c:v>
                </c:pt>
                <c:pt idx="394">
                  <c:v>-65.429779941406835</c:v>
                </c:pt>
                <c:pt idx="395">
                  <c:v>-65.917908943403788</c:v>
                </c:pt>
                <c:pt idx="396">
                  <c:v>-66.409758689412286</c:v>
                </c:pt>
                <c:pt idx="397">
                  <c:v>-66.905391923093958</c:v>
                </c:pt>
                <c:pt idx="398">
                  <c:v>-67.404864669996115</c:v>
                </c:pt>
                <c:pt idx="399">
                  <c:v>-67.90822546461709</c:v>
                </c:pt>
                <c:pt idx="400">
                  <c:v>-68.415514592030775</c:v>
                </c:pt>
                <c:pt idx="401">
                  <c:v>-68.926763354599458</c:v>
                </c:pt>
                <c:pt idx="402">
                  <c:v>-69.441993374616814</c:v>
                </c:pt>
                <c:pt idx="403">
                  <c:v>-69.961215943808241</c:v>
                </c:pt>
                <c:pt idx="404">
                  <c:v>-70.48443143043896</c:v>
                </c:pt>
                <c:pt idx="405">
                  <c:v>-71.011628754327688</c:v>
                </c:pt>
                <c:pt idx="406">
                  <c:v>-71.542784939345751</c:v>
                </c:pt>
                <c:pt idx="407">
                  <c:v>-72.07786475198688</c:v>
                </c:pt>
                <c:pt idx="408">
                  <c:v>-72.616820433363202</c:v>
                </c:pt>
                <c:pt idx="409">
                  <c:v>-73.15959153052637</c:v>
                </c:pt>
                <c:pt idx="410">
                  <c:v>-73.706104831386796</c:v>
                </c:pt>
                <c:pt idx="411">
                  <c:v>-74.256274405747831</c:v>
                </c:pt>
                <c:pt idx="412">
                  <c:v>-74.81000175313703</c:v>
                </c:pt>
                <c:pt idx="413">
                  <c:v>-75.36717605627436</c:v>
                </c:pt>
                <c:pt idx="414">
                  <c:v>-75.927674537203728</c:v>
                </c:pt>
                <c:pt idx="415">
                  <c:v>-76.491362911409894</c:v>
                </c:pt>
                <c:pt idx="416">
                  <c:v>-77.058095933676185</c:v>
                </c:pt>
                <c:pt idx="417">
                  <c:v>-77.627718028068557</c:v>
                </c:pt>
                <c:pt idx="418">
                  <c:v>-78.200063993286193</c:v>
                </c:pt>
                <c:pt idx="419">
                  <c:v>-78.774959773721633</c:v>
                </c:pt>
                <c:pt idx="420">
                  <c:v>-79.352223285940056</c:v>
                </c:pt>
                <c:pt idx="421">
                  <c:v>-79.931665289919081</c:v>
                </c:pt>
                <c:pt idx="422">
                  <c:v>-80.513090294277205</c:v>
                </c:pt>
                <c:pt idx="423">
                  <c:v>-81.096297484849515</c:v>
                </c:pt>
                <c:pt idx="424">
                  <c:v>-81.681081666306383</c:v>
                </c:pt>
                <c:pt idx="425">
                  <c:v>-82.26723420704522</c:v>
                </c:pt>
                <c:pt idx="426">
                  <c:v>-82.854543978261205</c:v>
                </c:pt>
                <c:pt idx="427">
                  <c:v>-83.442798278891374</c:v>
                </c:pt>
                <c:pt idx="428">
                  <c:v>-84.031783739010635</c:v>
                </c:pt>
                <c:pt idx="429">
                  <c:v>-84.621287195172698</c:v>
                </c:pt>
                <c:pt idx="430">
                  <c:v>-85.211096532116741</c:v>
                </c:pt>
                <c:pt idx="431">
                  <c:v>-85.801001486196625</c:v>
                </c:pt>
                <c:pt idx="432">
                  <c:v>-86.390794406760733</c:v>
                </c:pt>
                <c:pt idx="433">
                  <c:v>-86.980270972555331</c:v>
                </c:pt>
                <c:pt idx="434">
                  <c:v>-87.569230860978877</c:v>
                </c:pt>
                <c:pt idx="435">
                  <c:v>-88.157478368712546</c:v>
                </c:pt>
                <c:pt idx="436">
                  <c:v>-88.744822982857869</c:v>
                </c:pt>
                <c:pt idx="437">
                  <c:v>-89.331079902238329</c:v>
                </c:pt>
                <c:pt idx="438">
                  <c:v>-89.916070508974272</c:v>
                </c:pt>
                <c:pt idx="439">
                  <c:v>-90.499622790808672</c:v>
                </c:pt>
                <c:pt idx="440">
                  <c:v>-91.081571714971545</c:v>
                </c:pt>
                <c:pt idx="441">
                  <c:v>-91.66175955461128</c:v>
                </c:pt>
                <c:pt idx="442">
                  <c:v>-92.240036169012498</c:v>
                </c:pt>
                <c:pt idx="443">
                  <c:v>-92.816259238969138</c:v>
                </c:pt>
                <c:pt idx="444">
                  <c:v>-93.390294458790848</c:v>
                </c:pt>
                <c:pt idx="445">
                  <c:v>-93.96201568650342</c:v>
                </c:pt>
                <c:pt idx="446">
                  <c:v>-94.531305053865267</c:v>
                </c:pt>
                <c:pt idx="447">
                  <c:v>-95.098053037866563</c:v>
                </c:pt>
                <c:pt idx="448">
                  <c:v>-95.662158495415639</c:v>
                </c:pt>
                <c:pt idx="449">
                  <c:v>-96.22352866294294</c:v>
                </c:pt>
                <c:pt idx="450">
                  <c:v>-96.7820791226805</c:v>
                </c:pt>
                <c:pt idx="451">
                  <c:v>-97.33773373739956</c:v>
                </c:pt>
                <c:pt idx="452">
                  <c:v>-97.890424555411897</c:v>
                </c:pt>
                <c:pt idx="453">
                  <c:v>-98.440091687668172</c:v>
                </c:pt>
                <c:pt idx="454">
                  <c:v>-98.986683158808702</c:v>
                </c:pt>
                <c:pt idx="455">
                  <c:v>-99.530154734050171</c:v>
                </c:pt>
                <c:pt idx="456">
                  <c:v>-100.07046972381069</c:v>
                </c:pt>
                <c:pt idx="457">
                  <c:v>-100.60759876800374</c:v>
                </c:pt>
                <c:pt idx="458">
                  <c:v>-101.14151960193929</c:v>
                </c:pt>
                <c:pt idx="459">
                  <c:v>-101.67221680578693</c:v>
                </c:pt>
                <c:pt idx="460">
                  <c:v>-102.19968153955912</c:v>
                </c:pt>
                <c:pt idx="461">
                  <c:v>-102.72391126556327</c:v>
                </c:pt>
                <c:pt idx="462">
                  <c:v>-103.2449094602656</c:v>
                </c:pt>
                <c:pt idx="463">
                  <c:v>-103.76268531747628</c:v>
                </c:pt>
                <c:pt idx="464">
                  <c:v>-104.2772534447397</c:v>
                </c:pt>
                <c:pt idx="465">
                  <c:v>-104.78863355475811</c:v>
                </c:pt>
                <c:pt idx="466">
                  <c:v>-105.29685015363029</c:v>
                </c:pt>
                <c:pt idx="467">
                  <c:v>-105.80193222761237</c:v>
                </c:pt>
                <c:pt idx="468">
                  <c:v>-106.30391293003402</c:v>
                </c:pt>
                <c:pt idx="469">
                  <c:v>-106.80282926991573</c:v>
                </c:pt>
                <c:pt idx="470">
                  <c:v>-107.29872180374089</c:v>
                </c:pt>
                <c:pt idx="471">
                  <c:v>-107.79163433173215</c:v>
                </c:pt>
                <c:pt idx="472">
                  <c:v>-108.28161359987426</c:v>
                </c:pt>
                <c:pt idx="473">
                  <c:v>-108.76870900882034</c:v>
                </c:pt>
                <c:pt idx="474">
                  <c:v>-109.25297233069415</c:v>
                </c:pt>
                <c:pt idx="475">
                  <c:v>-109.73445743469537</c:v>
                </c:pt>
                <c:pt idx="476">
                  <c:v>-110.21322002228973</c:v>
                </c:pt>
                <c:pt idx="477">
                  <c:v>-110.68931737265837</c:v>
                </c:pt>
                <c:pt idx="478">
                  <c:v>-111.16280809896297</c:v>
                </c:pt>
                <c:pt idx="479">
                  <c:v>-111.63375191587399</c:v>
                </c:pt>
                <c:pt idx="480">
                  <c:v>-112.10220941870759</c:v>
                </c:pt>
                <c:pt idx="481">
                  <c:v>-112.56824187441163</c:v>
                </c:pt>
                <c:pt idx="482">
                  <c:v>-113.03191102455037</c:v>
                </c:pt>
                <c:pt idx="483">
                  <c:v>-113.49327890034843</c:v>
                </c:pt>
                <c:pt idx="484">
                  <c:v>-113.95240764977007</c:v>
                </c:pt>
                <c:pt idx="485">
                  <c:v>-114.4093593765419</c:v>
                </c:pt>
                <c:pt idx="486">
                  <c:v>-114.86419599095194</c:v>
                </c:pt>
                <c:pt idx="487">
                  <c:v>-115.31697907220624</c:v>
                </c:pt>
                <c:pt idx="488">
                  <c:v>-115.76776974206282</c:v>
                </c:pt>
                <c:pt idx="489">
                  <c:v>-116.21662854942426</c:v>
                </c:pt>
                <c:pt idx="490">
                  <c:v>-116.66361536552812</c:v>
                </c:pt>
                <c:pt idx="491">
                  <c:v>-117.10878928934068</c:v>
                </c:pt>
                <c:pt idx="492">
                  <c:v>-117.55220856273641</c:v>
                </c:pt>
                <c:pt idx="493">
                  <c:v>-117.99393049502065</c:v>
                </c:pt>
                <c:pt idx="494">
                  <c:v>-118.43401139634609</c:v>
                </c:pt>
                <c:pt idx="495">
                  <c:v>-118.87250651955097</c:v>
                </c:pt>
                <c:pt idx="496">
                  <c:v>-119.30947000995548</c:v>
                </c:pt>
                <c:pt idx="497">
                  <c:v>-119.74495486264017</c:v>
                </c:pt>
                <c:pt idx="498">
                  <c:v>-120.17901288673852</c:v>
                </c:pt>
                <c:pt idx="499">
                  <c:v>-120.6116946762794</c:v>
                </c:pt>
                <c:pt idx="500">
                  <c:v>-121.0430495871236</c:v>
                </c:pt>
                <c:pt idx="501">
                  <c:v>-121.47312571954834</c:v>
                </c:pt>
                <c:pt idx="502">
                  <c:v>-121.90196990604807</c:v>
                </c:pt>
                <c:pt idx="503">
                  <c:v>-122.3296277039333</c:v>
                </c:pt>
                <c:pt idx="504">
                  <c:v>-122.75614339232405</c:v>
                </c:pt>
                <c:pt idx="505">
                  <c:v>-123.18155997315299</c:v>
                </c:pt>
                <c:pt idx="506">
                  <c:v>-123.60591917580911</c:v>
                </c:pt>
                <c:pt idx="507">
                  <c:v>-124.02926146507346</c:v>
                </c:pt>
                <c:pt idx="508">
                  <c:v>-124.4516260520129</c:v>
                </c:pt>
                <c:pt idx="509">
                  <c:v>-124.87305090752086</c:v>
                </c:pt>
                <c:pt idx="510">
                  <c:v>-125.29357277820894</c:v>
                </c:pt>
                <c:pt idx="511">
                  <c:v>-125.71322720437394</c:v>
                </c:pt>
                <c:pt idx="512">
                  <c:v>-126.1320485397812</c:v>
                </c:pt>
                <c:pt idx="513">
                  <c:v>-126.55006997302529</c:v>
                </c:pt>
                <c:pt idx="514">
                  <c:v>-126.9673235502421</c:v>
                </c:pt>
                <c:pt idx="515">
                  <c:v>-127.38384019896682</c:v>
                </c:pt>
                <c:pt idx="516">
                  <c:v>-127.7996497529478</c:v>
                </c:pt>
                <c:pt idx="517">
                  <c:v>-128.21478097773746</c:v>
                </c:pt>
                <c:pt idx="518">
                  <c:v>-128.62926159690161</c:v>
                </c:pt>
                <c:pt idx="519">
                  <c:v>-129.04311831869924</c:v>
                </c:pt>
                <c:pt idx="520">
                  <c:v>-129.45637686309826</c:v>
                </c:pt>
                <c:pt idx="521">
                  <c:v>-129.86906198900417</c:v>
                </c:pt>
                <c:pt idx="522">
                  <c:v>-130.28119752159404</c:v>
                </c:pt>
                <c:pt idx="523">
                  <c:v>-130.69280637965326</c:v>
                </c:pt>
                <c:pt idx="524">
                  <c:v>-131.10391060283021</c:v>
                </c:pt>
                <c:pt idx="525">
                  <c:v>-131.51453137872366</c:v>
                </c:pt>
                <c:pt idx="526">
                  <c:v>-131.92468906973778</c:v>
                </c:pt>
                <c:pt idx="527">
                  <c:v>-132.33440323963922</c:v>
                </c:pt>
                <c:pt idx="528">
                  <c:v>-132.74369267976107</c:v>
                </c:pt>
                <c:pt idx="529">
                  <c:v>-133.15257543481027</c:v>
                </c:pt>
                <c:pt idx="530">
                  <c:v>-133.56106882822979</c:v>
                </c:pt>
                <c:pt idx="531">
                  <c:v>-133.96918948708827</c:v>
                </c:pt>
                <c:pt idx="532">
                  <c:v>-134.37695336646112</c:v>
                </c:pt>
                <c:pt idx="533">
                  <c:v>-134.78437577328242</c:v>
                </c:pt>
                <c:pt idx="534">
                  <c:v>-135.19147138964462</c:v>
                </c:pt>
                <c:pt idx="535">
                  <c:v>-135.59825429553084</c:v>
                </c:pt>
                <c:pt idx="536">
                  <c:v>-136.0047379909671</c:v>
                </c:pt>
                <c:pt idx="537">
                  <c:v>-136.4109354175871</c:v>
                </c:pt>
                <c:pt idx="538">
                  <c:v>-136.81685897959991</c:v>
                </c:pt>
                <c:pt idx="539">
                  <c:v>-137.22252056416059</c:v>
                </c:pt>
                <c:pt idx="540">
                  <c:v>-137.62793156114125</c:v>
                </c:pt>
                <c:pt idx="541">
                  <c:v>-138.0331028823046</c:v>
                </c:pt>
              </c:numCache>
            </c:numRef>
          </c:yVal>
          <c:smooth val="1"/>
          <c:extLst>
            <c:ext xmlns:c16="http://schemas.microsoft.com/office/drawing/2014/chart" uri="{C3380CC4-5D6E-409C-BE32-E72D297353CC}">
              <c16:uniqueId val="{00000000-2860-4C4C-B618-5424CA982335}"/>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2860-4C4C-B618-5424CA982335}"/>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60-4C4C-B618-5424CA982335}"/>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CCM_Loop_Modeling_Isolated!$O$11</c:f>
              <c:numCache>
                <c:formatCode>0</c:formatCode>
                <c:ptCount val="1"/>
                <c:pt idx="0">
                  <c:v>7.4501100944184611</c:v>
                </c:pt>
              </c:numCache>
            </c:numRef>
          </c:xVal>
          <c:yVal>
            <c:numRef>
              <c:f>CCM_Loop_Modeling_Isolated!$AW$11</c:f>
              <c:numCache>
                <c:formatCode>0.000</c:formatCode>
                <c:ptCount val="1"/>
                <c:pt idx="0">
                  <c:v>34.506352471700652</c:v>
                </c:pt>
              </c:numCache>
            </c:numRef>
          </c:yVal>
          <c:smooth val="0"/>
          <c:extLst>
            <c:ext xmlns:c16="http://schemas.microsoft.com/office/drawing/2014/chart" uri="{C3380CC4-5D6E-409C-BE32-E72D297353CC}">
              <c16:uniqueId val="{00000002-2860-4C4C-B618-5424CA982335}"/>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860-4C4C-B618-5424CA982335}"/>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CCM_Loop_Modeling_Isolated!$O$9</c:f>
              <c:numCache>
                <c:formatCode>0</c:formatCode>
                <c:ptCount val="1"/>
                <c:pt idx="0">
                  <c:v>306420.76066980243</c:v>
                </c:pt>
              </c:numCache>
            </c:numRef>
          </c:xVal>
          <c:yVal>
            <c:numRef>
              <c:f>CCM_Loop_Modeling_Isolated!$AW$9</c:f>
              <c:numCache>
                <c:formatCode>0.000</c:formatCode>
                <c:ptCount val="1"/>
                <c:pt idx="0">
                  <c:v>-95.45477878524332</c:v>
                </c:pt>
              </c:numCache>
            </c:numRef>
          </c:yVal>
          <c:smooth val="1"/>
          <c:extLst>
            <c:ext xmlns:c16="http://schemas.microsoft.com/office/drawing/2014/chart" uri="{C3380CC4-5D6E-409C-BE32-E72D297353CC}">
              <c16:uniqueId val="{00000004-2860-4C4C-B618-5424CA982335}"/>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2860-4C4C-B618-5424CA982335}"/>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860-4C4C-B618-5424CA982335}"/>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CCM_Loop_Modeling_Isolated!$O$10</c:f>
              <c:numCache>
                <c:formatCode>0</c:formatCode>
                <c:ptCount val="1"/>
                <c:pt idx="0">
                  <c:v>318309.88618379069</c:v>
                </c:pt>
              </c:numCache>
            </c:numRef>
          </c:xVal>
          <c:yVal>
            <c:numRef>
              <c:f>CCM_Loop_Modeling_Isolated!$AW$10</c:f>
              <c:numCache>
                <c:formatCode>0.000</c:formatCode>
                <c:ptCount val="1"/>
                <c:pt idx="0">
                  <c:v>-96.383013432471628</c:v>
                </c:pt>
              </c:numCache>
            </c:numRef>
          </c:yVal>
          <c:smooth val="1"/>
          <c:extLst>
            <c:ext xmlns:c16="http://schemas.microsoft.com/office/drawing/2014/chart" uri="{C3380CC4-5D6E-409C-BE32-E72D297353CC}">
              <c16:uniqueId val="{00000006-2860-4C4C-B618-5424CA982335}"/>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860-4C4C-B618-5424CA9823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CCM_Loop_Modeling_Isolated!$O$12</c:f>
              <c:numCache>
                <c:formatCode>General</c:formatCode>
                <c:ptCount val="1"/>
                <c:pt idx="0">
                  <c:v>169.31376924669715</c:v>
                </c:pt>
              </c:numCache>
            </c:numRef>
          </c:xVal>
          <c:yVal>
            <c:numRef>
              <c:f>CCM_Loop_Modeling_Isolated!$AW$12</c:f>
              <c:numCache>
                <c:formatCode>0.000</c:formatCode>
                <c:ptCount val="1"/>
                <c:pt idx="0">
                  <c:v>10.165574261864139</c:v>
                </c:pt>
              </c:numCache>
            </c:numRef>
          </c:yVal>
          <c:smooth val="1"/>
          <c:extLst>
            <c:ext xmlns:c16="http://schemas.microsoft.com/office/drawing/2014/chart" uri="{C3380CC4-5D6E-409C-BE32-E72D297353CC}">
              <c16:uniqueId val="{00000008-2860-4C4C-B618-5424CA982335}"/>
            </c:ext>
          </c:extLst>
        </c:ser>
        <c:dLbls>
          <c:showLegendKey val="0"/>
          <c:showVal val="0"/>
          <c:showCatName val="0"/>
          <c:showSerName val="0"/>
          <c:showPercent val="0"/>
          <c:showBubbleSize val="0"/>
        </c:dLbls>
        <c:axId val="377478144"/>
        <c:axId val="377496704"/>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CCM_Loop_Modeling_Isolated!$AX$19:$AX$560</c:f>
              <c:numCache>
                <c:formatCode>General</c:formatCode>
                <c:ptCount val="542"/>
                <c:pt idx="0">
                  <c:v>119.52248091304357</c:v>
                </c:pt>
                <c:pt idx="1">
                  <c:v>119.03743761941828</c:v>
                </c:pt>
                <c:pt idx="2">
                  <c:v>118.55381267237401</c:v>
                </c:pt>
                <c:pt idx="3">
                  <c:v>118.07192594787968</c:v>
                </c:pt>
                <c:pt idx="4">
                  <c:v>117.59208484557404</c:v>
                </c:pt>
                <c:pt idx="5">
                  <c:v>117.11458398318609</c:v>
                </c:pt>
                <c:pt idx="6">
                  <c:v>116.63970494872379</c:v>
                </c:pt>
                <c:pt idx="7">
                  <c:v>116.16771610953971</c:v>
                </c:pt>
                <c:pt idx="8">
                  <c:v>115.69887247696825</c:v>
                </c:pt>
                <c:pt idx="9">
                  <c:v>115.23341562484823</c:v>
                </c:pt>
                <c:pt idx="10">
                  <c:v>114.77157365991413</c:v>
                </c:pt>
                <c:pt idx="11">
                  <c:v>114.31356124173077</c:v>
                </c:pt>
                <c:pt idx="12">
                  <c:v>113.85957964960983</c:v>
                </c:pt>
                <c:pt idx="13">
                  <c:v>113.40981689371849</c:v>
                </c:pt>
                <c:pt idx="14">
                  <c:v>112.96444786743832</c:v>
                </c:pt>
                <c:pt idx="15">
                  <c:v>112.52363453789842</c:v>
                </c:pt>
                <c:pt idx="16">
                  <c:v>112.08752617152035</c:v>
                </c:pt>
                <c:pt idx="17">
                  <c:v>111.65625959137265</c:v>
                </c:pt>
                <c:pt idx="18">
                  <c:v>111.22995946311033</c:v>
                </c:pt>
                <c:pt idx="19">
                  <c:v>110.80873860630007</c:v>
                </c:pt>
                <c:pt idx="20">
                  <c:v>110.39269832797892</c:v>
                </c:pt>
                <c:pt idx="21">
                  <c:v>109.98192877537068</c:v>
                </c:pt>
                <c:pt idx="22">
                  <c:v>109.57650930477851</c:v>
                </c:pt>
                <c:pt idx="23">
                  <c:v>109.17650886379172</c:v>
                </c:pt>
                <c:pt idx="24">
                  <c:v>108.78198638407865</c:v>
                </c:pt>
                <c:pt idx="25">
                  <c:v>108.39299118217805</c:v>
                </c:pt>
                <c:pt idx="26">
                  <c:v>108.00956336586326</c:v>
                </c:pt>
                <c:pt idx="27">
                  <c:v>107.63173424381537</c:v>
                </c:pt>
                <c:pt idx="28">
                  <c:v>107.25952673650215</c:v>
                </c:pt>
                <c:pt idx="29">
                  <c:v>106.89295578634406</c:v>
                </c:pt>
                <c:pt idx="30">
                  <c:v>106.53202876540041</c:v>
                </c:pt>
                <c:pt idx="31">
                  <c:v>106.17674587899309</c:v>
                </c:pt>
                <c:pt idx="32">
                  <c:v>105.8271005638417</c:v>
                </c:pt>
                <c:pt idx="33">
                  <c:v>105.48307987944624</c:v>
                </c:pt>
                <c:pt idx="34">
                  <c:v>105.14466489161011</c:v>
                </c:pt>
                <c:pt idx="35">
                  <c:v>104.81183104713976</c:v>
                </c:pt>
                <c:pt idx="36">
                  <c:v>104.48454853890318</c:v>
                </c:pt>
                <c:pt idx="37">
                  <c:v>104.16278266055866</c:v>
                </c:pt>
                <c:pt idx="38">
                  <c:v>103.84649415038824</c:v>
                </c:pt>
                <c:pt idx="39">
                  <c:v>103.53563952378911</c:v>
                </c:pt>
                <c:pt idx="40">
                  <c:v>103.23017139408091</c:v>
                </c:pt>
                <c:pt idx="41">
                  <c:v>102.93003878138201</c:v>
                </c:pt>
                <c:pt idx="42">
                  <c:v>102.63518740940555</c:v>
                </c:pt>
                <c:pt idx="43">
                  <c:v>102.34555999009666</c:v>
                </c:pt>
                <c:pt idx="44">
                  <c:v>102.06109649611174</c:v>
                </c:pt>
                <c:pt idx="45">
                  <c:v>101.78173442120531</c:v>
                </c:pt>
                <c:pt idx="46">
                  <c:v>101.50740902864261</c:v>
                </c:pt>
                <c:pt idx="47">
                  <c:v>101.23805358781362</c:v>
                </c:pt>
                <c:pt idx="48">
                  <c:v>100.97359959926033</c:v>
                </c:pt>
                <c:pt idx="49">
                  <c:v>100.71397700837348</c:v>
                </c:pt>
                <c:pt idx="50">
                  <c:v>100.4591144080391</c:v>
                </c:pt>
                <c:pt idx="51">
                  <c:v>100.20893923054973</c:v>
                </c:pt>
                <c:pt idx="52">
                  <c:v>99.963377929107565</c:v>
                </c:pt>
                <c:pt idx="53">
                  <c:v>99.72235614926926</c:v>
                </c:pt>
                <c:pt idx="54">
                  <c:v>99.485798890692436</c:v>
                </c:pt>
                <c:pt idx="55">
                  <c:v>99.25363065954943</c:v>
                </c:pt>
                <c:pt idx="56">
                  <c:v>99.025775611984173</c:v>
                </c:pt>
                <c:pt idx="57">
                  <c:v>98.802157688982547</c:v>
                </c:pt>
                <c:pt idx="58">
                  <c:v>98.582700743032518</c:v>
                </c:pt>
                <c:pt idx="59">
                  <c:v>98.36732865693989</c:v>
                </c:pt>
                <c:pt idx="60">
                  <c:v>98.155965455161336</c:v>
                </c:pt>
                <c:pt idx="61">
                  <c:v>97.94853540801094</c:v>
                </c:pt>
                <c:pt idx="62">
                  <c:v>97.744963129080446</c:v>
                </c:pt>
                <c:pt idx="63">
                  <c:v>97.545173666205656</c:v>
                </c:pt>
                <c:pt idx="64">
                  <c:v>97.349092586295043</c:v>
                </c:pt>
                <c:pt idx="65">
                  <c:v>97.156646054324455</c:v>
                </c:pt>
                <c:pt idx="66">
                  <c:v>96.967760906781805</c:v>
                </c:pt>
                <c:pt idx="67">
                  <c:v>96.782364719833126</c:v>
                </c:pt>
                <c:pt idx="68">
                  <c:v>96.600385872459114</c:v>
                </c:pt>
                <c:pt idx="69">
                  <c:v>96.42175360479564</c:v>
                </c:pt>
                <c:pt idx="70">
                  <c:v>96.246398071889871</c:v>
                </c:pt>
                <c:pt idx="71">
                  <c:v>96.074250393066293</c:v>
                </c:pt>
                <c:pt idx="72">
                  <c:v>95.905242697074243</c:v>
                </c:pt>
                <c:pt idx="73">
                  <c:v>95.739308163170037</c:v>
                </c:pt>
                <c:pt idx="74">
                  <c:v>95.576381058264786</c:v>
                </c:pt>
                <c:pt idx="75">
                  <c:v>95.416396770249875</c:v>
                </c:pt>
                <c:pt idx="76">
                  <c:v>95.259291837588961</c:v>
                </c:pt>
                <c:pt idx="77">
                  <c:v>95.105003975250682</c:v>
                </c:pt>
                <c:pt idx="78">
                  <c:v>94.953472097030755</c:v>
                </c:pt>
                <c:pt idx="79">
                  <c:v>94.804636334295765</c:v>
                </c:pt>
                <c:pt idx="80">
                  <c:v>94.658438051165632</c:v>
                </c:pt>
                <c:pt idx="81">
                  <c:v>94.514819856130856</c:v>
                </c:pt>
                <c:pt idx="82">
                  <c:v>94.373725610088144</c:v>
                </c:pt>
                <c:pt idx="83">
                  <c:v>94.235100430761634</c:v>
                </c:pt>
                <c:pt idx="84">
                  <c:v>94.098890693468789</c:v>
                </c:pt>
                <c:pt idx="85">
                  <c:v>93.965044028175171</c:v>
                </c:pt>
                <c:pt idx="86">
                  <c:v>93.833509312780308</c:v>
                </c:pt>
                <c:pt idx="87">
                  <c:v>93.704236662565691</c:v>
                </c:pt>
                <c:pt idx="88">
                  <c:v>93.577177415741161</c:v>
                </c:pt>
                <c:pt idx="89">
                  <c:v>93.452284115020092</c:v>
                </c:pt>
                <c:pt idx="90">
                  <c:v>93.329510485163738</c:v>
                </c:pt>
                <c:pt idx="91">
                  <c:v>93.20881140643813</c:v>
                </c:pt>
                <c:pt idx="92">
                  <c:v>93.090142883944779</c:v>
                </c:pt>
                <c:pt idx="93">
                  <c:v>92.973462012796844</c:v>
                </c:pt>
                <c:pt idx="94">
                  <c:v>92.858726939132183</c:v>
                </c:pt>
                <c:pt idx="95">
                  <c:v>92.745896816984583</c:v>
                </c:pt>
                <c:pt idx="96">
                  <c:v>92.634931761050055</c:v>
                </c:pt>
                <c:pt idx="97">
                  <c:v>92.525792795429183</c:v>
                </c:pt>
                <c:pt idx="98">
                  <c:v>92.418441798451184</c:v>
                </c:pt>
                <c:pt idx="99">
                  <c:v>92.312841443724935</c:v>
                </c:pt>
                <c:pt idx="100">
                  <c:v>92.208955137606623</c:v>
                </c:pt>
                <c:pt idx="101">
                  <c:v>92.106746953309113</c:v>
                </c:pt>
                <c:pt idx="102">
                  <c:v>92.006181561927335</c:v>
                </c:pt>
                <c:pt idx="103">
                  <c:v>91.907224160693175</c:v>
                </c:pt>
                <c:pt idx="104">
                  <c:v>91.809840398823283</c:v>
                </c:pt>
                <c:pt idx="105">
                  <c:v>91.713996301358847</c:v>
                </c:pt>
                <c:pt idx="106">
                  <c:v>91.61965819144541</c:v>
                </c:pt>
                <c:pt idx="107">
                  <c:v>91.526792611532628</c:v>
                </c:pt>
                <c:pt idx="108">
                  <c:v>91.435366244010311</c:v>
                </c:pt>
                <c:pt idx="109">
                  <c:v>91.345345831826904</c:v>
                </c:pt>
                <c:pt idx="110">
                  <c:v>91.256698099660468</c:v>
                </c:pt>
                <c:pt idx="111">
                  <c:v>91.16938967622383</c:v>
                </c:pt>
                <c:pt idx="112">
                  <c:v>91.083387018300584</c:v>
                </c:pt>
                <c:pt idx="113">
                  <c:v>90.998656337108343</c:v>
                </c:pt>
                <c:pt idx="114">
                  <c:v>90.915163527572801</c:v>
                </c:pt>
                <c:pt idx="115">
                  <c:v>90.832874101083746</c:v>
                </c:pt>
                <c:pt idx="116">
                  <c:v>90.751753122280732</c:v>
                </c:pt>
                <c:pt idx="117">
                  <c:v>90.671765150372011</c:v>
                </c:pt>
                <c:pt idx="118">
                  <c:v>90.592874185457759</c:v>
                </c:pt>
                <c:pt idx="119">
                  <c:v>90.515043620267846</c:v>
                </c:pt>
                <c:pt idx="120">
                  <c:v>90.438236197672012</c:v>
                </c:pt>
                <c:pt idx="121">
                  <c:v>90.362413974248881</c:v>
                </c:pt>
                <c:pt idx="122">
                  <c:v>90.287538290135004</c:v>
                </c:pt>
                <c:pt idx="123">
                  <c:v>90.213569745298528</c:v>
                </c:pt>
                <c:pt idx="124">
                  <c:v>90.14046818229852</c:v>
                </c:pt>
                <c:pt idx="125">
                  <c:v>90.068192675526078</c:v>
                </c:pt>
                <c:pt idx="126">
                  <c:v>89.99670152683035</c:v>
                </c:pt>
                <c:pt idx="127">
                  <c:v>89.925952267362561</c:v>
                </c:pt>
                <c:pt idx="128">
                  <c:v>89.855901665401149</c:v>
                </c:pt>
                <c:pt idx="129">
                  <c:v>89.786505739850611</c:v>
                </c:pt>
                <c:pt idx="130">
                  <c:v>89.717719779033189</c:v>
                </c:pt>
                <c:pt idx="131">
                  <c:v>89.649498364355296</c:v>
                </c:pt>
                <c:pt idx="132">
                  <c:v>89.581795398365657</c:v>
                </c:pt>
                <c:pt idx="133">
                  <c:v>89.51456413669672</c:v>
                </c:pt>
                <c:pt idx="134">
                  <c:v>89.447757223333895</c:v>
                </c:pt>
                <c:pt idx="135">
                  <c:v>89.381326728649924</c:v>
                </c:pt>
                <c:pt idx="136">
                  <c:v>89.315224189621347</c:v>
                </c:pt>
                <c:pt idx="137">
                  <c:v>89.249400651643327</c:v>
                </c:pt>
                <c:pt idx="138">
                  <c:v>89.183806711363459</c:v>
                </c:pt>
                <c:pt idx="139">
                  <c:v>89.118392559965841</c:v>
                </c:pt>
                <c:pt idx="140">
                  <c:v>89.053108026364541</c:v>
                </c:pt>
                <c:pt idx="141">
                  <c:v>88.987902619782957</c:v>
                </c:pt>
                <c:pt idx="142">
                  <c:v>88.922725571239766</c:v>
                </c:pt>
                <c:pt idx="143">
                  <c:v>88.857525873488086</c:v>
                </c:pt>
                <c:pt idx="144">
                  <c:v>88.792252319005058</c:v>
                </c:pt>
                <c:pt idx="145">
                  <c:v>88.72685353567249</c:v>
                </c:pt>
                <c:pt idx="146">
                  <c:v>88.661278019828487</c:v>
                </c:pt>
                <c:pt idx="147">
                  <c:v>88.595474166424736</c:v>
                </c:pt>
                <c:pt idx="148">
                  <c:v>88.529390296070616</c:v>
                </c:pt>
                <c:pt idx="149">
                  <c:v>88.462974678784661</c:v>
                </c:pt>
                <c:pt idx="150">
                  <c:v>88.396175554327442</c:v>
                </c:pt>
                <c:pt idx="151">
                  <c:v>88.328941149029234</c:v>
                </c:pt>
                <c:pt idx="152">
                  <c:v>88.261219689064617</c:v>
                </c:pt>
                <c:pt idx="153">
                  <c:v>88.192959410167902</c:v>
                </c:pt>
                <c:pt idx="154">
                  <c:v>88.124108563812101</c:v>
                </c:pt>
                <c:pt idx="155">
                  <c:v>88.054615419909496</c:v>
                </c:pt>
                <c:pt idx="156">
                  <c:v>87.984428266119266</c:v>
                </c:pt>
                <c:pt idx="157">
                  <c:v>87.913495403865369</c:v>
                </c:pt>
                <c:pt idx="158">
                  <c:v>87.841765141196689</c:v>
                </c:pt>
                <c:pt idx="159">
                  <c:v>87.769185782629805</c:v>
                </c:pt>
                <c:pt idx="160">
                  <c:v>87.695705616134106</c:v>
                </c:pt>
                <c:pt idx="161">
                  <c:v>87.621272897425328</c:v>
                </c:pt>
                <c:pt idx="162">
                  <c:v>87.545835831743275</c:v>
                </c:pt>
                <c:pt idx="163">
                  <c:v>87.469342553292833</c:v>
                </c:pt>
                <c:pt idx="164">
                  <c:v>87.391741102527831</c:v>
                </c:pt>
                <c:pt idx="165">
                  <c:v>87.312979401462442</c:v>
                </c:pt>
                <c:pt idx="166">
                  <c:v>87.23300522718624</c:v>
                </c:pt>
                <c:pt idx="167">
                  <c:v>87.151766183761566</c:v>
                </c:pt>
                <c:pt idx="168">
                  <c:v>87.069209672672073</c:v>
                </c:pt>
                <c:pt idx="169">
                  <c:v>86.985282861989603</c:v>
                </c:pt>
                <c:pt idx="170">
                  <c:v>86.899932654416418</c:v>
                </c:pt>
                <c:pt idx="171">
                  <c:v>86.813105654354459</c:v>
                </c:pt>
                <c:pt idx="172">
                  <c:v>86.724748134143255</c:v>
                </c:pt>
                <c:pt idx="173">
                  <c:v>86.634805999603557</c:v>
                </c:pt>
                <c:pt idx="174">
                  <c:v>86.543224755010613</c:v>
                </c:pt>
                <c:pt idx="175">
                  <c:v>86.44994946761696</c:v>
                </c:pt>
                <c:pt idx="176">
                  <c:v>86.354924731832583</c:v>
                </c:pt>
                <c:pt idx="177">
                  <c:v>86.258094633167801</c:v>
                </c:pt>
                <c:pt idx="178">
                  <c:v>86.159402712029618</c:v>
                </c:pt>
                <c:pt idx="179">
                  <c:v>86.058791927460788</c:v>
                </c:pt>
                <c:pt idx="180">
                  <c:v>85.956204620901801</c:v>
                </c:pt>
                <c:pt idx="181">
                  <c:v>85.851582480050226</c:v>
                </c:pt>
                <c:pt idx="182">
                  <c:v>85.744866502885557</c:v>
                </c:pt>
                <c:pt idx="183">
                  <c:v>85.635996961924349</c:v>
                </c:pt>
                <c:pt idx="184">
                  <c:v>85.52491336876362</c:v>
                </c:pt>
                <c:pt idx="185">
                  <c:v>85.411554438969276</c:v>
                </c:pt>
                <c:pt idx="186">
                  <c:v>85.295858057360817</c:v>
                </c:pt>
                <c:pt idx="187">
                  <c:v>85.177761243742509</c:v>
                </c:pt>
                <c:pt idx="188">
                  <c:v>85.05720011912895</c:v>
                </c:pt>
                <c:pt idx="189">
                  <c:v>84.934109872510788</c:v>
                </c:pt>
                <c:pt idx="190">
                  <c:v>84.808424728206703</c:v>
                </c:pt>
                <c:pt idx="191">
                  <c:v>84.680077913847313</c:v>
                </c:pt>
                <c:pt idx="192">
                  <c:v>84.54900162903607</c:v>
                </c:pt>
                <c:pt idx="193">
                  <c:v>84.415127014734622</c:v>
                </c:pt>
                <c:pt idx="194">
                  <c:v>84.278384123421489</c:v>
                </c:pt>
                <c:pt idx="195">
                  <c:v>84.138701890072909</c:v>
                </c:pt>
                <c:pt idx="196">
                  <c:v>83.99600810402076</c:v>
                </c:pt>
                <c:pt idx="197">
                  <c:v>83.850229381742409</c:v>
                </c:pt>
                <c:pt idx="198">
                  <c:v>83.701291140642695</c:v>
                </c:pt>
                <c:pt idx="199">
                  <c:v>83.549117573891692</c:v>
                </c:pt>
                <c:pt idx="200">
                  <c:v>83.393631626387133</c:v>
                </c:pt>
                <c:pt idx="201">
                  <c:v>83.234754971914242</c:v>
                </c:pt>
                <c:pt idx="202">
                  <c:v>83.072407991582438</c:v>
                </c:pt>
                <c:pt idx="203">
                  <c:v>82.906509753623538</c:v>
                </c:pt>
                <c:pt idx="204">
                  <c:v>82.736977994643382</c:v>
                </c:pt>
                <c:pt idx="205">
                  <c:v>82.56372910242402</c:v>
                </c:pt>
                <c:pt idx="206">
                  <c:v>82.386678100383648</c:v>
                </c:pt>
                <c:pt idx="207">
                  <c:v>82.205738633805225</c:v>
                </c:pt>
                <c:pt idx="208">
                  <c:v>82.020822957957733</c:v>
                </c:pt>
                <c:pt idx="209">
                  <c:v>81.831841928238006</c:v>
                </c:pt>
                <c:pt idx="210">
                  <c:v>81.638704992473194</c:v>
                </c:pt>
                <c:pt idx="211">
                  <c:v>81.441320185531936</c:v>
                </c:pt>
                <c:pt idx="212">
                  <c:v>81.239594126401272</c:v>
                </c:pt>
                <c:pt idx="213">
                  <c:v>81.033432017899173</c:v>
                </c:pt>
                <c:pt idx="214">
                  <c:v>80.82273764920015</c:v>
                </c:pt>
                <c:pt idx="215">
                  <c:v>80.607413401362109</c:v>
                </c:pt>
                <c:pt idx="216">
                  <c:v>80.387360256057832</c:v>
                </c:pt>
                <c:pt idx="217">
                  <c:v>80.162477807718957</c:v>
                </c:pt>
                <c:pt idx="218">
                  <c:v>79.932664279318573</c:v>
                </c:pt>
                <c:pt idx="219">
                  <c:v>79.697816542025109</c:v>
                </c:pt>
                <c:pt idx="220">
                  <c:v>79.457830138974813</c:v>
                </c:pt>
                <c:pt idx="221">
                  <c:v>79.212599313421649</c:v>
                </c:pt>
                <c:pt idx="222">
                  <c:v>78.962017041532974</c:v>
                </c:pt>
                <c:pt idx="223">
                  <c:v>78.705975070114434</c:v>
                </c:pt>
                <c:pt idx="224">
                  <c:v>78.444363959556952</c:v>
                </c:pt>
                <c:pt idx="225">
                  <c:v>78.177073132308834</c:v>
                </c:pt>
                <c:pt idx="226">
                  <c:v>77.903990927189014</c:v>
                </c:pt>
                <c:pt idx="227">
                  <c:v>77.625004659867571</c:v>
                </c:pt>
                <c:pt idx="228">
                  <c:v>77.340000689847074</c:v>
                </c:pt>
                <c:pt idx="229">
                  <c:v>77.048864494285695</c:v>
                </c:pt>
                <c:pt idx="230">
                  <c:v>76.751480749018583</c:v>
                </c:pt>
                <c:pt idx="231">
                  <c:v>76.447733417127594</c:v>
                </c:pt>
                <c:pt idx="232">
                  <c:v>76.137505845425721</c:v>
                </c:pt>
                <c:pt idx="233">
                  <c:v>75.820680869217028</c:v>
                </c:pt>
                <c:pt idx="234">
                  <c:v>75.497140925700705</c:v>
                </c:pt>
                <c:pt idx="235">
                  <c:v>75.166768176379847</c:v>
                </c:pt>
                <c:pt idx="236">
                  <c:v>74.829444638836108</c:v>
                </c:pt>
                <c:pt idx="237">
                  <c:v>74.485052328223517</c:v>
                </c:pt>
                <c:pt idx="238">
                  <c:v>74.133473408821999</c:v>
                </c:pt>
                <c:pt idx="239">
                  <c:v>73.77459035598109</c:v>
                </c:pt>
                <c:pt idx="240">
                  <c:v>73.40828612876247</c:v>
                </c:pt>
                <c:pt idx="241">
                  <c:v>73.034444353568333</c:v>
                </c:pt>
                <c:pt idx="242">
                  <c:v>72.652949519019629</c:v>
                </c:pt>
                <c:pt idx="243">
                  <c:v>72.263687182306754</c:v>
                </c:pt>
                <c:pt idx="244">
                  <c:v>71.866544187204497</c:v>
                </c:pt>
                <c:pt idx="245">
                  <c:v>71.461408893894941</c:v>
                </c:pt>
                <c:pt idx="246">
                  <c:v>71.048171420691133</c:v>
                </c:pt>
                <c:pt idx="247">
                  <c:v>70.62672389769466</c:v>
                </c:pt>
                <c:pt idx="248">
                  <c:v>70.196960732357724</c:v>
                </c:pt>
                <c:pt idx="249">
                  <c:v>69.758778886843544</c:v>
                </c:pt>
                <c:pt idx="250">
                  <c:v>69.312078166997551</c:v>
                </c:pt>
                <c:pt idx="251">
                  <c:v>68.856761522655532</c:v>
                </c:pt>
                <c:pt idx="252">
                  <c:v>68.39273535890861</c:v>
                </c:pt>
                <c:pt idx="253">
                  <c:v>67.919909857848324</c:v>
                </c:pt>
                <c:pt idx="254">
                  <c:v>67.43819931018831</c:v>
                </c:pt>
                <c:pt idx="255">
                  <c:v>66.947522456042435</c:v>
                </c:pt>
                <c:pt idx="256">
                  <c:v>66.447802834006382</c:v>
                </c:pt>
                <c:pt idx="257">
                  <c:v>65.93896913754007</c:v>
                </c:pt>
                <c:pt idx="258">
                  <c:v>65.420955577516736</c:v>
                </c:pt>
                <c:pt idx="259">
                  <c:v>64.89370224963335</c:v>
                </c:pt>
                <c:pt idx="260">
                  <c:v>64.357155505229528</c:v>
                </c:pt>
                <c:pt idx="261">
                  <c:v>63.81126832389414</c:v>
                </c:pt>
                <c:pt idx="262">
                  <c:v>63.256000686067509</c:v>
                </c:pt>
                <c:pt idx="263">
                  <c:v>62.691319943688342</c:v>
                </c:pt>
                <c:pt idx="264">
                  <c:v>62.11720118675499</c:v>
                </c:pt>
                <c:pt idx="265">
                  <c:v>61.533627603520472</c:v>
                </c:pt>
                <c:pt idx="266">
                  <c:v>60.940590831865357</c:v>
                </c:pt>
                <c:pt idx="267">
                  <c:v>60.338091299252113</c:v>
                </c:pt>
                <c:pt idx="268">
                  <c:v>59.726138548521838</c:v>
                </c:pt>
                <c:pt idx="269">
                  <c:v>59.104751546657994</c:v>
                </c:pt>
                <c:pt idx="270">
                  <c:v>58.473958973546161</c:v>
                </c:pt>
                <c:pt idx="271">
                  <c:v>57.833799487651333</c:v>
                </c:pt>
                <c:pt idx="272">
                  <c:v>57.184321965484671</c:v>
                </c:pt>
                <c:pt idx="273">
                  <c:v>56.525585711671539</c:v>
                </c:pt>
                <c:pt idx="274">
                  <c:v>55.857660636443711</c:v>
                </c:pt>
                <c:pt idx="275">
                  <c:v>55.180627397381151</c:v>
                </c:pt>
                <c:pt idx="276">
                  <c:v>54.494577502300992</c:v>
                </c:pt>
                <c:pt idx="277">
                  <c:v>53.799613370285584</c:v>
                </c:pt>
                <c:pt idx="278">
                  <c:v>53.095848347969657</c:v>
                </c:pt>
                <c:pt idx="279">
                  <c:v>52.383406678404945</c:v>
                </c:pt>
                <c:pt idx="280">
                  <c:v>51.662423420021668</c:v>
                </c:pt>
                <c:pt idx="281">
                  <c:v>50.933044313490811</c:v>
                </c:pt>
                <c:pt idx="282">
                  <c:v>50.195425594590056</c:v>
                </c:pt>
                <c:pt idx="283">
                  <c:v>49.44973375152987</c:v>
                </c:pt>
                <c:pt idx="284">
                  <c:v>48.696145225589227</c:v>
                </c:pt>
                <c:pt idx="285">
                  <c:v>47.934846054331686</c:v>
                </c:pt>
                <c:pt idx="286">
                  <c:v>47.166031457140825</c:v>
                </c:pt>
                <c:pt idx="287">
                  <c:v>46.389905363289365</c:v>
                </c:pt>
                <c:pt idx="288">
                  <c:v>45.606679883278616</c:v>
                </c:pt>
                <c:pt idx="289">
                  <c:v>44.816574724697702</c:v>
                </c:pt>
                <c:pt idx="290">
                  <c:v>44.019816554391902</c:v>
                </c:pt>
                <c:pt idx="291">
                  <c:v>43.21663830926267</c:v>
                </c:pt>
                <c:pt idx="292">
                  <c:v>42.407278458541533</c:v>
                </c:pt>
                <c:pt idx="293">
                  <c:v>41.591980220896502</c:v>
                </c:pt>
                <c:pt idx="294">
                  <c:v>40.770990740214081</c:v>
                </c:pt>
                <c:pt idx="295">
                  <c:v>39.944560224349026</c:v>
                </c:pt>
                <c:pt idx="296">
                  <c:v>39.112941051549328</c:v>
                </c:pt>
                <c:pt idx="297">
                  <c:v>38.276386849630597</c:v>
                </c:pt>
                <c:pt idx="298">
                  <c:v>37.435151553276725</c:v>
                </c:pt>
                <c:pt idx="299">
                  <c:v>36.589488445101516</c:v>
                </c:pt>
                <c:pt idx="300">
                  <c:v>35.739649186285504</c:v>
                </c:pt>
                <c:pt idx="301">
                  <c:v>34.885882842717052</c:v>
                </c:pt>
                <c:pt idx="302">
                  <c:v>34.028434912620405</c:v>
                </c:pt>
                <c:pt idx="303">
                  <c:v>33.167546361615706</c:v>
                </c:pt>
                <c:pt idx="304">
                  <c:v>32.303452671069422</c:v>
                </c:pt>
                <c:pt idx="305">
                  <c:v>31.436382905422519</c:v>
                </c:pt>
                <c:pt idx="306">
                  <c:v>30.566558803954351</c:v>
                </c:pt>
                <c:pt idx="307">
                  <c:v>29.694193902145297</c:v>
                </c:pt>
                <c:pt idx="308">
                  <c:v>28.819492687455067</c:v>
                </c:pt>
                <c:pt idx="309">
                  <c:v>27.942649793938088</c:v>
                </c:pt>
                <c:pt idx="310">
                  <c:v>27.06384923967121</c:v>
                </c:pt>
                <c:pt idx="311">
                  <c:v>26.183263710502501</c:v>
                </c:pt>
                <c:pt idx="312">
                  <c:v>25.301053893128856</c:v>
                </c:pt>
                <c:pt idx="313">
                  <c:v>24.417367859990893</c:v>
                </c:pt>
                <c:pt idx="314">
                  <c:v>23.53234050795318</c:v>
                </c:pt>
                <c:pt idx="315">
                  <c:v>22.646093052213203</c:v>
                </c:pt>
                <c:pt idx="316">
                  <c:v>21.758732576351864</c:v>
                </c:pt>
                <c:pt idx="317">
                  <c:v>20.870351638958176</c:v>
                </c:pt>
                <c:pt idx="318">
                  <c:v>19.981027936755229</c:v>
                </c:pt>
                <c:pt idx="319">
                  <c:v>19.090824023717907</c:v>
                </c:pt>
                <c:pt idx="320">
                  <c:v>18.19978708523869</c:v>
                </c:pt>
                <c:pt idx="321">
                  <c:v>17.307948766025177</c:v>
                </c:pt>
                <c:pt idx="322">
                  <c:v>16.415325050060872</c:v>
                </c:pt>
                <c:pt idx="323">
                  <c:v>15.521916190661495</c:v>
                </c:pt>
                <c:pt idx="324">
                  <c:v>14.627706688403046</c:v>
                </c:pt>
                <c:pt idx="325">
                  <c:v>13.732665314490644</c:v>
                </c:pt>
                <c:pt idx="326">
                  <c:v>12.836745176966891</c:v>
                </c:pt>
                <c:pt idx="327">
                  <c:v>11.939883827033796</c:v>
                </c:pt>
                <c:pt idx="328">
                  <c:v>11.042003402702459</c:v>
                </c:pt>
                <c:pt idx="329">
                  <c:v>10.143010806919133</c:v>
                </c:pt>
                <c:pt idx="330">
                  <c:v>9.2427979173607682</c:v>
                </c:pt>
                <c:pt idx="331">
                  <c:v>8.3412418250929328</c:v>
                </c:pt>
                <c:pt idx="332">
                  <c:v>7.438205099390828</c:v>
                </c:pt>
                <c:pt idx="333">
                  <c:v>6.5335360761115959</c:v>
                </c:pt>
                <c:pt idx="334">
                  <c:v>5.6270691671539428</c:v>
                </c:pt>
                <c:pt idx="335">
                  <c:v>4.7186251886949799</c:v>
                </c:pt>
                <c:pt idx="336">
                  <c:v>3.8080117060844874</c:v>
                </c:pt>
                <c:pt idx="337">
                  <c:v>2.8950233934699132</c:v>
                </c:pt>
                <c:pt idx="338">
                  <c:v>1.979442406460586</c:v>
                </c:pt>
                <c:pt idx="339">
                  <c:v>1.0610387663668681</c:v>
                </c:pt>
                <c:pt idx="340">
                  <c:v>0.13957075479645659</c:v>
                </c:pt>
                <c:pt idx="341">
                  <c:v>-0.7852146823458247</c:v>
                </c:pt>
                <c:pt idx="342">
                  <c:v>-1.7135815221435367</c:v>
                </c:pt>
                <c:pt idx="343">
                  <c:v>-2.6458042436530702</c:v>
                </c:pt>
                <c:pt idx="344">
                  <c:v>-3.5821673987212668</c:v>
                </c:pt>
                <c:pt idx="345">
                  <c:v>-4.522965174487986</c:v>
                </c:pt>
                <c:pt idx="346">
                  <c:v>-5.468500947128331</c:v>
                </c:pt>
                <c:pt idx="347">
                  <c:v>-6.4190868261054002</c:v>
                </c:pt>
                <c:pt idx="348">
                  <c:v>-7.3750431879129428</c:v>
                </c:pt>
                <c:pt idx="349">
                  <c:v>-8.3366981979803008</c:v>
                </c:pt>
                <c:pt idx="350">
                  <c:v>-9.3043873191266027</c:v>
                </c:pt>
                <c:pt idx="351">
                  <c:v>-10.278452804652938</c:v>
                </c:pt>
                <c:pt idx="352">
                  <c:v>-11.259243173857483</c:v>
                </c:pt>
                <c:pt idx="353">
                  <c:v>-12.247112667474527</c:v>
                </c:pt>
                <c:pt idx="354">
                  <c:v>-13.242420680242075</c:v>
                </c:pt>
                <c:pt idx="355">
                  <c:v>-14.24553116750366</c:v>
                </c:pt>
                <c:pt idx="356">
                  <c:v>-15.256812022491641</c:v>
                </c:pt>
                <c:pt idx="357">
                  <c:v>-16.276634420637482</c:v>
                </c:pt>
                <c:pt idx="358">
                  <c:v>-17.305372127011704</c:v>
                </c:pt>
                <c:pt idx="359">
                  <c:v>-18.343400762735861</c:v>
                </c:pt>
                <c:pt idx="360">
                  <c:v>-19.391097025984905</c:v>
                </c:pt>
                <c:pt idx="361">
                  <c:v>-20.448837862986775</c:v>
                </c:pt>
                <c:pt idx="362">
                  <c:v>-21.516999584255277</c:v>
                </c:pt>
                <c:pt idx="363">
                  <c:v>-22.595956921151746</c:v>
                </c:pt>
                <c:pt idx="364">
                  <c:v>-23.686082017777622</c:v>
                </c:pt>
                <c:pt idx="365">
                  <c:v>-24.787743353160618</c:v>
                </c:pt>
                <c:pt idx="366">
                  <c:v>-25.901304588734316</c:v>
                </c:pt>
                <c:pt idx="367">
                  <c:v>-27.027123336204873</c:v>
                </c:pt>
                <c:pt idx="368">
                  <c:v>-28.165549841109407</c:v>
                </c:pt>
                <c:pt idx="369">
                  <c:v>-29.31692557766986</c:v>
                </c:pt>
                <c:pt idx="370">
                  <c:v>-30.481581750969422</c:v>
                </c:pt>
                <c:pt idx="371">
                  <c:v>-31.659837703057644</c:v>
                </c:pt>
                <c:pt idx="372">
                  <c:v>-32.851999220295298</c:v>
                </c:pt>
                <c:pt idx="373">
                  <c:v>-34.058356740156668</c:v>
                </c:pt>
                <c:pt idx="374">
                  <c:v>-35.279183456788502</c:v>
                </c:pt>
                <c:pt idx="375">
                  <c:v>-36.514733325916126</c:v>
                </c:pt>
                <c:pt idx="376">
                  <c:v>-37.765238971197768</c:v>
                </c:pt>
                <c:pt idx="377">
                  <c:v>-39.03090949587564</c:v>
                </c:pt>
                <c:pt idx="378">
                  <c:v>-40.311928205550196</c:v>
                </c:pt>
                <c:pt idx="379">
                  <c:v>-41.608450250136116</c:v>
                </c:pt>
                <c:pt idx="380">
                  <c:v>-42.920600195512385</c:v>
                </c:pt>
                <c:pt idx="381">
                  <c:v>-44.248469538073486</c:v>
                </c:pt>
                <c:pt idx="382">
                  <c:v>-45.592114178280752</c:v>
                </c:pt>
                <c:pt idx="383">
                  <c:v>-46.951551872369109</c:v>
                </c:pt>
                <c:pt idx="384">
                  <c:v>-48.326759684563228</c:v>
                </c:pt>
                <c:pt idx="385">
                  <c:v>-49.717671465400095</c:v>
                </c:pt>
                <c:pt idx="386">
                  <c:v>-51.124175385021069</c:v>
                </c:pt>
                <c:pt idx="387">
                  <c:v>-52.546111553442145</c:v>
                </c:pt>
                <c:pt idx="388">
                  <c:v>-53.983269762779067</c:v>
                </c:pt>
                <c:pt idx="389">
                  <c:v>-55.435387389055684</c:v>
                </c:pt>
                <c:pt idx="390">
                  <c:v>-56.902147493450528</c:v>
                </c:pt>
                <c:pt idx="391">
                  <c:v>-58.383177164481097</c:v>
                </c:pt>
                <c:pt idx="392">
                  <c:v>-59.878046143582054</c:v>
                </c:pt>
                <c:pt idx="393">
                  <c:v>-61.386265776648138</c:v>
                </c:pt>
                <c:pt idx="394">
                  <c:v>-62.907288333255373</c:v>
                </c:pt>
                <c:pt idx="395">
                  <c:v>-64.440506733371592</c:v>
                </c:pt>
                <c:pt idx="396">
                  <c:v>-65.985254718274319</c:v>
                </c:pt>
                <c:pt idx="397">
                  <c:v>-67.540807498120216</c:v>
                </c:pt>
                <c:pt idx="398">
                  <c:v>-69.10638290309133</c:v>
                </c:pt>
                <c:pt idx="399">
                  <c:v>-70.681143058341661</c:v>
                </c:pt>
                <c:pt idx="400">
                  <c:v>-72.26419659513833</c:v>
                </c:pt>
                <c:pt idx="401">
                  <c:v>-73.85460140180065</c:v>
                </c:pt>
                <c:pt idx="402">
                  <c:v>-75.45136790843965</c:v>
                </c:pt>
                <c:pt idx="403">
                  <c:v>-77.053462889362009</c:v>
                </c:pt>
                <c:pt idx="404">
                  <c:v>-78.659813756580874</c:v>
                </c:pt>
                <c:pt idx="405">
                  <c:v>-80.269313307507957</c:v>
                </c:pt>
                <c:pt idx="406">
                  <c:v>-81.880824879914613</c:v>
                </c:pt>
                <c:pt idx="407">
                  <c:v>-83.493187857984523</c:v>
                </c:pt>
                <c:pt idx="408">
                  <c:v>-85.105223465091285</c:v>
                </c:pt>
                <c:pt idx="409">
                  <c:v>-86.715740772097703</c:v>
                </c:pt>
                <c:pt idx="410">
                  <c:v>-88.323542844776767</c:v>
                </c:pt>
                <c:pt idx="411">
                  <c:v>-89.927432950594834</c:v>
                </c:pt>
                <c:pt idx="412">
                  <c:v>-91.526220743702993</c:v>
                </c:pt>
                <c:pt idx="413">
                  <c:v>-93.118728347606606</c:v>
                </c:pt>
                <c:pt idx="414">
                  <c:v>-94.703796257627587</c:v>
                </c:pt>
                <c:pt idx="415">
                  <c:v>-96.280288989785191</c:v>
                </c:pt>
                <c:pt idx="416">
                  <c:v>-97.847100408969737</c:v>
                </c:pt>
                <c:pt idx="417">
                  <c:v>-99.403158676985669</c:v>
                </c:pt>
                <c:pt idx="418">
                  <c:v>-100.94743076994402</c:v>
                </c:pt>
                <c:pt idx="419">
                  <c:v>-102.4789265242139</c:v>
                </c:pt>
                <c:pt idx="420">
                  <c:v>-103.99670218041089</c:v>
                </c:pt>
                <c:pt idx="421">
                  <c:v>-105.49986340531515</c:v>
                </c:pt>
                <c:pt idx="422">
                  <c:v>-106.98756778187415</c:v>
                </c:pt>
                <c:pt idx="423">
                  <c:v>-108.45902676726948</c:v>
                </c:pt>
                <c:pt idx="424">
                  <c:v>-109.91350712809634</c:v>
                </c:pt>
                <c:pt idx="425">
                  <c:v>-111.3503318699177</c:v>
                </c:pt>
                <c:pt idx="426">
                  <c:v>-112.76888068553234</c:v>
                </c:pt>
                <c:pt idx="427">
                  <c:v>-114.16858995223552</c:v>
                </c:pt>
                <c:pt idx="428">
                  <c:v>-115.54895231306715</c:v>
                </c:pt>
                <c:pt idx="429">
                  <c:v>-116.90951588052526</c:v>
                </c:pt>
                <c:pt idx="430">
                  <c:v>-118.24988310349819</c:v>
                </c:pt>
                <c:pt idx="431">
                  <c:v>-119.56970933941005</c:v>
                </c:pt>
                <c:pt idx="432">
                  <c:v>-120.86870117371583</c:v>
                </c:pt>
                <c:pt idx="433">
                  <c:v>-122.14661452822712</c:v>
                </c:pt>
                <c:pt idx="434">
                  <c:v>-123.4032525982753</c:v>
                </c:pt>
                <c:pt idx="435">
                  <c:v>-124.63846365668397</c:v>
                </c:pt>
                <c:pt idx="436">
                  <c:v>-125.85213875997816</c:v>
                </c:pt>
                <c:pt idx="437">
                  <c:v>-127.04420938937601</c:v>
                </c:pt>
                <c:pt idx="438">
                  <c:v>-128.21464505600417</c:v>
                </c:pt>
                <c:pt idx="439">
                  <c:v>-129.36345089655177</c:v>
                </c:pt>
                <c:pt idx="440">
                  <c:v>-130.49066528231594</c:v>
                </c:pt>
                <c:pt idx="441">
                  <c:v>-131.59635746141345</c:v>
                </c:pt>
                <c:pt idx="442">
                  <c:v>-132.68062525082559</c:v>
                </c:pt>
                <c:pt idx="443">
                  <c:v>-133.74359279205638</c:v>
                </c:pt>
                <c:pt idx="444">
                  <c:v>-134.78540838146608</c:v>
                </c:pt>
                <c:pt idx="445">
                  <c:v>-135.80624238386844</c:v>
                </c:pt>
                <c:pt idx="446">
                  <c:v>-136.80628523575422</c:v>
                </c:pt>
                <c:pt idx="447">
                  <c:v>-137.78574554252606</c:v>
                </c:pt>
                <c:pt idx="448">
                  <c:v>-138.74484827239797</c:v>
                </c:pt>
                <c:pt idx="449">
                  <c:v>-139.68383304813642</c:v>
                </c:pt>
                <c:pt idx="450">
                  <c:v>-140.60295253655701</c:v>
                </c:pt>
                <c:pt idx="451">
                  <c:v>-141.50247093465788</c:v>
                </c:pt>
                <c:pt idx="452">
                  <c:v>-142.38266255042578</c:v>
                </c:pt>
                <c:pt idx="453">
                  <c:v>-143.24381047568701</c:v>
                </c:pt>
                <c:pt idx="454">
                  <c:v>-144.08620534786667</c:v>
                </c:pt>
                <c:pt idx="455">
                  <c:v>-144.91014419716095</c:v>
                </c:pt>
                <c:pt idx="456">
                  <c:v>-145.71592937535803</c:v>
                </c:pt>
                <c:pt idx="457">
                  <c:v>-146.50386756242034</c:v>
                </c:pt>
                <c:pt idx="458">
                  <c:v>-147.27426884685801</c:v>
                </c:pt>
                <c:pt idx="459">
                  <c:v>-148.02744587592943</c:v>
                </c:pt>
                <c:pt idx="460">
                  <c:v>-148.76371307176942</c:v>
                </c:pt>
                <c:pt idx="461">
                  <c:v>-149.4833859096363</c:v>
                </c:pt>
                <c:pt idx="462">
                  <c:v>-150.18678025460429</c:v>
                </c:pt>
                <c:pt idx="463">
                  <c:v>-150.87421175317462</c:v>
                </c:pt>
                <c:pt idx="464">
                  <c:v>-151.54599527644248</c:v>
                </c:pt>
                <c:pt idx="465">
                  <c:v>-152.20244441163078</c:v>
                </c:pt>
                <c:pt idx="466">
                  <c:v>-152.84387099897268</c:v>
                </c:pt>
                <c:pt idx="467">
                  <c:v>-153.47058471109708</c:v>
                </c:pt>
                <c:pt idx="468">
                  <c:v>-154.0828926722279</c:v>
                </c:pt>
                <c:pt idx="469">
                  <c:v>-154.68109911468338</c:v>
                </c:pt>
                <c:pt idx="470">
                  <c:v>-155.26550507029108</c:v>
                </c:pt>
                <c:pt idx="471">
                  <c:v>-155.83640809448423</c:v>
                </c:pt>
                <c:pt idx="472">
                  <c:v>-156.39410202097392</c:v>
                </c:pt>
                <c:pt idx="473">
                  <c:v>-156.93887674500957</c:v>
                </c:pt>
                <c:pt idx="474">
                  <c:v>-157.47101803334829</c:v>
                </c:pt>
                <c:pt idx="475">
                  <c:v>-157.99080735915962</c:v>
                </c:pt>
                <c:pt idx="476">
                  <c:v>-158.49852176017853</c:v>
                </c:pt>
                <c:pt idx="477">
                  <c:v>-158.99443371852126</c:v>
                </c:pt>
                <c:pt idx="478">
                  <c:v>-159.47881106063363</c:v>
                </c:pt>
                <c:pt idx="479">
                  <c:v>-159.95191687594038</c:v>
                </c:pt>
                <c:pt idx="480">
                  <c:v>-160.41400945282234</c:v>
                </c:pt>
                <c:pt idx="481">
                  <c:v>-160.86534223061221</c:v>
                </c:pt>
                <c:pt idx="482">
                  <c:v>-161.30616376636877</c:v>
                </c:pt>
                <c:pt idx="483">
                  <c:v>-161.73671771524758</c:v>
                </c:pt>
                <c:pt idx="484">
                  <c:v>-162.15724282334048</c:v>
                </c:pt>
                <c:pt idx="485">
                  <c:v>-162.56797293191542</c:v>
                </c:pt>
                <c:pt idx="486">
                  <c:v>-162.96913699204433</c:v>
                </c:pt>
                <c:pt idx="487">
                  <c:v>-163.36095908865414</c:v>
                </c:pt>
                <c:pt idx="488">
                  <c:v>-163.74365847309269</c:v>
                </c:pt>
                <c:pt idx="489">
                  <c:v>-164.11744960335017</c:v>
                </c:pt>
                <c:pt idx="490">
                  <c:v>-164.48254219112678</c:v>
                </c:pt>
                <c:pt idx="491">
                  <c:v>-164.83914125498558</c:v>
                </c:pt>
                <c:pt idx="492">
                  <c:v>-165.18744717887697</c:v>
                </c:pt>
                <c:pt idx="493">
                  <c:v>-165.52765577536712</c:v>
                </c:pt>
                <c:pt idx="494">
                  <c:v>-165.85995835294952</c:v>
                </c:pt>
                <c:pt idx="495">
                  <c:v>-166.18454178685985</c:v>
                </c:pt>
                <c:pt idx="496">
                  <c:v>-166.50158859285793</c:v>
                </c:pt>
                <c:pt idx="497">
                  <c:v>-166.81127700348281</c:v>
                </c:pt>
                <c:pt idx="498">
                  <c:v>-167.11378104632163</c:v>
                </c:pt>
                <c:pt idx="499">
                  <c:v>-167.40927062387618</c:v>
                </c:pt>
                <c:pt idx="500">
                  <c:v>-167.69791159464305</c:v>
                </c:pt>
                <c:pt idx="501">
                  <c:v>-167.97986585505726</c:v>
                </c:pt>
                <c:pt idx="502">
                  <c:v>-168.25529142198445</c:v>
                </c:pt>
                <c:pt idx="503">
                  <c:v>-168.52434251547402</c:v>
                </c:pt>
                <c:pt idx="504">
                  <c:v>-168.78716964151664</c:v>
                </c:pt>
                <c:pt idx="505">
                  <c:v>-169.04391967457454</c:v>
                </c:pt>
                <c:pt idx="506">
                  <c:v>-169.29473593968027</c:v>
                </c:pt>
                <c:pt idx="507">
                  <c:v>-169.53975829392093</c:v>
                </c:pt>
                <c:pt idx="508">
                  <c:v>-169.77912320714884</c:v>
                </c:pt>
                <c:pt idx="509">
                  <c:v>-170.01296384177795</c:v>
                </c:pt>
                <c:pt idx="510">
                  <c:v>-170.24141013154454</c:v>
                </c:pt>
                <c:pt idx="511">
                  <c:v>-170.46458885912801</c:v>
                </c:pt>
                <c:pt idx="512">
                  <c:v>-170.68262373254373</c:v>
                </c:pt>
                <c:pt idx="513">
                  <c:v>-170.89563546023368</c:v>
                </c:pt>
                <c:pt idx="514">
                  <c:v>-171.10374182479097</c:v>
                </c:pt>
                <c:pt idx="515">
                  <c:v>-171.30705775527295</c:v>
                </c:pt>
                <c:pt idx="516">
                  <c:v>-171.50569539806062</c:v>
                </c:pt>
                <c:pt idx="517">
                  <c:v>-171.69976418623577</c:v>
                </c:pt>
                <c:pt idx="518">
                  <c:v>-171.88937090745614</c:v>
                </c:pt>
                <c:pt idx="519">
                  <c:v>-172.07461977031377</c:v>
                </c:pt>
                <c:pt idx="520">
                  <c:v>-172.25561246917184</c:v>
                </c:pt>
                <c:pt idx="521">
                  <c:v>-172.43244824747779</c:v>
                </c:pt>
                <c:pt idx="522">
                  <c:v>-172.60522395955911</c:v>
                </c:pt>
                <c:pt idx="523">
                  <c:v>-172.77403413091056</c:v>
                </c:pt>
                <c:pt idx="524">
                  <c:v>-172.93897101698624</c:v>
                </c:pt>
                <c:pt idx="525">
                  <c:v>-173.10012466051404</c:v>
                </c:pt>
                <c:pt idx="526">
                  <c:v>-173.25758294735121</c:v>
                </c:pt>
                <c:pt idx="527">
                  <c:v>-173.41143166090475</c:v>
                </c:pt>
                <c:pt idx="528">
                  <c:v>-173.56175453513956</c:v>
                </c:pt>
                <c:pt idx="529">
                  <c:v>-173.70863330620264</c:v>
                </c:pt>
                <c:pt idx="530">
                  <c:v>-173.85214776268768</c:v>
                </c:pt>
                <c:pt idx="531">
                  <c:v>-173.99237579457204</c:v>
                </c:pt>
                <c:pt idx="532">
                  <c:v>-174.12939344085359</c:v>
                </c:pt>
                <c:pt idx="533">
                  <c:v>-174.26327493591739</c:v>
                </c:pt>
                <c:pt idx="534">
                  <c:v>-174.39409275466409</c:v>
                </c:pt>
                <c:pt idx="535">
                  <c:v>-174.52191765642928</c:v>
                </c:pt>
                <c:pt idx="536">
                  <c:v>-174.64681872772513</c:v>
                </c:pt>
                <c:pt idx="537">
                  <c:v>-174.76886342383511</c:v>
                </c:pt>
                <c:pt idx="538">
                  <c:v>-174.88811760929227</c:v>
                </c:pt>
                <c:pt idx="539">
                  <c:v>-175.00464559727098</c:v>
                </c:pt>
                <c:pt idx="540">
                  <c:v>-175.11851018792223</c:v>
                </c:pt>
                <c:pt idx="541">
                  <c:v>-175.22977270568131</c:v>
                </c:pt>
              </c:numCache>
            </c:numRef>
          </c:yVal>
          <c:smooth val="1"/>
          <c:extLst>
            <c:ext xmlns:c16="http://schemas.microsoft.com/office/drawing/2014/chart" uri="{C3380CC4-5D6E-409C-BE32-E72D297353CC}">
              <c16:uniqueId val="{00000009-2860-4C4C-B618-5424CA982335}"/>
            </c:ext>
          </c:extLst>
        </c:ser>
        <c:dLbls>
          <c:showLegendKey val="0"/>
          <c:showVal val="0"/>
          <c:showCatName val="0"/>
          <c:showSerName val="0"/>
          <c:showPercent val="0"/>
          <c:showBubbleSize val="0"/>
        </c:dLbls>
        <c:axId val="377513088"/>
        <c:axId val="377498624"/>
      </c:scatterChart>
      <c:valAx>
        <c:axId val="377478144"/>
        <c:scaling>
          <c:logBase val="10"/>
          <c:orientation val="minMax"/>
          <c:max val="2000000"/>
          <c:min val="10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377496704"/>
        <c:crosses val="autoZero"/>
        <c:crossBetween val="midCat"/>
      </c:valAx>
      <c:valAx>
        <c:axId val="377496704"/>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377478144"/>
        <c:crosses val="autoZero"/>
        <c:crossBetween val="midCat"/>
        <c:majorUnit val="20"/>
        <c:minorUnit val="10"/>
      </c:valAx>
      <c:valAx>
        <c:axId val="377498624"/>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377513088"/>
        <c:crosses val="max"/>
        <c:crossBetween val="midCat"/>
        <c:majorUnit val="90"/>
        <c:minorUnit val="45"/>
      </c:valAx>
      <c:valAx>
        <c:axId val="377513088"/>
        <c:scaling>
          <c:logBase val="10"/>
          <c:orientation val="minMax"/>
        </c:scaling>
        <c:delete val="1"/>
        <c:axPos val="b"/>
        <c:numFmt formatCode="0.00" sourceLinked="1"/>
        <c:majorTickMark val="out"/>
        <c:minorTickMark val="none"/>
        <c:tickLblPos val="nextTo"/>
        <c:crossAx val="377498624"/>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CCM_Loop_Modeling_non_isolated!$AD$19:$AD$560</c:f>
              <c:numCache>
                <c:formatCode>0.000</c:formatCode>
                <c:ptCount val="542"/>
                <c:pt idx="0">
                  <c:v>50.125780298418398</c:v>
                </c:pt>
                <c:pt idx="1">
                  <c:v>49.994028799794535</c:v>
                </c:pt>
                <c:pt idx="2">
                  <c:v>49.86022232113973</c:v>
                </c:pt>
                <c:pt idx="3">
                  <c:v>49.724392600175726</c:v>
                </c:pt>
                <c:pt idx="4">
                  <c:v>49.58657273929628</c:v>
                </c:pt>
                <c:pt idx="5">
                  <c:v>49.446797092308891</c:v>
                </c:pt>
                <c:pt idx="6">
                  <c:v>49.305101150090344</c:v>
                </c:pt>
                <c:pt idx="7">
                  <c:v>49.161521425875335</c:v>
                </c:pt>
                <c:pt idx="8">
                  <c:v>49.016095340866542</c:v>
                </c:pt>
                <c:pt idx="9">
                  <c:v>48.86886111081526</c:v>
                </c:pt>
                <c:pt idx="10">
                  <c:v>48.719857634180912</c:v>
                </c:pt>
                <c:pt idx="11">
                  <c:v>48.569124382429138</c:v>
                </c:pt>
                <c:pt idx="12">
                  <c:v>48.416701292981024</c:v>
                </c:pt>
                <c:pt idx="13">
                  <c:v>48.262628665273411</c:v>
                </c:pt>
                <c:pt idx="14">
                  <c:v>48.106947060336978</c:v>
                </c:pt>
                <c:pt idx="15">
                  <c:v>47.949697204247926</c:v>
                </c:pt>
                <c:pt idx="16">
                  <c:v>47.790919895753973</c:v>
                </c:pt>
                <c:pt idx="17">
                  <c:v>47.630655918324564</c:v>
                </c:pt>
                <c:pt idx="18">
                  <c:v>47.468945956825323</c:v>
                </c:pt>
                <c:pt idx="19">
                  <c:v>47.30583051896815</c:v>
                </c:pt>
                <c:pt idx="20">
                  <c:v>47.141349861641316</c:v>
                </c:pt>
                <c:pt idx="21">
                  <c:v>46.97554392218386</c:v>
                </c:pt>
                <c:pt idx="22">
                  <c:v>46.808452254625827</c:v>
                </c:pt>
                <c:pt idx="23">
                  <c:v>46.640113970879696</c:v>
                </c:pt>
                <c:pt idx="24">
                  <c:v>46.470567686837555</c:v>
                </c:pt>
                <c:pt idx="25">
                  <c:v>46.299851473294311</c:v>
                </c:pt>
                <c:pt idx="26">
                  <c:v>46.128002811595088</c:v>
                </c:pt>
                <c:pt idx="27">
                  <c:v>45.95505855387831</c:v>
                </c:pt>
                <c:pt idx="28">
                  <c:v>45.78105488776928</c:v>
                </c:pt>
                <c:pt idx="29">
                  <c:v>45.606027305359447</c:v>
                </c:pt>
                <c:pt idx="30">
                  <c:v>45.430010576295636</c:v>
                </c:pt>
                <c:pt idx="31">
                  <c:v>45.253038724789867</c:v>
                </c:pt>
                <c:pt idx="32">
                  <c:v>45.075145010355683</c:v>
                </c:pt>
                <c:pt idx="33">
                  <c:v>44.896361912067292</c:v>
                </c:pt>
                <c:pt idx="34">
                  <c:v>44.716721116137627</c:v>
                </c:pt>
                <c:pt idx="35">
                  <c:v>44.536253506607807</c:v>
                </c:pt>
                <c:pt idx="36">
                  <c:v>44.354989158941713</c:v>
                </c:pt>
                <c:pt idx="37">
                  <c:v>44.17295733632087</c:v>
                </c:pt>
                <c:pt idx="38">
                  <c:v>43.99018648843839</c:v>
                </c:pt>
                <c:pt idx="39">
                  <c:v>43.806704252594521</c:v>
                </c:pt>
                <c:pt idx="40">
                  <c:v>43.622537456903139</c:v>
                </c:pt>
                <c:pt idx="41">
                  <c:v>43.43771212542255</c:v>
                </c:pt>
                <c:pt idx="42">
                  <c:v>43.25225348503335</c:v>
                </c:pt>
                <c:pt idx="43">
                  <c:v>43.066185973892516</c:v>
                </c:pt>
                <c:pt idx="44">
                  <c:v>42.879533251299407</c:v>
                </c:pt>
                <c:pt idx="45">
                  <c:v>42.692318208820609</c:v>
                </c:pt>
                <c:pt idx="46">
                  <c:v>42.504562982526444</c:v>
                </c:pt>
                <c:pt idx="47">
                  <c:v>42.316288966200617</c:v>
                </c:pt>
                <c:pt idx="48">
                  <c:v>42.127516825394423</c:v>
                </c:pt>
                <c:pt idx="49">
                  <c:v>41.938266512203555</c:v>
                </c:pt>
                <c:pt idx="50">
                  <c:v>41.748557280655298</c:v>
                </c:pt>
                <c:pt idx="51">
                  <c:v>41.558407702599986</c:v>
                </c:pt>
                <c:pt idx="52">
                  <c:v>41.367835684011567</c:v>
                </c:pt>
                <c:pt idx="53">
                  <c:v>41.176858481605279</c:v>
                </c:pt>
                <c:pt idx="54">
                  <c:v>40.985492719692488</c:v>
                </c:pt>
                <c:pt idx="55">
                  <c:v>40.793754407196275</c:v>
                </c:pt>
                <c:pt idx="56">
                  <c:v>40.601658954759159</c:v>
                </c:pt>
                <c:pt idx="57">
                  <c:v>40.409221191881016</c:v>
                </c:pt>
                <c:pt idx="58">
                  <c:v>40.216455384030468</c:v>
                </c:pt>
                <c:pt idx="59">
                  <c:v>40.02337524967934</c:v>
                </c:pt>
                <c:pt idx="60">
                  <c:v>39.829993977215082</c:v>
                </c:pt>
                <c:pt idx="61">
                  <c:v>39.636324241689671</c:v>
                </c:pt>
                <c:pt idx="62">
                  <c:v>39.442378221370269</c:v>
                </c:pt>
                <c:pt idx="63">
                  <c:v>39.248167614059518</c:v>
                </c:pt>
                <c:pt idx="64">
                  <c:v>39.053703653158024</c:v>
                </c:pt>
                <c:pt idx="65">
                  <c:v>38.858997123445654</c:v>
                </c:pt>
                <c:pt idx="66">
                  <c:v>38.664058376560611</c:v>
                </c:pt>
                <c:pt idx="67">
                  <c:v>38.468897346159451</c:v>
                </c:pt>
                <c:pt idx="68">
                  <c:v>38.273523562743669</c:v>
                </c:pt>
                <c:pt idx="69">
                  <c:v>38.077946168141075</c:v>
                </c:pt>
                <c:pt idx="70">
                  <c:v>37.882173929632437</c:v>
                </c:pt>
                <c:pt idx="71">
                  <c:v>37.686215253716625</c:v>
                </c:pt>
                <c:pt idx="72">
                  <c:v>37.490078199509099</c:v>
                </c:pt>
                <c:pt idx="73">
                  <c:v>37.293770491769756</c:v>
                </c:pt>
                <c:pt idx="74">
                  <c:v>37.097299533559429</c:v>
                </c:pt>
                <c:pt idx="75">
                  <c:v>36.900672418523762</c:v>
                </c:pt>
                <c:pt idx="76">
                  <c:v>36.703895942806206</c:v>
                </c:pt>
                <c:pt idx="77">
                  <c:v>36.506976616591587</c:v>
                </c:pt>
                <c:pt idx="78">
                  <c:v>36.309920675284118</c:v>
                </c:pt>
                <c:pt idx="79">
                  <c:v>36.112734090323293</c:v>
                </c:pt>
                <c:pt idx="80">
                  <c:v>35.91542257964273</c:v>
                </c:pt>
                <c:pt idx="81">
                  <c:v>35.717991617777543</c:v>
                </c:pt>
                <c:pt idx="82">
                  <c:v>35.520446445626106</c:v>
                </c:pt>
                <c:pt idx="83">
                  <c:v>35.322792079872997</c:v>
                </c:pt>
                <c:pt idx="84">
                  <c:v>35.125033322079794</c:v>
                </c:pt>
                <c:pt idx="85">
                  <c:v>34.927174767451518</c:v>
                </c:pt>
                <c:pt idx="86">
                  <c:v>34.729220813285686</c:v>
                </c:pt>
                <c:pt idx="87">
                  <c:v>34.531175667112578</c:v>
                </c:pt>
                <c:pt idx="88">
                  <c:v>34.3330433545337</c:v>
                </c:pt>
                <c:pt idx="89">
                  <c:v>34.134827726768158</c:v>
                </c:pt>
                <c:pt idx="90">
                  <c:v>33.93653246791299</c:v>
                </c:pt>
                <c:pt idx="91">
                  <c:v>33.738161101926998</c:v>
                </c:pt>
                <c:pt idx="92">
                  <c:v>33.539716999347291</c:v>
                </c:pt>
                <c:pt idx="93">
                  <c:v>33.341203383744158</c:v>
                </c:pt>
                <c:pt idx="94">
                  <c:v>33.142623337924384</c:v>
                </c:pt>
                <c:pt idx="95">
                  <c:v>32.94397980989087</c:v>
                </c:pt>
                <c:pt idx="96">
                  <c:v>32.745275618565977</c:v>
                </c:pt>
                <c:pt idx="97">
                  <c:v>32.546513459286615</c:v>
                </c:pt>
                <c:pt idx="98">
                  <c:v>32.347695909079462</c:v>
                </c:pt>
                <c:pt idx="99">
                  <c:v>32.148825431722422</c:v>
                </c:pt>
                <c:pt idx="100">
                  <c:v>31.949904382602398</c:v>
                </c:pt>
                <c:pt idx="101">
                  <c:v>31.750935013373503</c:v>
                </c:pt>
                <c:pt idx="102">
                  <c:v>31.551919476425528</c:v>
                </c:pt>
                <c:pt idx="103">
                  <c:v>31.352859829167752</c:v>
                </c:pt>
                <c:pt idx="104">
                  <c:v>31.153758038136647</c:v>
                </c:pt>
                <c:pt idx="105">
                  <c:v>30.954615982931681</c:v>
                </c:pt>
                <c:pt idx="106">
                  <c:v>30.755435459988817</c:v>
                </c:pt>
                <c:pt idx="107">
                  <c:v>30.556218186194958</c:v>
                </c:pt>
                <c:pt idx="108">
                  <c:v>30.356965802350963</c:v>
                </c:pt>
                <c:pt idx="109">
                  <c:v>30.157679876489077</c:v>
                </c:pt>
                <c:pt idx="110">
                  <c:v>29.958361907050048</c:v>
                </c:pt>
                <c:pt idx="111">
                  <c:v>29.759013325925501</c:v>
                </c:pt>
                <c:pt idx="112">
                  <c:v>29.559635501371101</c:v>
                </c:pt>
                <c:pt idx="113">
                  <c:v>29.360229740795592</c:v>
                </c:pt>
                <c:pt idx="114">
                  <c:v>29.160797293430491</c:v>
                </c:pt>
                <c:pt idx="115">
                  <c:v>28.961339352885332</c:v>
                </c:pt>
                <c:pt idx="116">
                  <c:v>28.761857059593755</c:v>
                </c:pt>
                <c:pt idx="117">
                  <c:v>28.562351503153593</c:v>
                </c:pt>
                <c:pt idx="118">
                  <c:v>28.362823724566244</c:v>
                </c:pt>
                <c:pt idx="119">
                  <c:v>28.163274718379508</c:v>
                </c:pt>
                <c:pt idx="120">
                  <c:v>27.963705434737012</c:v>
                </c:pt>
                <c:pt idx="121">
                  <c:v>27.764116781339393</c:v>
                </c:pt>
                <c:pt idx="122">
                  <c:v>27.564509625319932</c:v>
                </c:pt>
                <c:pt idx="123">
                  <c:v>27.364884795037913</c:v>
                </c:pt>
                <c:pt idx="124">
                  <c:v>27.165243081794817</c:v>
                </c:pt>
                <c:pt idx="125">
                  <c:v>26.965585241474717</c:v>
                </c:pt>
                <c:pt idx="126">
                  <c:v>26.765911996112884</c:v>
                </c:pt>
                <c:pt idx="127">
                  <c:v>26.56622403539615</c:v>
                </c:pt>
                <c:pt idx="128">
                  <c:v>26.366522018097129</c:v>
                </c:pt>
                <c:pt idx="129">
                  <c:v>26.16680657344482</c:v>
                </c:pt>
                <c:pt idx="130">
                  <c:v>25.967078302436146</c:v>
                </c:pt>
                <c:pt idx="131">
                  <c:v>25.767337779088134</c:v>
                </c:pt>
                <c:pt idx="132">
                  <c:v>25.567585551636274</c:v>
                </c:pt>
                <c:pt idx="133">
                  <c:v>25.367822143678641</c:v>
                </c:pt>
                <c:pt idx="134">
                  <c:v>25.168048055270297</c:v>
                </c:pt>
                <c:pt idx="135">
                  <c:v>24.968263763968892</c:v>
                </c:pt>
                <c:pt idx="136">
                  <c:v>24.768469725833459</c:v>
                </c:pt>
                <c:pt idx="137">
                  <c:v>24.568666376379582</c:v>
                </c:pt>
                <c:pt idx="138">
                  <c:v>24.368854131491531</c:v>
                </c:pt>
                <c:pt idx="139">
                  <c:v>24.169033388293897</c:v>
                </c:pt>
                <c:pt idx="140">
                  <c:v>23.969204525984527</c:v>
                </c:pt>
                <c:pt idx="141">
                  <c:v>23.769367906630091</c:v>
                </c:pt>
                <c:pt idx="142">
                  <c:v>23.569523875925906</c:v>
                </c:pt>
                <c:pt idx="143">
                  <c:v>23.369672763922267</c:v>
                </c:pt>
                <c:pt idx="144">
                  <c:v>23.169814885717877</c:v>
                </c:pt>
                <c:pt idx="145">
                  <c:v>22.969950542121865</c:v>
                </c:pt>
                <c:pt idx="146">
                  <c:v>22.770080020286649</c:v>
                </c:pt>
                <c:pt idx="147">
                  <c:v>22.570203594311934</c:v>
                </c:pt>
                <c:pt idx="148">
                  <c:v>22.370321525821467</c:v>
                </c:pt>
                <c:pt idx="149">
                  <c:v>22.170434064513778</c:v>
                </c:pt>
                <c:pt idx="150">
                  <c:v>21.970541448688191</c:v>
                </c:pt>
                <c:pt idx="151">
                  <c:v>21.770643905746532</c:v>
                </c:pt>
                <c:pt idx="152">
                  <c:v>21.570741652672595</c:v>
                </c:pt>
                <c:pt idx="153">
                  <c:v>21.370834896489256</c:v>
                </c:pt>
                <c:pt idx="154">
                  <c:v>21.170923834695135</c:v>
                </c:pt>
                <c:pt idx="155">
                  <c:v>20.97100865568105</c:v>
                </c:pt>
                <c:pt idx="156">
                  <c:v>20.771089539127317</c:v>
                </c:pt>
                <c:pt idx="157">
                  <c:v>20.571166656383181</c:v>
                </c:pt>
                <c:pt idx="158">
                  <c:v>20.371240170827992</c:v>
                </c:pt>
                <c:pt idx="159">
                  <c:v>20.171310238216378</c:v>
                </c:pt>
                <c:pt idx="160">
                  <c:v>19.971377007007241</c:v>
                </c:pt>
                <c:pt idx="161">
                  <c:v>19.771440618676813</c:v>
                </c:pt>
                <c:pt idx="162">
                  <c:v>19.571501208017963</c:v>
                </c:pt>
                <c:pt idx="163">
                  <c:v>19.371558903424646</c:v>
                </c:pt>
                <c:pt idx="164">
                  <c:v>19.171613827163295</c:v>
                </c:pt>
                <c:pt idx="165">
                  <c:v>18.971666095631207</c:v>
                </c:pt>
                <c:pt idx="166">
                  <c:v>18.771715819602566</c:v>
                </c:pt>
                <c:pt idx="167">
                  <c:v>18.571763104462555</c:v>
                </c:pt>
                <c:pt idx="168">
                  <c:v>18.371808050430243</c:v>
                </c:pt>
                <c:pt idx="169">
                  <c:v>18.171850752770492</c:v>
                </c:pt>
                <c:pt idx="170">
                  <c:v>17.971891301995282</c:v>
                </c:pt>
                <c:pt idx="171">
                  <c:v>17.77192978405532</c:v>
                </c:pt>
                <c:pt idx="172">
                  <c:v>17.571966280521828</c:v>
                </c:pt>
                <c:pt idx="173">
                  <c:v>17.372000868758906</c:v>
                </c:pt>
                <c:pt idx="174">
                  <c:v>17.172033622087493</c:v>
                </c:pt>
                <c:pt idx="175">
                  <c:v>16.972064609940293</c:v>
                </c:pt>
                <c:pt idx="176">
                  <c:v>16.772093898008798</c:v>
                </c:pt>
                <c:pt idx="177">
                  <c:v>16.572121548382285</c:v>
                </c:pt>
                <c:pt idx="178">
                  <c:v>16.372147619679218</c:v>
                </c:pt>
                <c:pt idx="179">
                  <c:v>16.172172167171311</c:v>
                </c:pt>
                <c:pt idx="180">
                  <c:v>15.97219524290055</c:v>
                </c:pt>
                <c:pt idx="181">
                  <c:v>15.772216895789297</c:v>
                </c:pt>
                <c:pt idx="182">
                  <c:v>15.572237171743918</c:v>
                </c:pt>
                <c:pt idx="183">
                  <c:v>15.372256113751986</c:v>
                </c:pt>
                <c:pt idx="184">
                  <c:v>15.172273761973127</c:v>
                </c:pt>
                <c:pt idx="185">
                  <c:v>14.972290153824275</c:v>
                </c:pt>
                <c:pt idx="186">
                  <c:v>14.772305324058726</c:v>
                </c:pt>
                <c:pt idx="187">
                  <c:v>14.572319304839773</c:v>
                </c:pt>
                <c:pt idx="188">
                  <c:v>14.372332125808796</c:v>
                </c:pt>
                <c:pt idx="189">
                  <c:v>14.172343814148087</c:v>
                </c:pt>
                <c:pt idx="190">
                  <c:v>13.972354394638277</c:v>
                </c:pt>
                <c:pt idx="191">
                  <c:v>13.772363889710714</c:v>
                </c:pt>
                <c:pt idx="192">
                  <c:v>13.572372319495399</c:v>
                </c:pt>
                <c:pt idx="193">
                  <c:v>13.372379701863128</c:v>
                </c:pt>
                <c:pt idx="194">
                  <c:v>13.172386052463263</c:v>
                </c:pt>
                <c:pt idx="195">
                  <c:v>12.972391384757682</c:v>
                </c:pt>
                <c:pt idx="196">
                  <c:v>12.772395710047705</c:v>
                </c:pt>
                <c:pt idx="197">
                  <c:v>12.572399037499778</c:v>
                </c:pt>
                <c:pt idx="198">
                  <c:v>12.372401374163575</c:v>
                </c:pt>
                <c:pt idx="199">
                  <c:v>12.172402724987258</c:v>
                </c:pt>
                <c:pt idx="200">
                  <c:v>11.972403092828056</c:v>
                </c:pt>
                <c:pt idx="201">
                  <c:v>11.772402478458181</c:v>
                </c:pt>
                <c:pt idx="202">
                  <c:v>11.572400880566271</c:v>
                </c:pt>
                <c:pt idx="203">
                  <c:v>11.372398295754627</c:v>
                </c:pt>
                <c:pt idx="204">
                  <c:v>11.172394718531963</c:v>
                </c:pt>
                <c:pt idx="205">
                  <c:v>10.972390141301624</c:v>
                </c:pt>
                <c:pt idx="206">
                  <c:v>10.772384554345384</c:v>
                </c:pt>
                <c:pt idx="207">
                  <c:v>10.572377945802913</c:v>
                </c:pt>
                <c:pt idx="208">
                  <c:v>10.372370301646431</c:v>
                </c:pt>
                <c:pt idx="209">
                  <c:v>10.172361605650629</c:v>
                </c:pt>
                <c:pt idx="210">
                  <c:v>9.9723518393585593</c:v>
                </c:pt>
                <c:pt idx="211">
                  <c:v>9.7723409820424081</c:v>
                </c:pt>
                <c:pt idx="212">
                  <c:v>9.572329010658768</c:v>
                </c:pt>
                <c:pt idx="213">
                  <c:v>9.3723158998005864</c:v>
                </c:pt>
                <c:pt idx="214">
                  <c:v>9.1723016216423296</c:v>
                </c:pt>
                <c:pt idx="215">
                  <c:v>8.9722861458812826</c:v>
                </c:pt>
                <c:pt idx="216">
                  <c:v>8.7722694396731633</c:v>
                </c:pt>
                <c:pt idx="217">
                  <c:v>8.572251467561923</c:v>
                </c:pt>
                <c:pt idx="218">
                  <c:v>8.3722321914048088</c:v>
                </c:pt>
                <c:pt idx="219">
                  <c:v>8.1722115702910312</c:v>
                </c:pt>
                <c:pt idx="220">
                  <c:v>7.9721895604546935</c:v>
                </c:pt>
                <c:pt idx="221">
                  <c:v>7.7721661151820172</c:v>
                </c:pt>
                <c:pt idx="222">
                  <c:v>7.5721411847119811</c:v>
                </c:pt>
                <c:pt idx="223">
                  <c:v>7.3721147161301239</c:v>
                </c:pt>
                <c:pt idx="224">
                  <c:v>7.1720866532565131</c:v>
                </c:pt>
                <c:pt idx="225">
                  <c:v>6.9720569365261307</c:v>
                </c:pt>
                <c:pt idx="226">
                  <c:v>6.7720255028618794</c:v>
                </c:pt>
                <c:pt idx="227">
                  <c:v>6.5719922855407917</c:v>
                </c:pt>
                <c:pt idx="228">
                  <c:v>6.3719572140521041</c:v>
                </c:pt>
                <c:pt idx="229">
                  <c:v>6.1719202139468976</c:v>
                </c:pt>
                <c:pt idx="230">
                  <c:v>5.971881206680024</c:v>
                </c:pt>
                <c:pt idx="231">
                  <c:v>5.7718401094427376</c:v>
                </c:pt>
                <c:pt idx="232">
                  <c:v>5.571796834986797</c:v>
                </c:pt>
                <c:pt idx="233">
                  <c:v>5.3717512914382928</c:v>
                </c:pt>
                <c:pt idx="234">
                  <c:v>5.171703382102435</c:v>
                </c:pt>
                <c:pt idx="235">
                  <c:v>4.9716530052576564</c:v>
                </c:pt>
                <c:pt idx="236">
                  <c:v>4.7716000539386787</c:v>
                </c:pt>
                <c:pt idx="237">
                  <c:v>4.571544415709095</c:v>
                </c:pt>
                <c:pt idx="238">
                  <c:v>4.3714859724217012</c:v>
                </c:pt>
                <c:pt idx="239">
                  <c:v>4.1714245999665991</c:v>
                </c:pt>
                <c:pt idx="240">
                  <c:v>3.9713601680072848</c:v>
                </c:pt>
                <c:pt idx="241">
                  <c:v>3.7712925397020367</c:v>
                </c:pt>
                <c:pt idx="242">
                  <c:v>3.5712215714128615</c:v>
                </c:pt>
                <c:pt idx="243">
                  <c:v>3.3711471123990355</c:v>
                </c:pt>
                <c:pt idx="244">
                  <c:v>3.171069004495501</c:v>
                </c:pt>
                <c:pt idx="245">
                  <c:v>2.9709870817754238</c:v>
                </c:pt>
                <c:pt idx="246">
                  <c:v>2.7709011701964235</c:v>
                </c:pt>
                <c:pt idx="247">
                  <c:v>2.57081108722867</c:v>
                </c:pt>
                <c:pt idx="248">
                  <c:v>2.3707166414656502</c:v>
                </c:pt>
                <c:pt idx="249">
                  <c:v>2.1706176322148925</c:v>
                </c:pt>
                <c:pt idx="250">
                  <c:v>1.9705138490697018</c:v>
                </c:pt>
                <c:pt idx="251">
                  <c:v>1.7704050714591375</c:v>
                </c:pt>
                <c:pt idx="252">
                  <c:v>1.5702910681767321</c:v>
                </c:pt>
                <c:pt idx="253">
                  <c:v>1.3701715968861259</c:v>
                </c:pt>
                <c:pt idx="254">
                  <c:v>1.1700464036024059</c:v>
                </c:pt>
                <c:pt idx="255">
                  <c:v>0.96991522214846693</c:v>
                </c:pt>
                <c:pt idx="256">
                  <c:v>0.76977777358575294</c:v>
                </c:pt>
                <c:pt idx="257">
                  <c:v>0.56963376561616863</c:v>
                </c:pt>
                <c:pt idx="258">
                  <c:v>0.36948289195604567</c:v>
                </c:pt>
                <c:pt idx="259">
                  <c:v>0.16932483167954024</c:v>
                </c:pt>
                <c:pt idx="260">
                  <c:v>-3.0840751469949038E-2</c:v>
                </c:pt>
                <c:pt idx="261">
                  <c:v>-0.23101420980101539</c:v>
                </c:pt>
                <c:pt idx="262">
                  <c:v>-0.4311959124308371</c:v>
                </c:pt>
                <c:pt idx="263">
                  <c:v>-0.63138624607808258</c:v>
                </c:pt>
                <c:pt idx="264">
                  <c:v>-0.83158561589424851</c:v>
                </c:pt>
                <c:pt idx="265">
                  <c:v>-1.0317944463349544</c:v>
                </c:pt>
                <c:pt idx="266">
                  <c:v>-1.2320131820733398</c:v>
                </c:pt>
                <c:pt idx="267">
                  <c:v>-1.4322422889579438</c:v>
                </c:pt>
                <c:pt idx="268">
                  <c:v>-1.6324822550163118</c:v>
                </c:pt>
                <c:pt idx="269">
                  <c:v>-1.8327335915076626</c:v>
                </c:pt>
                <c:pt idx="270">
                  <c:v>-2.0329968340261892</c:v>
                </c:pt>
                <c:pt idx="271">
                  <c:v>-2.2332725436579679</c:v>
                </c:pt>
                <c:pt idx="272">
                  <c:v>-2.4335613081936023</c:v>
                </c:pt>
                <c:pt idx="273">
                  <c:v>-2.6338637434002061</c:v>
                </c:pt>
                <c:pt idx="274">
                  <c:v>-2.8341804943544102</c:v>
                </c:pt>
                <c:pt idx="275">
                  <c:v>-3.0345122368408335</c:v>
                </c:pt>
                <c:pt idx="276">
                  <c:v>-3.234859678818029</c:v>
                </c:pt>
                <c:pt idx="277">
                  <c:v>-3.4352235619557723</c:v>
                </c:pt>
                <c:pt idx="278">
                  <c:v>-3.6356046632478378</c:v>
                </c:pt>
                <c:pt idx="279">
                  <c:v>-3.8360037967025207</c:v>
                </c:pt>
                <c:pt idx="280">
                  <c:v>-4.0364218151166149</c:v>
                </c:pt>
                <c:pt idx="281">
                  <c:v>-4.2368596119353166</c:v>
                </c:pt>
                <c:pt idx="282">
                  <c:v>-4.4373181232039034</c:v>
                </c:pt>
                <c:pt idx="283">
                  <c:v>-4.637798329614558</c:v>
                </c:pt>
                <c:pt idx="284">
                  <c:v>-4.8383012586539786</c:v>
                </c:pt>
                <c:pt idx="285">
                  <c:v>-5.0388279868565933</c:v>
                </c:pt>
                <c:pt idx="286">
                  <c:v>-5.2393796421685099</c:v>
                </c:pt>
                <c:pt idx="287">
                  <c:v>-5.439957406428368</c:v>
                </c:pt>
                <c:pt idx="288">
                  <c:v>-5.6405625179709427</c:v>
                </c:pt>
                <c:pt idx="289">
                  <c:v>-5.8411962743584054</c:v>
                </c:pt>
                <c:pt idx="290">
                  <c:v>-6.0418600352497789</c:v>
                </c:pt>
                <c:pt idx="291">
                  <c:v>-6.2425552254091032</c:v>
                </c:pt>
                <c:pt idx="292">
                  <c:v>-6.4432833378674568</c:v>
                </c:pt>
                <c:pt idx="293">
                  <c:v>-6.644045937239337</c:v>
                </c:pt>
                <c:pt idx="294">
                  <c:v>-6.8448446632073132</c:v>
                </c:pt>
                <c:pt idx="295">
                  <c:v>-7.0456812341794475</c:v>
                </c:pt>
                <c:pt idx="296">
                  <c:v>-7.2465574511315776</c:v>
                </c:pt>
                <c:pt idx="297">
                  <c:v>-7.4474752016427113</c:v>
                </c:pt>
                <c:pt idx="298">
                  <c:v>-7.6484364641332014</c:v>
                </c:pt>
                <c:pt idx="299">
                  <c:v>-7.8494433123185541</c:v>
                </c:pt>
                <c:pt idx="300">
                  <c:v>-8.0504979198876132</c:v>
                </c:pt>
                <c:pt idx="301">
                  <c:v>-8.2516025654194785</c:v>
                </c:pt>
                <c:pt idx="302">
                  <c:v>-8.4527596375501126</c:v>
                </c:pt>
                <c:pt idx="303">
                  <c:v>-8.653971640403503</c:v>
                </c:pt>
                <c:pt idx="304">
                  <c:v>-8.8552411993002274</c:v>
                </c:pt>
                <c:pt idx="305">
                  <c:v>-9.0565710667595738</c:v>
                </c:pt>
                <c:pt idx="306">
                  <c:v>-9.2579641288101246</c:v>
                </c:pt>
                <c:pt idx="307">
                  <c:v>-9.4594234116263554</c:v>
                </c:pt>
                <c:pt idx="308">
                  <c:v>-9.6609520885085001</c:v>
                </c:pt>
                <c:pt idx="309">
                  <c:v>-9.8625534872245471</c:v>
                </c:pt>
                <c:pt idx="310">
                  <c:v>-10.06423109773414</c:v>
                </c:pt>
                <c:pt idx="311">
                  <c:v>-10.265988580315293</c:v>
                </c:pt>
                <c:pt idx="312">
                  <c:v>-10.46782977411684</c:v>
                </c:pt>
                <c:pt idx="313">
                  <c:v>-10.669758706157834</c:v>
                </c:pt>
                <c:pt idx="314">
                  <c:v>-10.87177960080192</c:v>
                </c:pt>
                <c:pt idx="315">
                  <c:v>-11.073896889729472</c:v>
                </c:pt>
                <c:pt idx="316">
                  <c:v>-11.276115222437832</c:v>
                </c:pt>
                <c:pt idx="317">
                  <c:v>-11.478439477296664</c:v>
                </c:pt>
                <c:pt idx="318">
                  <c:v>-11.680874773191247</c:v>
                </c:pt>
                <c:pt idx="319">
                  <c:v>-11.883426481783857</c:v>
                </c:pt>
                <c:pt idx="320">
                  <c:v>-12.086100240430353</c:v>
                </c:pt>
                <c:pt idx="321">
                  <c:v>-12.288901965785135</c:v>
                </c:pt>
                <c:pt idx="322">
                  <c:v>-12.491837868134905</c:v>
                </c:pt>
                <c:pt idx="323">
                  <c:v>-12.694914466500084</c:v>
                </c:pt>
                <c:pt idx="324">
                  <c:v>-12.898138604546769</c:v>
                </c:pt>
                <c:pt idx="325">
                  <c:v>-13.101517467352522</c:v>
                </c:pt>
                <c:pt idx="326">
                  <c:v>-13.305058599073831</c:v>
                </c:pt>
                <c:pt idx="327">
                  <c:v>-13.508769921563568</c:v>
                </c:pt>
                <c:pt idx="328">
                  <c:v>-13.712659753988557</c:v>
                </c:pt>
                <c:pt idx="329">
                  <c:v>-13.916736833503226</c:v>
                </c:pt>
                <c:pt idx="330">
                  <c:v>-14.121010337032157</c:v>
                </c:pt>
                <c:pt idx="331">
                  <c:v>-14.325489904221859</c:v>
                </c:pt>
                <c:pt idx="332">
                  <c:v>-14.530185661621175</c:v>
                </c:pt>
                <c:pt idx="333">
                  <c:v>-14.735108248154013</c:v>
                </c:pt>
                <c:pt idx="334">
                  <c:v>-14.940268841947958</c:v>
                </c:pt>
                <c:pt idx="335">
                  <c:v>-15.145679188586584</c:v>
                </c:pt>
                <c:pt idx="336">
                  <c:v>-15.351351630853538</c:v>
                </c:pt>
                <c:pt idx="337">
                  <c:v>-15.557299140039255</c:v>
                </c:pt>
                <c:pt idx="338">
                  <c:v>-15.763535348881136</c:v>
                </c:pt>
                <c:pt idx="339">
                  <c:v>-15.970074586209632</c:v>
                </c:pt>
                <c:pt idx="340">
                  <c:v>-16.176931913372261</c:v>
                </c:pt>
                <c:pt idx="341">
                  <c:v>-16.384123162509688</c:v>
                </c:pt>
                <c:pt idx="342">
                  <c:v>-16.591664976752472</c:v>
                </c:pt>
                <c:pt idx="343">
                  <c:v>-16.79957485241038</c:v>
                </c:pt>
                <c:pt idx="344">
                  <c:v>-17.00787118321924</c:v>
                </c:pt>
                <c:pt idx="345">
                  <c:v>-17.216573306708892</c:v>
                </c:pt>
                <c:pt idx="346">
                  <c:v>-17.425701552749384</c:v>
                </c:pt>
                <c:pt idx="347">
                  <c:v>-17.635277294323952</c:v>
                </c:pt>
                <c:pt idx="348">
                  <c:v>-17.845323000572371</c:v>
                </c:pt>
                <c:pt idx="349">
                  <c:v>-18.055862292132872</c:v>
                </c:pt>
                <c:pt idx="350">
                  <c:v>-18.266919998799814</c:v>
                </c:pt>
                <c:pt idx="351">
                  <c:v>-18.478522219497734</c:v>
                </c:pt>
                <c:pt idx="352">
                  <c:v>-18.690696384552112</c:v>
                </c:pt>
                <c:pt idx="353">
                  <c:v>-18.903471320214969</c:v>
                </c:pt>
                <c:pt idx="354">
                  <c:v>-19.116877315376467</c:v>
                </c:pt>
                <c:pt idx="355">
                  <c:v>-19.330946190361026</c:v>
                </c:pt>
                <c:pt idx="356">
                  <c:v>-19.545711367672503</c:v>
                </c:pt>
                <c:pt idx="357">
                  <c:v>-19.761207944508332</c:v>
                </c:pt>
                <c:pt idx="358">
                  <c:v>-19.977472766817346</c:v>
                </c:pt>
                <c:pt idx="359">
                  <c:v>-20.194544504619934</c:v>
                </c:pt>
                <c:pt idx="360">
                  <c:v>-20.412463728249115</c:v>
                </c:pt>
                <c:pt idx="361">
                  <c:v>-20.631272985101354</c:v>
                </c:pt>
                <c:pt idx="362">
                  <c:v>-20.851016876410196</c:v>
                </c:pt>
                <c:pt idx="363">
                  <c:v>-21.071742133469336</c:v>
                </c:pt>
                <c:pt idx="364">
                  <c:v>-21.29349769263883</c:v>
                </c:pt>
                <c:pt idx="365">
                  <c:v>-21.516334768364121</c:v>
                </c:pt>
                <c:pt idx="366">
                  <c:v>-21.740306923326486</c:v>
                </c:pt>
                <c:pt idx="367">
                  <c:v>-21.965470134720896</c:v>
                </c:pt>
                <c:pt idx="368">
                  <c:v>-22.191882855529684</c:v>
                </c:pt>
                <c:pt idx="369">
                  <c:v>-22.419606069520039</c:v>
                </c:pt>
                <c:pt idx="370">
                  <c:v>-22.6487033385513</c:v>
                </c:pt>
                <c:pt idx="371">
                  <c:v>-22.879240840625876</c:v>
                </c:pt>
                <c:pt idx="372">
                  <c:v>-23.11128739696489</c:v>
                </c:pt>
                <c:pt idx="373">
                  <c:v>-23.344914486233392</c:v>
                </c:pt>
                <c:pt idx="374">
                  <c:v>-23.580196243888203</c:v>
                </c:pt>
                <c:pt idx="375">
                  <c:v>-23.817209444471974</c:v>
                </c:pt>
                <c:pt idx="376">
                  <c:v>-24.056033464541077</c:v>
                </c:pt>
                <c:pt idx="377">
                  <c:v>-24.296750223791115</c:v>
                </c:pt>
                <c:pt idx="378">
                  <c:v>-24.539444101843081</c:v>
                </c:pt>
                <c:pt idx="379">
                  <c:v>-24.784201828080555</c:v>
                </c:pt>
                <c:pt idx="380">
                  <c:v>-25.031112341888711</c:v>
                </c:pt>
                <c:pt idx="381">
                  <c:v>-25.280266620653155</c:v>
                </c:pt>
                <c:pt idx="382">
                  <c:v>-25.531757472932952</c:v>
                </c:pt>
                <c:pt idx="383">
                  <c:v>-25.785679294340369</c:v>
                </c:pt>
                <c:pt idx="384">
                  <c:v>-26.042127783846635</c:v>
                </c:pt>
                <c:pt idx="385">
                  <c:v>-26.301199618498792</c:v>
                </c:pt>
                <c:pt idx="386">
                  <c:v>-26.562992084880499</c:v>
                </c:pt>
                <c:pt idx="387">
                  <c:v>-26.827602666092794</c:v>
                </c:pt>
                <c:pt idx="388">
                  <c:v>-27.095128583564442</c:v>
                </c:pt>
                <c:pt idx="389">
                  <c:v>-27.365666293635165</c:v>
                </c:pt>
                <c:pt idx="390">
                  <c:v>-27.639310939585343</c:v>
                </c:pt>
                <c:pt idx="391">
                  <c:v>-27.916155760604795</c:v>
                </c:pt>
                <c:pt idx="392">
                  <c:v>-28.196291460093668</c:v>
                </c:pt>
                <c:pt idx="393">
                  <c:v>-28.479805536663385</c:v>
                </c:pt>
                <c:pt idx="394">
                  <c:v>-28.766781582222769</c:v>
                </c:pt>
                <c:pt idx="395">
                  <c:v>-29.057298552584708</c:v>
                </c:pt>
                <c:pt idx="396">
                  <c:v>-29.351430017077664</c:v>
                </c:pt>
                <c:pt idx="397">
                  <c:v>-29.649243394662349</c:v>
                </c:pt>
                <c:pt idx="398">
                  <c:v>-29.95079918500323</c:v>
                </c:pt>
                <c:pt idx="399">
                  <c:v>-30.256150203794387</c:v>
                </c:pt>
                <c:pt idx="400">
                  <c:v>-30.565340832340663</c:v>
                </c:pt>
                <c:pt idx="401">
                  <c:v>-30.878406291930183</c:v>
                </c:pt>
                <c:pt idx="402">
                  <c:v>-31.195371953849431</c:v>
                </c:pt>
                <c:pt idx="403">
                  <c:v>-31.516252695975837</c:v>
                </c:pt>
                <c:pt idx="404">
                  <c:v>-31.841052316705753</c:v>
                </c:pt>
                <c:pt idx="405">
                  <c:v>-32.169763016525749</c:v>
                </c:pt>
                <c:pt idx="406">
                  <c:v>-32.502364956812471</c:v>
                </c:pt>
                <c:pt idx="407">
                  <c:v>-32.838825904457849</c:v>
                </c:pt>
                <c:pt idx="408">
                  <c:v>-33.179100969679908</c:v>
                </c:pt>
                <c:pt idx="409">
                  <c:v>-33.523132442928528</c:v>
                </c:pt>
                <c:pt idx="410">
                  <c:v>-33.8708497351654</c:v>
                </c:pt>
                <c:pt idx="411">
                  <c:v>-34.222169424042995</c:v>
                </c:pt>
                <c:pt idx="412">
                  <c:v>-34.576995406673539</c:v>
                </c:pt>
                <c:pt idx="413">
                  <c:v>-34.935219157832698</c:v>
                </c:pt>
                <c:pt idx="414">
                  <c:v>-35.296720090634267</c:v>
                </c:pt>
                <c:pt idx="415">
                  <c:v>-35.661366015002876</c:v>
                </c:pt>
                <c:pt idx="416">
                  <c:v>-36.029013687708002</c:v>
                </c:pt>
                <c:pt idx="417">
                  <c:v>-36.399509446351423</c:v>
                </c:pt>
                <c:pt idx="418">
                  <c:v>-36.772689918554846</c:v>
                </c:pt>
                <c:pt idx="419">
                  <c:v>-37.148382796696161</c:v>
                </c:pt>
                <c:pt idx="420">
                  <c:v>-37.526407667911784</c:v>
                </c:pt>
                <c:pt idx="421">
                  <c:v>-37.906576888710887</c:v>
                </c:pt>
                <c:pt idx="422">
                  <c:v>-38.288696493435594</c:v>
                </c:pt>
                <c:pt idx="423">
                  <c:v>-38.67256712593263</c:v>
                </c:pt>
                <c:pt idx="424">
                  <c:v>-39.057984984135395</c:v>
                </c:pt>
                <c:pt idx="425">
                  <c:v>-39.444742767794402</c:v>
                </c:pt>
                <c:pt idx="426">
                  <c:v>-39.832630620263757</c:v>
                </c:pt>
                <c:pt idx="427">
                  <c:v>-40.221437056046753</c:v>
                </c:pt>
                <c:pt idx="428">
                  <c:v>-40.610949866680755</c:v>
                </c:pt>
                <c:pt idx="429">
                  <c:v>-41.000956998459671</c:v>
                </c:pt>
                <c:pt idx="430">
                  <c:v>-41.391247396420937</c:v>
                </c:pt>
                <c:pt idx="431">
                  <c:v>-41.781611809955308</c:v>
                </c:pt>
                <c:pt idx="432">
                  <c:v>-42.171843556273913</c:v>
                </c:pt>
                <c:pt idx="433">
                  <c:v>-42.561739238807725</c:v>
                </c:pt>
                <c:pt idx="434">
                  <c:v>-42.95109941837174</c:v>
                </c:pt>
                <c:pt idx="435">
                  <c:v>-43.339729235622485</c:v>
                </c:pt>
                <c:pt idx="436">
                  <c:v>-43.727438983942484</c:v>
                </c:pt>
                <c:pt idx="437">
                  <c:v>-44.11404463241324</c:v>
                </c:pt>
                <c:pt idx="438">
                  <c:v>-44.499368298987712</c:v>
                </c:pt>
                <c:pt idx="439">
                  <c:v>-44.883238674344888</c:v>
                </c:pt>
                <c:pt idx="440">
                  <c:v>-45.265491397214973</c:v>
                </c:pt>
                <c:pt idx="441">
                  <c:v>-45.645969382207781</c:v>
                </c:pt>
                <c:pt idx="442">
                  <c:v>-46.024523101366917</c:v>
                </c:pt>
                <c:pt idx="443">
                  <c:v>-46.401010820819479</c:v>
                </c:pt>
                <c:pt idx="444">
                  <c:v>-46.775298794003781</c:v>
                </c:pt>
                <c:pt idx="445">
                  <c:v>-47.147261413036681</c:v>
                </c:pt>
                <c:pt idx="446">
                  <c:v>-47.51678131984562</c:v>
                </c:pt>
                <c:pt idx="447">
                  <c:v>-47.883749478734636</c:v>
                </c:pt>
                <c:pt idx="448">
                  <c:v>-48.248065212089983</c:v>
                </c:pt>
                <c:pt idx="449">
                  <c:v>-48.609636200958057</c:v>
                </c:pt>
                <c:pt idx="450">
                  <c:v>-48.968378452256374</c:v>
                </c:pt>
                <c:pt idx="451">
                  <c:v>-49.32421623440122</c:v>
                </c:pt>
                <c:pt idx="452">
                  <c:v>-49.677081983159184</c:v>
                </c:pt>
                <c:pt idx="453">
                  <c:v>-50.026916179558569</c:v>
                </c:pt>
                <c:pt idx="454">
                  <c:v>-50.373667201716955</c:v>
                </c:pt>
                <c:pt idx="455">
                  <c:v>-50.717291152469528</c:v>
                </c:pt>
                <c:pt idx="456">
                  <c:v>-51.05775166470454</c:v>
                </c:pt>
                <c:pt idx="457">
                  <c:v>-51.39501968633401</c:v>
                </c:pt>
                <c:pt idx="458">
                  <c:v>-51.729073246842809</c:v>
                </c:pt>
                <c:pt idx="459">
                  <c:v>-52.059897207370732</c:v>
                </c:pt>
                <c:pt idx="460">
                  <c:v>-52.387482996286536</c:v>
                </c:pt>
                <c:pt idx="461">
                  <c:v>-52.711828332205492</c:v>
                </c:pt>
                <c:pt idx="462">
                  <c:v>-53.032936936392289</c:v>
                </c:pt>
                <c:pt idx="463">
                  <c:v>-53.350818236462572</c:v>
                </c:pt>
                <c:pt idx="464">
                  <c:v>-53.665487063265047</c:v>
                </c:pt>
                <c:pt idx="465">
                  <c:v>-53.976963342776401</c:v>
                </c:pt>
                <c:pt idx="466">
                  <c:v>-54.285271784789387</c:v>
                </c:pt>
                <c:pt idx="467">
                  <c:v>-54.590441570103287</c:v>
                </c:pt>
                <c:pt idx="468">
                  <c:v>-54.892506037850197</c:v>
                </c:pt>
                <c:pt idx="469">
                  <c:v>-55.191502374504829</c:v>
                </c:pt>
                <c:pt idx="470">
                  <c:v>-55.48747130603067</c:v>
                </c:pt>
                <c:pt idx="471">
                  <c:v>-55.780456794514201</c:v>
                </c:pt>
                <c:pt idx="472">
                  <c:v>-56.070505740529768</c:v>
                </c:pt>
                <c:pt idx="473">
                  <c:v>-56.357667692371997</c:v>
                </c:pt>
                <c:pt idx="474">
                  <c:v>-56.641994563170158</c:v>
                </c:pt>
                <c:pt idx="475">
                  <c:v>-56.923540356791086</c:v>
                </c:pt>
                <c:pt idx="476">
                  <c:v>-57.202360903313981</c:v>
                </c:pt>
                <c:pt idx="477">
                  <c:v>-57.478513604751825</c:v>
                </c:pt>
                <c:pt idx="478">
                  <c:v>-57.75205719157568</c:v>
                </c:pt>
                <c:pt idx="479">
                  <c:v>-58.023051490491312</c:v>
                </c:pt>
                <c:pt idx="480">
                  <c:v>-58.291557203812872</c:v>
                </c:pt>
                <c:pt idx="481">
                  <c:v>-58.557635700675014</c:v>
                </c:pt>
                <c:pt idx="482">
                  <c:v>-58.821348820234178</c:v>
                </c:pt>
                <c:pt idx="483">
                  <c:v>-59.082758686918275</c:v>
                </c:pt>
                <c:pt idx="484">
                  <c:v>-59.341927537703711</c:v>
                </c:pt>
                <c:pt idx="485">
                  <c:v>-59.59891756132636</c:v>
                </c:pt>
                <c:pt idx="486">
                  <c:v>-59.853790749260327</c:v>
                </c:pt>
                <c:pt idx="487">
                  <c:v>-60.106608758246338</c:v>
                </c:pt>
                <c:pt idx="488">
                  <c:v>-60.357432784089902</c:v>
                </c:pt>
                <c:pt idx="489">
                  <c:v>-60.606323446410819</c:v>
                </c:pt>
                <c:pt idx="490">
                  <c:v>-60.853340683982907</c:v>
                </c:pt>
                <c:pt idx="491">
                  <c:v>-61.098543660271119</c:v>
                </c:pt>
                <c:pt idx="492">
                  <c:v>-61.341990678746981</c:v>
                </c:pt>
                <c:pt idx="493">
                  <c:v>-61.583739107542627</c:v>
                </c:pt>
                <c:pt idx="494">
                  <c:v>-61.823845312990862</c:v>
                </c:pt>
                <c:pt idx="495">
                  <c:v>-62.062364601583099</c:v>
                </c:pt>
                <c:pt idx="496">
                  <c:v>-62.299351169878889</c:v>
                </c:pt>
                <c:pt idx="497">
                  <c:v>-62.534858061893111</c:v>
                </c:pt>
                <c:pt idx="498">
                  <c:v>-62.768937133492116</c:v>
                </c:pt>
                <c:pt idx="499">
                  <c:v>-63.001639023335386</c:v>
                </c:pt>
                <c:pt idx="500">
                  <c:v>-63.233013129906169</c:v>
                </c:pt>
                <c:pt idx="501">
                  <c:v>-63.463107594186695</c:v>
                </c:pt>
                <c:pt idx="502">
                  <c:v>-63.691969287545014</c:v>
                </c:pt>
                <c:pt idx="503">
                  <c:v>-63.91964380441631</c:v>
                </c:pt>
                <c:pt idx="504">
                  <c:v>-64.146175459374859</c:v>
                </c:pt>
                <c:pt idx="505">
                  <c:v>-64.371607288212417</c:v>
                </c:pt>
                <c:pt idx="506">
                  <c:v>-64.595981052653727</c:v>
                </c:pt>
                <c:pt idx="507">
                  <c:v>-64.819337248360554</c:v>
                </c:pt>
                <c:pt idx="508">
                  <c:v>-65.041715115891051</c:v>
                </c:pt>
                <c:pt idx="509">
                  <c:v>-65.2631526543029</c:v>
                </c:pt>
                <c:pt idx="510">
                  <c:v>-65.483686637104768</c:v>
                </c:pt>
                <c:pt idx="511">
                  <c:v>-65.703352630280165</c:v>
                </c:pt>
                <c:pt idx="512">
                  <c:v>-65.922185012125311</c:v>
                </c:pt>
                <c:pt idx="513">
                  <c:v>-66.140216994661955</c:v>
                </c:pt>
                <c:pt idx="514">
                  <c:v>-66.357480646398827</c:v>
                </c:pt>
                <c:pt idx="515">
                  <c:v>-66.574006916237366</c:v>
                </c:pt>
                <c:pt idx="516">
                  <c:v>-66.789825658330656</c:v>
                </c:pt>
                <c:pt idx="517">
                  <c:v>-67.00496565771752</c:v>
                </c:pt>
                <c:pt idx="518">
                  <c:v>-67.219454656573532</c:v>
                </c:pt>
                <c:pt idx="519">
                  <c:v>-67.433319380929916</c:v>
                </c:pt>
                <c:pt idx="520">
                  <c:v>-67.646585567726888</c:v>
                </c:pt>
                <c:pt idx="521">
                  <c:v>-67.859277992078816</c:v>
                </c:pt>
                <c:pt idx="522">
                  <c:v>-68.071420494641814</c:v>
                </c:pt>
                <c:pt idx="523">
                  <c:v>-68.283036008984297</c:v>
                </c:pt>
                <c:pt idx="524">
                  <c:v>-68.494146588871885</c:v>
                </c:pt>
                <c:pt idx="525">
                  <c:v>-68.704773435385519</c:v>
                </c:pt>
                <c:pt idx="526">
                  <c:v>-68.914936923804859</c:v>
                </c:pt>
                <c:pt idx="527">
                  <c:v>-69.124656630192462</c:v>
                </c:pt>
                <c:pt idx="528">
                  <c:v>-69.333951357624301</c:v>
                </c:pt>
                <c:pt idx="529">
                  <c:v>-69.542839162021266</c:v>
                </c:pt>
                <c:pt idx="530">
                  <c:v>-69.751337377535918</c:v>
                </c:pt>
                <c:pt idx="531">
                  <c:v>-69.959462641464512</c:v>
                </c:pt>
                <c:pt idx="532">
                  <c:v>-70.167230918649722</c:v>
                </c:pt>
                <c:pt idx="533">
                  <c:v>-70.374657525353385</c:v>
                </c:pt>
                <c:pt idx="534">
                  <c:v>-70.581757152575889</c:v>
                </c:pt>
                <c:pt idx="535">
                  <c:v>-70.788543888807354</c:v>
                </c:pt>
                <c:pt idx="536">
                  <c:v>-70.995031242198209</c:v>
                </c:pt>
                <c:pt idx="537">
                  <c:v>-71.201232162140599</c:v>
                </c:pt>
                <c:pt idx="538">
                  <c:v>-71.40715906025298</c:v>
                </c:pt>
                <c:pt idx="539">
                  <c:v>-71.612823830766359</c:v>
                </c:pt>
                <c:pt idx="540">
                  <c:v>-71.818237870310497</c:v>
                </c:pt>
                <c:pt idx="541">
                  <c:v>-72.023412097101257</c:v>
                </c:pt>
              </c:numCache>
            </c:numRef>
          </c:yVal>
          <c:smooth val="1"/>
          <c:extLst>
            <c:ext xmlns:c16="http://schemas.microsoft.com/office/drawing/2014/chart" uri="{C3380CC4-5D6E-409C-BE32-E72D297353CC}">
              <c16:uniqueId val="{00000000-1B3F-4802-9751-4D21F96C72BF}"/>
            </c:ext>
          </c:extLst>
        </c:ser>
        <c:dLbls>
          <c:showLegendKey val="0"/>
          <c:showVal val="0"/>
          <c:showCatName val="0"/>
          <c:showSerName val="0"/>
          <c:showPercent val="0"/>
          <c:showBubbleSize val="0"/>
        </c:dLbls>
        <c:axId val="385819776"/>
        <c:axId val="385821696"/>
      </c:scatterChart>
      <c:scatterChart>
        <c:scatterStyle val="smoothMarker"/>
        <c:varyColors val="0"/>
        <c:ser>
          <c:idx val="1"/>
          <c:order val="1"/>
          <c:tx>
            <c:v>Phase (deg)</c:v>
          </c:tx>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CCM_Loop_Modeling_non_isolated!$AE$19:$AE$560</c:f>
              <c:numCache>
                <c:formatCode>General</c:formatCode>
                <c:ptCount val="542"/>
                <c:pt idx="0">
                  <c:v>-53.951773563977461</c:v>
                </c:pt>
                <c:pt idx="1">
                  <c:v>-54.577462125052698</c:v>
                </c:pt>
                <c:pt idx="2">
                  <c:v>-55.19845180398498</c:v>
                </c:pt>
                <c:pt idx="3">
                  <c:v>-55.814488849896833</c:v>
                </c:pt>
                <c:pt idx="4">
                  <c:v>-56.425330736103184</c:v>
                </c:pt>
                <c:pt idx="5">
                  <c:v>-57.030746471977253</c:v>
                </c:pt>
                <c:pt idx="6">
                  <c:v>-57.630516858220105</c:v>
                </c:pt>
                <c:pt idx="7">
                  <c:v>-58.224434686325999</c:v>
                </c:pt>
                <c:pt idx="8">
                  <c:v>-58.812304883449997</c:v>
                </c:pt>
                <c:pt idx="9">
                  <c:v>-59.393944604278779</c:v>
                </c:pt>
                <c:pt idx="10">
                  <c:v>-59.969183271837132</c:v>
                </c:pt>
                <c:pt idx="11">
                  <c:v>-60.53786256947658</c:v>
                </c:pt>
                <c:pt idx="12">
                  <c:v>-61.099836386541938</c:v>
                </c:pt>
                <c:pt idx="13">
                  <c:v>-61.654970720431493</c:v>
                </c:pt>
                <c:pt idx="14">
                  <c:v>-62.203143537939006</c:v>
                </c:pt>
                <c:pt idx="15">
                  <c:v>-62.744244598892074</c:v>
                </c:pt>
                <c:pt idx="16">
                  <c:v>-63.278175245197922</c:v>
                </c:pt>
                <c:pt idx="17">
                  <c:v>-63.804848158453453</c:v>
                </c:pt>
                <c:pt idx="18">
                  <c:v>-64.324187089297951</c:v>
                </c:pt>
                <c:pt idx="19">
                  <c:v>-64.836126561668252</c:v>
                </c:pt>
                <c:pt idx="20">
                  <c:v>-65.340611555071817</c:v>
                </c:pt>
                <c:pt idx="21">
                  <c:v>-65.837597167922311</c:v>
                </c:pt>
                <c:pt idx="22">
                  <c:v>-66.327048264885548</c:v>
                </c:pt>
                <c:pt idx="23">
                  <c:v>-66.808939111076867</c:v>
                </c:pt>
                <c:pt idx="24">
                  <c:v>-67.283252995807089</c:v>
                </c:pt>
                <c:pt idx="25">
                  <c:v>-67.749981848450318</c:v>
                </c:pt>
                <c:pt idx="26">
                  <c:v>-68.209125848835441</c:v>
                </c:pt>
                <c:pt idx="27">
                  <c:v>-68.660693034413598</c:v>
                </c:pt>
                <c:pt idx="28">
                  <c:v>-69.104698906286643</c:v>
                </c:pt>
                <c:pt idx="29">
                  <c:v>-69.541166036008477</c:v>
                </c:pt>
                <c:pt idx="30">
                  <c:v>-69.97012367491287</c:v>
                </c:pt>
                <c:pt idx="31">
                  <c:v>-70.391607367545419</c:v>
                </c:pt>
                <c:pt idx="32">
                  <c:v>-70.805658570618618</c:v>
                </c:pt>
                <c:pt idx="33">
                  <c:v>-71.212324278752533</c:v>
                </c:pt>
                <c:pt idx="34">
                  <c:v>-71.611656658103215</c:v>
                </c:pt>
                <c:pt idx="35">
                  <c:v>-72.003712688844857</c:v>
                </c:pt>
                <c:pt idx="36">
                  <c:v>-72.388553817321053</c:v>
                </c:pt>
                <c:pt idx="37">
                  <c:v>-72.766245618561001</c:v>
                </c:pt>
                <c:pt idx="38">
                  <c:v>-73.136857469724532</c:v>
                </c:pt>
                <c:pt idx="39">
                  <c:v>-73.500462234931121</c:v>
                </c:pt>
                <c:pt idx="40">
                  <c:v>-73.857135961818969</c:v>
                </c:pt>
                <c:pt idx="41">
                  <c:v>-74.206957590088621</c:v>
                </c:pt>
                <c:pt idx="42">
                  <c:v>-74.550008672187744</c:v>
                </c:pt>
                <c:pt idx="43">
                  <c:v>-74.886373106223672</c:v>
                </c:pt>
                <c:pt idx="44">
                  <c:v>-75.216136881112135</c:v>
                </c:pt>
                <c:pt idx="45">
                  <c:v>-75.539387833905977</c:v>
                </c:pt>
                <c:pt idx="46">
                  <c:v>-75.856215419195379</c:v>
                </c:pt>
                <c:pt idx="47">
                  <c:v>-76.16671049041355</c:v>
                </c:pt>
                <c:pt idx="48">
                  <c:v>-76.470965092846328</c:v>
                </c:pt>
                <c:pt idx="49">
                  <c:v>-76.769072268098981</c:v>
                </c:pt>
                <c:pt idx="50">
                  <c:v>-77.06112586974875</c:v>
                </c:pt>
                <c:pt idx="51">
                  <c:v>-77.347220389877933</c:v>
                </c:pt>
                <c:pt idx="52">
                  <c:v>-77.627450796167395</c:v>
                </c:pt>
                <c:pt idx="53">
                  <c:v>-77.901912379207573</c:v>
                </c:pt>
                <c:pt idx="54">
                  <c:v>-78.17070060967329</c:v>
                </c:pt>
                <c:pt idx="55">
                  <c:v>-78.433911004999516</c:v>
                </c:pt>
                <c:pt idx="56">
                  <c:v>-78.691639005185451</c:v>
                </c:pt>
                <c:pt idx="57">
                  <c:v>-78.943979857354748</c:v>
                </c:pt>
                <c:pt idx="58">
                  <c:v>-79.191028508694558</c:v>
                </c:pt>
                <c:pt idx="59">
                  <c:v>-79.432879507400401</c:v>
                </c:pt>
                <c:pt idx="60">
                  <c:v>-79.669626911255691</c:v>
                </c:pt>
                <c:pt idx="61">
                  <c:v>-79.901364203477641</c:v>
                </c:pt>
                <c:pt idx="62">
                  <c:v>-80.128184215471961</c:v>
                </c:pt>
                <c:pt idx="63">
                  <c:v>-80.35017905614086</c:v>
                </c:pt>
                <c:pt idx="64">
                  <c:v>-80.567440047402386</c:v>
                </c:pt>
                <c:pt idx="65">
                  <c:v>-80.780057665584053</c:v>
                </c:pt>
                <c:pt idx="66">
                  <c:v>-80.988121488367256</c:v>
                </c:pt>
                <c:pt idx="67">
                  <c:v>-81.191720146967455</c:v>
                </c:pt>
                <c:pt idx="68">
                  <c:v>-81.390941283246164</c:v>
                </c:pt>
                <c:pt idx="69">
                  <c:v>-81.585871511463367</c:v>
                </c:pt>
                <c:pt idx="70">
                  <c:v>-81.776596384389023</c:v>
                </c:pt>
                <c:pt idx="71">
                  <c:v>-81.963200363504114</c:v>
                </c:pt>
                <c:pt idx="72">
                  <c:v>-82.145766793033772</c:v>
                </c:pt>
                <c:pt idx="73">
                  <c:v>-82.324377877565752</c:v>
                </c:pt>
                <c:pt idx="74">
                  <c:v>-82.499114663019029</c:v>
                </c:pt>
                <c:pt idx="75">
                  <c:v>-82.670057020739222</c:v>
                </c:pt>
                <c:pt idx="76">
                  <c:v>-82.837283634506761</c:v>
                </c:pt>
                <c:pt idx="77">
                  <c:v>-83.000871990256471</c:v>
                </c:pt>
                <c:pt idx="78">
                  <c:v>-83.160898368315642</c:v>
                </c:pt>
                <c:pt idx="79">
                  <c:v>-83.317437837979625</c:v>
                </c:pt>
                <c:pt idx="80">
                  <c:v>-83.470564254252196</c:v>
                </c:pt>
                <c:pt idx="81">
                  <c:v>-83.620350256588324</c:v>
                </c:pt>
                <c:pt idx="82">
                  <c:v>-83.766867269485843</c:v>
                </c:pt>
                <c:pt idx="83">
                  <c:v>-83.910185504781097</c:v>
                </c:pt>
                <c:pt idx="84">
                  <c:v>-84.050373965512364</c:v>
                </c:pt>
                <c:pt idx="85">
                  <c:v>-84.18750045122232</c:v>
                </c:pt>
                <c:pt idx="86">
                  <c:v>-84.321631564579661</c:v>
                </c:pt>
                <c:pt idx="87">
                  <c:v>-84.452832719205418</c:v>
                </c:pt>
                <c:pt idx="88">
                  <c:v>-84.581168148599204</c:v>
                </c:pt>
                <c:pt idx="89">
                  <c:v>-84.70670091606388</c:v>
                </c:pt>
                <c:pt idx="90">
                  <c:v>-84.829492925537352</c:v>
                </c:pt>
                <c:pt idx="91">
                  <c:v>-84.949604933242952</c:v>
                </c:pt>
                <c:pt idx="92">
                  <c:v>-85.067096560076649</c:v>
                </c:pt>
                <c:pt idx="93">
                  <c:v>-85.18202630465629</c:v>
                </c:pt>
                <c:pt idx="94">
                  <c:v>-85.294451556960553</c:v>
                </c:pt>
                <c:pt idx="95">
                  <c:v>-85.40442861249214</c:v>
                </c:pt>
                <c:pt idx="96">
                  <c:v>-85.512012686903191</c:v>
                </c:pt>
                <c:pt idx="97">
                  <c:v>-85.617257931026089</c:v>
                </c:pt>
                <c:pt idx="98">
                  <c:v>-85.720217446256171</c:v>
                </c:pt>
                <c:pt idx="99">
                  <c:v>-85.820943300237076</c:v>
                </c:pt>
                <c:pt idx="100">
                  <c:v>-85.919486542802616</c:v>
                </c:pt>
                <c:pt idx="101">
                  <c:v>-86.015897222133745</c:v>
                </c:pt>
                <c:pt idx="102">
                  <c:v>-86.110224401090264</c:v>
                </c:pt>
                <c:pt idx="103">
                  <c:v>-86.202516173682042</c:v>
                </c:pt>
                <c:pt idx="104">
                  <c:v>-86.292819681646023</c:v>
                </c:pt>
                <c:pt idx="105">
                  <c:v>-86.381181131098415</c:v>
                </c:pt>
                <c:pt idx="106">
                  <c:v>-86.467645809233574</c:v>
                </c:pt>
                <c:pt idx="107">
                  <c:v>-86.552258101044103</c:v>
                </c:pt>
                <c:pt idx="108">
                  <c:v>-86.635061506038255</c:v>
                </c:pt>
                <c:pt idx="109">
                  <c:v>-86.716098654932907</c:v>
                </c:pt>
                <c:pt idx="110">
                  <c:v>-86.795411326302172</c:v>
                </c:pt>
                <c:pt idx="111">
                  <c:v>-86.87304046316396</c:v>
                </c:pt>
                <c:pt idx="112">
                  <c:v>-86.949026189487924</c:v>
                </c:pt>
                <c:pt idx="113">
                  <c:v>-87.023407826609926</c:v>
                </c:pt>
                <c:pt idx="114">
                  <c:v>-87.096223909539759</c:v>
                </c:pt>
                <c:pt idx="115">
                  <c:v>-87.167512203150167</c:v>
                </c:pt>
                <c:pt idx="116">
                  <c:v>-87.237309718235934</c:v>
                </c:pt>
                <c:pt idx="117">
                  <c:v>-87.305652727434264</c:v>
                </c:pt>
                <c:pt idx="118">
                  <c:v>-87.372576780997051</c:v>
                </c:pt>
                <c:pt idx="119">
                  <c:v>-87.438116722408012</c:v>
                </c:pt>
                <c:pt idx="120">
                  <c:v>-87.502306703838073</c:v>
                </c:pt>
                <c:pt idx="121">
                  <c:v>-87.565180201433151</c:v>
                </c:pt>
                <c:pt idx="122">
                  <c:v>-87.626770030429412</c:v>
                </c:pt>
                <c:pt idx="123">
                  <c:v>-87.687108360092111</c:v>
                </c:pt>
                <c:pt idx="124">
                  <c:v>-87.746226728474241</c:v>
                </c:pt>
                <c:pt idx="125">
                  <c:v>-87.804156056992156</c:v>
                </c:pt>
                <c:pt idx="126">
                  <c:v>-87.860926664816489</c:v>
                </c:pt>
                <c:pt idx="127">
                  <c:v>-87.916568283075804</c:v>
                </c:pt>
                <c:pt idx="128">
                  <c:v>-87.971110068872377</c:v>
                </c:pt>
                <c:pt idx="129">
                  <c:v>-88.024580619109685</c:v>
                </c:pt>
                <c:pt idx="130">
                  <c:v>-88.07700798413029</c:v>
                </c:pt>
                <c:pt idx="131">
                  <c:v>-88.128419681165269</c:v>
                </c:pt>
                <c:pt idx="132">
                  <c:v>-88.178842707595194</c:v>
                </c:pt>
                <c:pt idx="133">
                  <c:v>-88.228303554023569</c:v>
                </c:pt>
                <c:pt idx="134">
                  <c:v>-88.276828217163668</c:v>
                </c:pt>
                <c:pt idx="135">
                  <c:v>-88.32444221254049</c:v>
                </c:pt>
                <c:pt idx="136">
                  <c:v>-88.371170587009388</c:v>
                </c:pt>
                <c:pt idx="137">
                  <c:v>-88.417037931093049</c:v>
                </c:pt>
                <c:pt idx="138">
                  <c:v>-88.462068391139141</c:v>
                </c:pt>
                <c:pt idx="139">
                  <c:v>-88.50628568130108</c:v>
                </c:pt>
                <c:pt idx="140">
                  <c:v>-88.549713095343918</c:v>
                </c:pt>
                <c:pt idx="141">
                  <c:v>-88.592373518278649</c:v>
                </c:pt>
                <c:pt idx="142">
                  <c:v>-88.634289437827121</c:v>
                </c:pt>
                <c:pt idx="143">
                  <c:v>-88.675482955720739</c:v>
                </c:pt>
                <c:pt idx="144">
                  <c:v>-88.715975798836297</c:v>
                </c:pt>
                <c:pt idx="145">
                  <c:v>-88.755789330171353</c:v>
                </c:pt>
                <c:pt idx="146">
                  <c:v>-88.794944559663278</c:v>
                </c:pt>
                <c:pt idx="147">
                  <c:v>-88.833462154854644</c:v>
                </c:pt>
                <c:pt idx="148">
                  <c:v>-88.871362451408572</c:v>
                </c:pt>
                <c:pt idx="149">
                  <c:v>-88.908665463477789</c:v>
                </c:pt>
                <c:pt idx="150">
                  <c:v>-88.945390893930394</c:v>
                </c:pt>
                <c:pt idx="151">
                  <c:v>-88.981558144436505</c:v>
                </c:pt>
                <c:pt idx="152">
                  <c:v>-89.017186325419033</c:v>
                </c:pt>
                <c:pt idx="153">
                  <c:v>-89.052294265872348</c:v>
                </c:pt>
                <c:pt idx="154">
                  <c:v>-89.086900523052776</c:v>
                </c:pt>
                <c:pt idx="155">
                  <c:v>-89.121023392044364</c:v>
                </c:pt>
                <c:pt idx="156">
                  <c:v>-89.154680915203841</c:v>
                </c:pt>
                <c:pt idx="157">
                  <c:v>-89.187890891488607</c:v>
                </c:pt>
                <c:pt idx="158">
                  <c:v>-89.220670885671538</c:v>
                </c:pt>
                <c:pt idx="159">
                  <c:v>-89.253038237446376</c:v>
                </c:pt>
                <c:pt idx="160">
                  <c:v>-89.285010070427546</c:v>
                </c:pt>
                <c:pt idx="161">
                  <c:v>-89.316603301048445</c:v>
                </c:pt>
                <c:pt idx="162">
                  <c:v>-89.347834647361708</c:v>
                </c:pt>
                <c:pt idx="163">
                  <c:v>-89.378720637745701</c:v>
                </c:pt>
                <c:pt idx="164">
                  <c:v>-89.409277619520864</c:v>
                </c:pt>
                <c:pt idx="165">
                  <c:v>-89.439521767479732</c:v>
                </c:pt>
                <c:pt idx="166">
                  <c:v>-89.469469092334819</c:v>
                </c:pt>
                <c:pt idx="167">
                  <c:v>-89.499135449087774</c:v>
                </c:pt>
                <c:pt idx="168">
                  <c:v>-89.528536545324172</c:v>
                </c:pt>
                <c:pt idx="169">
                  <c:v>-89.557687949437295</c:v>
                </c:pt>
                <c:pt idx="170">
                  <c:v>-89.586605098785313</c:v>
                </c:pt>
                <c:pt idx="171">
                  <c:v>-89.615303307785197</c:v>
                </c:pt>
                <c:pt idx="172">
                  <c:v>-89.643797775947604</c:v>
                </c:pt>
                <c:pt idx="173">
                  <c:v>-89.672103595856441</c:v>
                </c:pt>
                <c:pt idx="174">
                  <c:v>-89.700235761096877</c:v>
                </c:pt>
                <c:pt idx="175">
                  <c:v>-89.728209174135969</c:v>
                </c:pt>
                <c:pt idx="176">
                  <c:v>-89.756038654159184</c:v>
                </c:pt>
                <c:pt idx="177">
                  <c:v>-89.783738944867395</c:v>
                </c:pt>
                <c:pt idx="178">
                  <c:v>-89.811324722237543</c:v>
                </c:pt>
                <c:pt idx="179">
                  <c:v>-89.838810602251158</c:v>
                </c:pt>
                <c:pt idx="180">
                  <c:v>-89.866211148594559</c:v>
                </c:pt>
                <c:pt idx="181">
                  <c:v>-89.893540880334498</c:v>
                </c:pt>
                <c:pt idx="182">
                  <c:v>-89.920814279572994</c:v>
                </c:pt>
                <c:pt idx="183">
                  <c:v>-89.948045799085676</c:v>
                </c:pt>
                <c:pt idx="184">
                  <c:v>-89.975249869946722</c:v>
                </c:pt>
                <c:pt idx="185">
                  <c:v>-90.002440909145079</c:v>
                </c:pt>
                <c:pt idx="186">
                  <c:v>-90.029633327195256</c:v>
                </c:pt>
                <c:pt idx="187">
                  <c:v>-90.056841535746742</c:v>
                </c:pt>
                <c:pt idx="188">
                  <c:v>-90.084079955196032</c:v>
                </c:pt>
                <c:pt idx="189">
                  <c:v>-90.111363022305085</c:v>
                </c:pt>
                <c:pt idx="190">
                  <c:v>-90.138705197830021</c:v>
                </c:pt>
                <c:pt idx="191">
                  <c:v>-90.166120974164158</c:v>
                </c:pt>
                <c:pt idx="192">
                  <c:v>-90.193624882999217</c:v>
                </c:pt>
                <c:pt idx="193">
                  <c:v>-90.221231503008667</c:v>
                </c:pt>
                <c:pt idx="194">
                  <c:v>-90.248955467557167</c:v>
                </c:pt>
                <c:pt idx="195">
                  <c:v>-90.276811472440102</c:v>
                </c:pt>
                <c:pt idx="196">
                  <c:v>-90.304814283657407</c:v>
                </c:pt>
                <c:pt idx="197">
                  <c:v>-90.332978745225205</c:v>
                </c:pt>
                <c:pt idx="198">
                  <c:v>-90.361319787029998</c:v>
                </c:pt>
                <c:pt idx="199">
                  <c:v>-90.389852432728986</c:v>
                </c:pt>
                <c:pt idx="200">
                  <c:v>-90.41859180770075</c:v>
                </c:pt>
                <c:pt idx="201">
                  <c:v>-90.447553147050741</c:v>
                </c:pt>
                <c:pt idx="202">
                  <c:v>-90.476751803675072</c:v>
                </c:pt>
                <c:pt idx="203">
                  <c:v>-90.506203256387764</c:v>
                </c:pt>
                <c:pt idx="204">
                  <c:v>-90.535923118114738</c:v>
                </c:pt>
                <c:pt idx="205">
                  <c:v>-90.565927144159531</c:v>
                </c:pt>
                <c:pt idx="206">
                  <c:v>-90.596231240544768</c:v>
                </c:pt>
                <c:pt idx="207">
                  <c:v>-90.626851472433685</c:v>
                </c:pt>
                <c:pt idx="208">
                  <c:v>-90.657804072636324</c:v>
                </c:pt>
                <c:pt idx="209">
                  <c:v>-90.689105450204721</c:v>
                </c:pt>
                <c:pt idx="210">
                  <c:v>-90.720772199121541</c:v>
                </c:pt>
                <c:pt idx="211">
                  <c:v>-90.752821107086945</c:v>
                </c:pt>
                <c:pt idx="212">
                  <c:v>-90.785269164407964</c:v>
                </c:pt>
                <c:pt idx="213">
                  <c:v>-90.818133572995279</c:v>
                </c:pt>
                <c:pt idx="214">
                  <c:v>-90.851431755472035</c:v>
                </c:pt>
                <c:pt idx="215">
                  <c:v>-90.8851813643995</c:v>
                </c:pt>
                <c:pt idx="216">
                  <c:v>-90.91940029162437</c:v>
                </c:pt>
                <c:pt idx="217">
                  <c:v>-90.954106677752534</c:v>
                </c:pt>
                <c:pt idx="218">
                  <c:v>-90.989318921754474</c:v>
                </c:pt>
                <c:pt idx="219">
                  <c:v>-91.025055690707191</c:v>
                </c:pt>
                <c:pt idx="220">
                  <c:v>-91.061335929677611</c:v>
                </c:pt>
                <c:pt idx="221">
                  <c:v>-91.098178871753078</c:v>
                </c:pt>
                <c:pt idx="222">
                  <c:v>-91.135604048223612</c:v>
                </c:pt>
                <c:pt idx="223">
                  <c:v>-91.173631298921819</c:v>
                </c:pt>
                <c:pt idx="224">
                  <c:v>-91.212280782725429</c:v>
                </c:pt>
                <c:pt idx="225">
                  <c:v>-91.251572988228048</c:v>
                </c:pt>
                <c:pt idx="226">
                  <c:v>-91.291528744584141</c:v>
                </c:pt>
                <c:pt idx="227">
                  <c:v>-91.33216923253292</c:v>
                </c:pt>
                <c:pt idx="228">
                  <c:v>-91.373515995608017</c:v>
                </c:pt>
                <c:pt idx="229">
                  <c:v>-91.415590951538121</c:v>
                </c:pt>
                <c:pt idx="230">
                  <c:v>-91.458416403844396</c:v>
                </c:pt>
                <c:pt idx="231">
                  <c:v>-91.502015053641358</c:v>
                </c:pt>
                <c:pt idx="232">
                  <c:v>-91.546410011646671</c:v>
                </c:pt>
                <c:pt idx="233">
                  <c:v>-91.5916248104066</c:v>
                </c:pt>
                <c:pt idx="234">
                  <c:v>-91.637683416742988</c:v>
                </c:pt>
                <c:pt idx="235">
                  <c:v>-91.684610244428811</c:v>
                </c:pt>
                <c:pt idx="236">
                  <c:v>-91.732430167098315</c:v>
                </c:pt>
                <c:pt idx="237">
                  <c:v>-91.781168531398563</c:v>
                </c:pt>
                <c:pt idx="238">
                  <c:v>-91.830851170389593</c:v>
                </c:pt>
                <c:pt idx="239">
                  <c:v>-91.881504417199366</c:v>
                </c:pt>
                <c:pt idx="240">
                  <c:v>-91.933155118941201</c:v>
                </c:pt>
                <c:pt idx="241">
                  <c:v>-91.985830650900425</c:v>
                </c:pt>
                <c:pt idx="242">
                  <c:v>-92.039558930997927</c:v>
                </c:pt>
                <c:pt idx="243">
                  <c:v>-92.094368434537387</c:v>
                </c:pt>
                <c:pt idx="244">
                  <c:v>-92.150288209244465</c:v>
                </c:pt>
                <c:pt idx="245">
                  <c:v>-92.207347890605234</c:v>
                </c:pt>
                <c:pt idx="246">
                  <c:v>-92.265577717511491</c:v>
                </c:pt>
                <c:pt idx="247">
                  <c:v>-92.325008548221518</c:v>
                </c:pt>
                <c:pt idx="248">
                  <c:v>-92.385671876643698</c:v>
                </c:pt>
                <c:pt idx="249">
                  <c:v>-92.447599848951711</c:v>
                </c:pt>
                <c:pt idx="250">
                  <c:v>-92.510825280539422</c:v>
                </c:pt>
                <c:pt idx="251">
                  <c:v>-92.57538167332423</c:v>
                </c:pt>
                <c:pt idx="252">
                  <c:v>-92.641303233407442</c:v>
                </c:pt>
                <c:pt idx="253">
                  <c:v>-92.708624889100292</c:v>
                </c:pt>
                <c:pt idx="254">
                  <c:v>-92.777382309325233</c:v>
                </c:pt>
                <c:pt idx="255">
                  <c:v>-92.847611922400944</c:v>
                </c:pt>
                <c:pt idx="256">
                  <c:v>-92.919350935220564</c:v>
                </c:pt>
                <c:pt idx="257">
                  <c:v>-92.992637352833157</c:v>
                </c:pt>
                <c:pt idx="258">
                  <c:v>-93.067509998437231</c:v>
                </c:pt>
                <c:pt idx="259">
                  <c:v>-93.14400853379658</c:v>
                </c:pt>
                <c:pt idx="260">
                  <c:v>-93.222173480088316</c:v>
                </c:pt>
                <c:pt idx="261">
                  <c:v>-93.302046239193146</c:v>
                </c:pt>
                <c:pt idx="262">
                  <c:v>-93.383669115438153</c:v>
                </c:pt>
                <c:pt idx="263">
                  <c:v>-93.467085337802672</c:v>
                </c:pt>
                <c:pt idx="264">
                  <c:v>-93.552339082597584</c:v>
                </c:pt>
                <c:pt idx="265">
                  <c:v>-93.639475496629046</c:v>
                </c:pt>
                <c:pt idx="266">
                  <c:v>-93.728540720857325</c:v>
                </c:pt>
                <c:pt idx="267">
                  <c:v>-93.819581914562008</c:v>
                </c:pt>
                <c:pt idx="268">
                  <c:v>-93.912647280024672</c:v>
                </c:pt>
                <c:pt idx="269">
                  <c:v>-94.007786087740342</c:v>
                </c:pt>
                <c:pt idx="270">
                  <c:v>-94.105048702169285</c:v>
                </c:pt>
                <c:pt idx="271">
                  <c:v>-94.204486608040966</c:v>
                </c:pt>
                <c:pt idx="272">
                  <c:v>-94.306152437221371</c:v>
                </c:pt>
                <c:pt idx="273">
                  <c:v>-94.410099996156248</c:v>
                </c:pt>
                <c:pt idx="274">
                  <c:v>-94.516384293901751</c:v>
                </c:pt>
                <c:pt idx="275">
                  <c:v>-94.625061570754852</c:v>
                </c:pt>
                <c:pt idx="276">
                  <c:v>-94.736189327495708</c:v>
                </c:pt>
                <c:pt idx="277">
                  <c:v>-94.849826355253967</c:v>
                </c:pt>
                <c:pt idx="278">
                  <c:v>-94.966032766011608</c:v>
                </c:pt>
                <c:pt idx="279">
                  <c:v>-95.084870023754718</c:v>
                </c:pt>
                <c:pt idx="280">
                  <c:v>-95.206400976286318</c:v>
                </c:pt>
                <c:pt idx="281">
                  <c:v>-95.330689887712737</c:v>
                </c:pt>
                <c:pt idx="282">
                  <c:v>-95.457802471616176</c:v>
                </c:pt>
                <c:pt idx="283">
                  <c:v>-95.587805924925277</c:v>
                </c:pt>
                <c:pt idx="284">
                  <c:v>-95.720768962496408</c:v>
                </c:pt>
                <c:pt idx="285">
                  <c:v>-95.856761852417421</c:v>
                </c:pt>
                <c:pt idx="286">
                  <c:v>-95.995856452045842</c:v>
                </c:pt>
                <c:pt idx="287">
                  <c:v>-96.138126244794137</c:v>
                </c:pt>
                <c:pt idx="288">
                  <c:v>-96.283646377671488</c:v>
                </c:pt>
                <c:pt idx="289">
                  <c:v>-96.432493699596307</c:v>
                </c:pt>
                <c:pt idx="290">
                  <c:v>-96.584746800486997</c:v>
                </c:pt>
                <c:pt idx="291">
                  <c:v>-96.740486051144572</c:v>
                </c:pt>
                <c:pt idx="292">
                  <c:v>-96.899793643934089</c:v>
                </c:pt>
                <c:pt idx="293">
                  <c:v>-97.062753634277044</c:v>
                </c:pt>
                <c:pt idx="294">
                  <c:v>-97.229451982960839</c:v>
                </c:pt>
                <c:pt idx="295">
                  <c:v>-97.399976599275377</c:v>
                </c:pt>
                <c:pt idx="296">
                  <c:v>-97.574417384982183</c:v>
                </c:pt>
                <c:pt idx="297">
                  <c:v>-97.752866279122571</c:v>
                </c:pt>
                <c:pt idx="298">
                  <c:v>-97.93541730367042</c:v>
                </c:pt>
                <c:pt idx="299">
                  <c:v>-98.122166610031812</c:v>
                </c:pt>
                <c:pt idx="300">
                  <c:v>-98.313212526394196</c:v>
                </c:pt>
                <c:pt idx="301">
                  <c:v>-98.508655605925853</c:v>
                </c:pt>
                <c:pt idx="302">
                  <c:v>-98.708598675823481</c:v>
                </c:pt>
                <c:pt idx="303">
                  <c:v>-98.913146887204391</c:v>
                </c:pt>
                <c:pt idx="304">
                  <c:v>-99.122407765838162</c:v>
                </c:pt>
                <c:pt idx="305">
                  <c:v>-99.336491263707956</c:v>
                </c:pt>
                <c:pt idx="306">
                  <c:v>-99.555509811390678</c:v>
                </c:pt>
                <c:pt idx="307">
                  <c:v>-99.7795783712413</c:v>
                </c:pt>
                <c:pt idx="308">
                  <c:v>-100.00881449136206</c:v>
                </c:pt>
                <c:pt idx="309">
                  <c:v>-100.2433383603346</c:v>
                </c:pt>
                <c:pt idx="310">
                  <c:v>-100.48327286268756</c:v>
                </c:pt>
                <c:pt idx="311">
                  <c:v>-100.72874363506702</c:v>
                </c:pt>
                <c:pt idx="312">
                  <c:v>-100.97987912307225</c:v>
                </c:pt>
                <c:pt idx="313">
                  <c:v>-101.23681063871273</c:v>
                </c:pt>
                <c:pt idx="314">
                  <c:v>-101.49967241843407</c:v>
                </c:pt>
                <c:pt idx="315">
                  <c:v>-101.7686016816549</c:v>
                </c:pt>
                <c:pt idx="316">
                  <c:v>-102.04373868974683</c:v>
                </c:pt>
                <c:pt idx="317">
                  <c:v>-102.32522680537969</c:v>
                </c:pt>
                <c:pt idx="318">
                  <c:v>-102.6132125521453</c:v>
                </c:pt>
                <c:pt idx="319">
                  <c:v>-102.90784567435966</c:v>
                </c:pt>
                <c:pt idx="320">
                  <c:v>-103.20927919693072</c:v>
                </c:pt>
                <c:pt idx="321">
                  <c:v>-103.51766948516634</c:v>
                </c:pt>
                <c:pt idx="322">
                  <c:v>-103.83317630437821</c:v>
                </c:pt>
                <c:pt idx="323">
                  <c:v>-104.15596287912199</c:v>
                </c:pt>
                <c:pt idx="324">
                  <c:v>-104.48619595189696</c:v>
                </c:pt>
                <c:pt idx="325">
                  <c:v>-104.82404584109814</c:v>
                </c:pt>
                <c:pt idx="326">
                  <c:v>-105.16968649800333</c:v>
                </c:pt>
                <c:pt idx="327">
                  <c:v>-105.52329556254037</c:v>
                </c:pt>
                <c:pt idx="328">
                  <c:v>-105.8850544175571</c:v>
                </c:pt>
                <c:pt idx="329">
                  <c:v>-106.25514824128483</c:v>
                </c:pt>
                <c:pt idx="330">
                  <c:v>-106.63376605764753</c:v>
                </c:pt>
                <c:pt idx="331">
                  <c:v>-107.02110078403686</c:v>
                </c:pt>
                <c:pt idx="332">
                  <c:v>-107.41734927612619</c:v>
                </c:pt>
                <c:pt idx="333">
                  <c:v>-107.82271236925489</c:v>
                </c:pt>
                <c:pt idx="334">
                  <c:v>-108.23739491586109</c:v>
                </c:pt>
                <c:pt idx="335">
                  <c:v>-108.66160581838845</c:v>
                </c:pt>
                <c:pt idx="336">
                  <c:v>-109.09555805702956</c:v>
                </c:pt>
                <c:pt idx="337">
                  <c:v>-109.53946871160927</c:v>
                </c:pt>
                <c:pt idx="338">
                  <c:v>-109.99355897683111</c:v>
                </c:pt>
                <c:pt idx="339">
                  <c:v>-110.45805417003923</c:v>
                </c:pt>
                <c:pt idx="340">
                  <c:v>-110.933183730561</c:v>
                </c:pt>
                <c:pt idx="341">
                  <c:v>-111.4191812096047</c:v>
                </c:pt>
                <c:pt idx="342">
                  <c:v>-111.91628424958546</c:v>
                </c:pt>
                <c:pt idx="343">
                  <c:v>-112.42473455164887</c:v>
                </c:pt>
                <c:pt idx="344">
                  <c:v>-112.94477783004149</c:v>
                </c:pt>
                <c:pt idx="345">
                  <c:v>-113.47666375185889</c:v>
                </c:pt>
                <c:pt idx="346">
                  <c:v>-114.02064586056345</c:v>
                </c:pt>
                <c:pt idx="347">
                  <c:v>-114.57698148152249</c:v>
                </c:pt>
                <c:pt idx="348">
                  <c:v>-115.14593160766988</c:v>
                </c:pt>
                <c:pt idx="349">
                  <c:v>-115.72776076322774</c:v>
                </c:pt>
                <c:pt idx="350">
                  <c:v>-116.3227368432555</c:v>
                </c:pt>
                <c:pt idx="351">
                  <c:v>-116.93113092662061</c:v>
                </c:pt>
                <c:pt idx="352">
                  <c:v>-117.55321705978693</c:v>
                </c:pt>
                <c:pt idx="353">
                  <c:v>-118.18927200863546</c:v>
                </c:pt>
                <c:pt idx="354">
                  <c:v>-118.83957497532091</c:v>
                </c:pt>
                <c:pt idx="355">
                  <c:v>-119.50440727696727</c:v>
                </c:pt>
                <c:pt idx="356">
                  <c:v>-120.18405198280078</c:v>
                </c:pt>
                <c:pt idx="357">
                  <c:v>-120.87879350610558</c:v>
                </c:pt>
                <c:pt idx="358">
                  <c:v>-121.58891714718965</c:v>
                </c:pt>
                <c:pt idx="359">
                  <c:v>-122.3147085833487</c:v>
                </c:pt>
                <c:pt idx="360">
                  <c:v>-123.05645330163485</c:v>
                </c:pt>
                <c:pt idx="361">
                  <c:v>-123.81443597006641</c:v>
                </c:pt>
                <c:pt idx="362">
                  <c:v>-124.58893974277851</c:v>
                </c:pt>
                <c:pt idx="363">
                  <c:v>-125.38024549450105</c:v>
                </c:pt>
                <c:pt idx="364">
                  <c:v>-126.18863097968116</c:v>
                </c:pt>
                <c:pt idx="365">
                  <c:v>-127.01436991155026</c:v>
                </c:pt>
                <c:pt idx="366">
                  <c:v>-127.85773095648054</c:v>
                </c:pt>
                <c:pt idx="367">
                  <c:v>-128.71897663908902</c:v>
                </c:pt>
                <c:pt idx="368">
                  <c:v>-129.59836215376117</c:v>
                </c:pt>
                <c:pt idx="369">
                  <c:v>-130.49613407856913</c:v>
                </c:pt>
                <c:pt idx="370">
                  <c:v>-131.41252898799112</c:v>
                </c:pt>
                <c:pt idx="371">
                  <c:v>-132.34777196140837</c:v>
                </c:pt>
                <c:pt idx="372">
                  <c:v>-133.30207498506789</c:v>
                </c:pt>
                <c:pt idx="373">
                  <c:v>-134.2756352460944</c:v>
                </c:pt>
                <c:pt idx="374">
                  <c:v>-135.26863331821511</c:v>
                </c:pt>
                <c:pt idx="375">
                  <c:v>-136.28123124014368</c:v>
                </c:pt>
                <c:pt idx="376">
                  <c:v>-137.31357048907168</c:v>
                </c:pt>
                <c:pt idx="377">
                  <c:v>-138.36576985345593</c:v>
                </c:pt>
                <c:pt idx="378">
                  <c:v>-139.4379232112565</c:v>
                </c:pt>
                <c:pt idx="379">
                  <c:v>-140.53009722200272</c:v>
                </c:pt>
                <c:pt idx="380">
                  <c:v>-141.64232894350869</c:v>
                </c:pt>
                <c:pt idx="381">
                  <c:v>-142.77462338674059</c:v>
                </c:pt>
                <c:pt idx="382">
                  <c:v>-143.92695102522165</c:v>
                </c:pt>
                <c:pt idx="383">
                  <c:v>-145.09924527840272</c:v>
                </c:pt>
                <c:pt idx="384">
                  <c:v>-146.2913999916164</c:v>
                </c:pt>
                <c:pt idx="385">
                  <c:v>-147.5032669384623</c:v>
                </c:pt>
                <c:pt idx="386">
                  <c:v>-148.73465337472544</c:v>
                </c:pt>
                <c:pt idx="387">
                  <c:v>-149.98531967606621</c:v>
                </c:pt>
                <c:pt idx="388">
                  <c:v>-151.25497709467518</c:v>
                </c:pt>
                <c:pt idx="389">
                  <c:v>-152.54328567272856</c:v>
                </c:pt>
                <c:pt idx="390">
                  <c:v>-153.84985235269446</c:v>
                </c:pt>
                <c:pt idx="391">
                  <c:v>-155.17422932617626</c:v>
                </c:pt>
                <c:pt idx="392">
                  <c:v>-156.51591266392552</c:v>
                </c:pt>
                <c:pt idx="393">
                  <c:v>-157.87434126976038</c:v>
                </c:pt>
                <c:pt idx="394">
                  <c:v>-159.24889620026218</c:v>
                </c:pt>
                <c:pt idx="395">
                  <c:v>-160.63890039020825</c:v>
                </c:pt>
                <c:pt idx="396">
                  <c:v>-162.04361882059882</c:v>
                </c:pt>
                <c:pt idx="397">
                  <c:v>-163.46225916185568</c:v>
                </c:pt>
                <c:pt idx="398">
                  <c:v>-164.89397291923862</c:v>
                </c:pt>
                <c:pt idx="399">
                  <c:v>-166.33785710082256</c:v>
                </c:pt>
                <c:pt idx="400">
                  <c:v>-167.7929564205368</c:v>
                </c:pt>
                <c:pt idx="401">
                  <c:v>-169.2582660399726</c:v>
                </c:pt>
                <c:pt idx="402">
                  <c:v>-170.73273484305918</c:v>
                </c:pt>
                <c:pt idx="403">
                  <c:v>-172.21526922755874</c:v>
                </c:pt>
                <c:pt idx="404">
                  <c:v>-173.70473738690973</c:v>
                </c:pt>
                <c:pt idx="405">
                  <c:v>-175.1999740455708</c:v>
                </c:pt>
                <c:pt idx="406">
                  <c:v>-176.69978560102439</c:v>
                </c:pt>
                <c:pt idx="407">
                  <c:v>-178.20295561633378</c:v>
                </c:pt>
                <c:pt idx="408">
                  <c:v>-179.70825059894796</c:v>
                </c:pt>
                <c:pt idx="409">
                  <c:v>178.78557400538787</c:v>
                </c:pt>
                <c:pt idx="410">
                  <c:v>177.27976767996248</c:v>
                </c:pt>
                <c:pt idx="411">
                  <c:v>175.7755786453767</c:v>
                </c:pt>
                <c:pt idx="412">
                  <c:v>174.27424768987683</c:v>
                </c:pt>
                <c:pt idx="413">
                  <c:v>172.77700210222955</c:v>
                </c:pt>
                <c:pt idx="414">
                  <c:v>171.28504978498196</c:v>
                </c:pt>
                <c:pt idx="415">
                  <c:v>169.79957362144461</c:v>
                </c:pt>
                <c:pt idx="416">
                  <c:v>168.32172616348825</c:v>
                </c:pt>
                <c:pt idx="417">
                  <c:v>166.85262469954444</c:v>
                </c:pt>
                <c:pt idx="418">
                  <c:v>165.39334675330298</c:v>
                </c:pt>
                <c:pt idx="419">
                  <c:v>163.94492605386677</c:v>
                </c:pt>
                <c:pt idx="420">
                  <c:v>162.50834900786336</c:v>
                </c:pt>
                <c:pt idx="421">
                  <c:v>161.08455169359664</c:v>
                </c:pt>
                <c:pt idx="422">
                  <c:v>159.67441738706233</c:v>
                </c:pt>
                <c:pt idx="423">
                  <c:v>158.27877461983118</c:v>
                </c:pt>
                <c:pt idx="424">
                  <c:v>156.89839575972996</c:v>
                </c:pt>
                <c:pt idx="425">
                  <c:v>155.5339960970465</c:v>
                </c:pt>
                <c:pt idx="426">
                  <c:v>154.18623341190332</c:v>
                </c:pt>
                <c:pt idx="427">
                  <c:v>152.85570799250723</c:v>
                </c:pt>
                <c:pt idx="428">
                  <c:v>151.54296306927048</c:v>
                </c:pt>
                <c:pt idx="429">
                  <c:v>150.24848562631459</c:v>
                </c:pt>
                <c:pt idx="430">
                  <c:v>148.97270754959266</c:v>
                </c:pt>
                <c:pt idx="431">
                  <c:v>147.71600706962943</c:v>
                </c:pt>
                <c:pt idx="432">
                  <c:v>146.47871045673304</c:v>
                </c:pt>
                <c:pt idx="433">
                  <c:v>145.26109392719437</c:v>
                </c:pt>
                <c:pt idx="434">
                  <c:v>144.06338572045695</c:v>
                </c:pt>
                <c:pt idx="435">
                  <c:v>142.88576830928545</c:v>
                </c:pt>
                <c:pt idx="436">
                  <c:v>141.72838070749711</c:v>
                </c:pt>
                <c:pt idx="437">
                  <c:v>140.59132084270934</c:v>
                </c:pt>
                <c:pt idx="438">
                  <c:v>139.47464796465874</c:v>
                </c:pt>
                <c:pt idx="439">
                  <c:v>138.37838506287363</c:v>
                </c:pt>
                <c:pt idx="440">
                  <c:v>137.30252127074522</c:v>
                </c:pt>
                <c:pt idx="441">
                  <c:v>136.24701423622349</c:v>
                </c:pt>
                <c:pt idx="442">
                  <c:v>135.21179244246665</c:v>
                </c:pt>
                <c:pt idx="443">
                  <c:v>134.19675746466538</c:v>
                </c:pt>
                <c:pt idx="444">
                  <c:v>133.20178615197941</c:v>
                </c:pt>
                <c:pt idx="445">
                  <c:v>132.226732725998</c:v>
                </c:pt>
                <c:pt idx="446">
                  <c:v>131.27143078936203</c:v>
                </c:pt>
                <c:pt idx="447">
                  <c:v>130.33569524016369</c:v>
                </c:pt>
                <c:pt idx="448">
                  <c:v>129.41932408947099</c:v>
                </c:pt>
                <c:pt idx="449">
                  <c:v>128.522100180802</c:v>
                </c:pt>
                <c:pt idx="450">
                  <c:v>127.64379281163539</c:v>
                </c:pt>
                <c:pt idx="451">
                  <c:v>126.78415925807766</c:v>
                </c:pt>
                <c:pt idx="452">
                  <c:v>125.9429462046549</c:v>
                </c:pt>
                <c:pt idx="453">
                  <c:v>125.11989108185576</c:v>
                </c:pt>
                <c:pt idx="454">
                  <c:v>124.31472331456632</c:v>
                </c:pt>
                <c:pt idx="455">
                  <c:v>123.52716548489343</c:v>
                </c:pt>
                <c:pt idx="456">
                  <c:v>122.75693441314365</c:v>
                </c:pt>
                <c:pt idx="457">
                  <c:v>122.0037421608473</c:v>
                </c:pt>
                <c:pt idx="458">
                  <c:v>121.26729695979976</c:v>
                </c:pt>
                <c:pt idx="459">
                  <c:v>120.54730407108769</c:v>
                </c:pt>
                <c:pt idx="460">
                  <c:v>119.84346657800117</c:v>
                </c:pt>
                <c:pt idx="461">
                  <c:v>119.15548611664344</c:v>
                </c:pt>
                <c:pt idx="462">
                  <c:v>118.48306354791505</c:v>
                </c:pt>
                <c:pt idx="463">
                  <c:v>117.82589957440115</c:v>
                </c:pt>
                <c:pt idx="464">
                  <c:v>117.18369530552746</c:v>
                </c:pt>
                <c:pt idx="465">
                  <c:v>116.55615277417768</c:v>
                </c:pt>
                <c:pt idx="466">
                  <c:v>115.94297540779125</c:v>
                </c:pt>
                <c:pt idx="467">
                  <c:v>115.34386845679302</c:v>
                </c:pt>
                <c:pt idx="468">
                  <c:v>114.7585393830435</c:v>
                </c:pt>
                <c:pt idx="469">
                  <c:v>114.18669821082895</c:v>
                </c:pt>
                <c:pt idx="470">
                  <c:v>113.62805784277684</c:v>
                </c:pt>
                <c:pt idx="471">
                  <c:v>113.08233434293487</c:v>
                </c:pt>
                <c:pt idx="472">
                  <c:v>112.54924718912002</c:v>
                </c:pt>
                <c:pt idx="473">
                  <c:v>112.02851949653147</c:v>
                </c:pt>
                <c:pt idx="474">
                  <c:v>111.51987821450568</c:v>
                </c:pt>
                <c:pt idx="475">
                  <c:v>111.0230542981917</c:v>
                </c:pt>
                <c:pt idx="476">
                  <c:v>110.53778285683748</c:v>
                </c:pt>
                <c:pt idx="477">
                  <c:v>110.06380328027279</c:v>
                </c:pt>
                <c:pt idx="478">
                  <c:v>109.60085934512487</c:v>
                </c:pt>
                <c:pt idx="479">
                  <c:v>109.14869930219736</c:v>
                </c:pt>
                <c:pt idx="480">
                  <c:v>108.70707594639204</c:v>
                </c:pt>
                <c:pt idx="481">
                  <c:v>108.27574667048236</c:v>
                </c:pt>
                <c:pt idx="482">
                  <c:v>107.85447350398242</c:v>
                </c:pt>
                <c:pt idx="483">
                  <c:v>107.4430231382965</c:v>
                </c:pt>
                <c:pt idx="484">
                  <c:v>107.04116693927833</c:v>
                </c:pt>
                <c:pt idx="485">
                  <c:v>106.64868094827182</c:v>
                </c:pt>
                <c:pt idx="486">
                  <c:v>106.26534587264658</c:v>
                </c:pt>
                <c:pt idx="487">
                  <c:v>105.8909470667982</c:v>
                </c:pt>
                <c:pt idx="488">
                  <c:v>105.52527450452048</c:v>
                </c:pt>
                <c:pt idx="489">
                  <c:v>105.16812274361382</c:v>
                </c:pt>
                <c:pt idx="490">
                  <c:v>104.81929088354059</c:v>
                </c:pt>
                <c:pt idx="491">
                  <c:v>104.4785825168902</c:v>
                </c:pt>
                <c:pt idx="492">
                  <c:v>104.14580567537017</c:v>
                </c:pt>
                <c:pt idx="493">
                  <c:v>103.82077277099341</c:v>
                </c:pt>
                <c:pt idx="494">
                  <c:v>103.50330053308345</c:v>
                </c:pt>
                <c:pt idx="495">
                  <c:v>103.19320994168093</c:v>
                </c:pt>
                <c:pt idx="496">
                  <c:v>102.89032615788831</c:v>
                </c:pt>
                <c:pt idx="497">
                  <c:v>102.59447845165003</c:v>
                </c:pt>
                <c:pt idx="498">
                  <c:v>102.30550012742806</c:v>
                </c:pt>
                <c:pt idx="499">
                  <c:v>102.02322844819231</c:v>
                </c:pt>
                <c:pt idx="500">
                  <c:v>101.7475045581109</c:v>
                </c:pt>
                <c:pt idx="501">
                  <c:v>101.47817340429219</c:v>
                </c:pt>
                <c:pt idx="502">
                  <c:v>101.21508365789641</c:v>
                </c:pt>
                <c:pt idx="503">
                  <c:v>100.95808763490487</c:v>
                </c:pt>
                <c:pt idx="504">
                  <c:v>100.70704121680618</c:v>
                </c:pt>
                <c:pt idx="505">
                  <c:v>100.4618037714324</c:v>
                </c:pt>
                <c:pt idx="506">
                  <c:v>100.22223807415061</c:v>
                </c:pt>
                <c:pt idx="507">
                  <c:v>99.98821022959595</c:v>
                </c:pt>
                <c:pt idx="508">
                  <c:v>99.759589594104625</c:v>
                </c:pt>
                <c:pt idx="509">
                  <c:v>99.536248698992026</c:v>
                </c:pt>
                <c:pt idx="510">
                  <c:v>99.318063174795526</c:v>
                </c:pt>
                <c:pt idx="511">
                  <c:v>99.104911676591129</c:v>
                </c:pt>
                <c:pt idx="512">
                  <c:v>98.896675810470924</c:v>
                </c:pt>
                <c:pt idx="513">
                  <c:v>98.693240061258365</c:v>
                </c:pt>
                <c:pt idx="514">
                  <c:v>98.494491721526231</c:v>
                </c:pt>
                <c:pt idx="515">
                  <c:v>98.300320821964419</c:v>
                </c:pt>
                <c:pt idx="516">
                  <c:v>98.110620063140445</c:v>
                </c:pt>
                <c:pt idx="517">
                  <c:v>97.925284748683467</c:v>
                </c:pt>
                <c:pt idx="518">
                  <c:v>97.744212719912227</c:v>
                </c:pt>
                <c:pt idx="519">
                  <c:v>97.567304291923236</c:v>
                </c:pt>
                <c:pt idx="520">
                  <c:v>97.394462191145422</c:v>
                </c:pt>
                <c:pt idx="521">
                  <c:v>97.225591494363812</c:v>
                </c:pt>
                <c:pt idx="522">
                  <c:v>97.060599569208478</c:v>
                </c:pt>
                <c:pt idx="523">
                  <c:v>96.899396016099757</c:v>
                </c:pt>
                <c:pt idx="524">
                  <c:v>96.741892611638292</c:v>
                </c:pt>
                <c:pt idx="525">
                  <c:v>96.588003253423381</c:v>
                </c:pt>
                <c:pt idx="526">
                  <c:v>96.437643906281764</c:v>
                </c:pt>
                <c:pt idx="527">
                  <c:v>96.290732549884567</c:v>
                </c:pt>
                <c:pt idx="528">
                  <c:v>96.147189127730016</c:v>
                </c:pt>
                <c:pt idx="529">
                  <c:v>96.006935497465392</c:v>
                </c:pt>
                <c:pt idx="530">
                  <c:v>95.86989538252412</c:v>
                </c:pt>
                <c:pt idx="531">
                  <c:v>95.735994325047557</c:v>
                </c:pt>
                <c:pt idx="532">
                  <c:v>95.605159640065011</c:v>
                </c:pt>
                <c:pt idx="533">
                  <c:v>95.477320370901936</c:v>
                </c:pt>
                <c:pt idx="534">
                  <c:v>95.352407245787134</c:v>
                </c:pt>
                <c:pt idx="535">
                  <c:v>95.23035263562889</c:v>
                </c:pt>
                <c:pt idx="536">
                  <c:v>95.111090512930943</c:v>
                </c:pt>
                <c:pt idx="537">
                  <c:v>94.994556411816887</c:v>
                </c:pt>
                <c:pt idx="538">
                  <c:v>94.880687389135531</c:v>
                </c:pt>
                <c:pt idx="539">
                  <c:v>94.769421986615626</c:v>
                </c:pt>
                <c:pt idx="540">
                  <c:v>94.660700194042732</c:v>
                </c:pt>
                <c:pt idx="541">
                  <c:v>94.554463413428877</c:v>
                </c:pt>
              </c:numCache>
            </c:numRef>
          </c:yVal>
          <c:smooth val="1"/>
          <c:extLst>
            <c:ext xmlns:c16="http://schemas.microsoft.com/office/drawing/2014/chart" uri="{C3380CC4-5D6E-409C-BE32-E72D297353CC}">
              <c16:uniqueId val="{00000001-1B3F-4802-9751-4D21F96C72BF}"/>
            </c:ext>
          </c:extLst>
        </c:ser>
        <c:dLbls>
          <c:showLegendKey val="0"/>
          <c:showVal val="0"/>
          <c:showCatName val="0"/>
          <c:showSerName val="0"/>
          <c:showPercent val="0"/>
          <c:showBubbleSize val="0"/>
        </c:dLbls>
        <c:axId val="385829504"/>
        <c:axId val="385827968"/>
      </c:scatterChart>
      <c:valAx>
        <c:axId val="385819776"/>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85821696"/>
        <c:crosses val="autoZero"/>
        <c:crossBetween val="midCat"/>
      </c:valAx>
      <c:valAx>
        <c:axId val="385821696"/>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85819776"/>
        <c:crosses val="autoZero"/>
        <c:crossBetween val="midCat"/>
        <c:majorUnit val="20"/>
        <c:minorUnit val="10"/>
      </c:valAx>
      <c:valAx>
        <c:axId val="385827968"/>
        <c:scaling>
          <c:orientation val="minMax"/>
          <c:max val="180"/>
          <c:min val="-180"/>
        </c:scaling>
        <c:delete val="0"/>
        <c:axPos val="r"/>
        <c:numFmt formatCode="General" sourceLinked="1"/>
        <c:majorTickMark val="out"/>
        <c:minorTickMark val="none"/>
        <c:tickLblPos val="nextTo"/>
        <c:crossAx val="385829504"/>
        <c:crosses val="max"/>
        <c:crossBetween val="midCat"/>
        <c:majorUnit val="90"/>
        <c:minorUnit val="45"/>
      </c:valAx>
      <c:valAx>
        <c:axId val="385829504"/>
        <c:scaling>
          <c:logBase val="10"/>
          <c:orientation val="minMax"/>
        </c:scaling>
        <c:delete val="1"/>
        <c:axPos val="b"/>
        <c:numFmt formatCode="0.00" sourceLinked="1"/>
        <c:majorTickMark val="out"/>
        <c:minorTickMark val="none"/>
        <c:tickLblPos val="nextTo"/>
        <c:crossAx val="385827968"/>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CCM_Loop_Modeling_non_isolated!$AQ$19:$AQ$560</c:f>
              <c:numCache>
                <c:formatCode>General</c:formatCode>
                <c:ptCount val="542"/>
                <c:pt idx="0">
                  <c:v>39.641449157429619</c:v>
                </c:pt>
                <c:pt idx="1">
                  <c:v>39.442180805301142</c:v>
                </c:pt>
                <c:pt idx="2">
                  <c:v>39.2429467978248</c:v>
                </c:pt>
                <c:pt idx="3">
                  <c:v>39.043748740465105</c:v>
                </c:pt>
                <c:pt idx="4">
                  <c:v>38.844588313089133</c:v>
                </c:pt>
                <c:pt idx="5">
                  <c:v>38.645467273352565</c:v>
                </c:pt>
                <c:pt idx="6">
                  <c:v>38.446387460233829</c:v>
                </c:pt>
                <c:pt idx="7">
                  <c:v>38.247350797722277</c:v>
                </c:pt>
                <c:pt idx="8">
                  <c:v>38.048359298666604</c:v>
                </c:pt>
                <c:pt idx="9">
                  <c:v>37.849415068789348</c:v>
                </c:pt>
                <c:pt idx="10">
                  <c:v>37.650520310874562</c:v>
                </c:pt>
                <c:pt idx="11">
                  <c:v>37.451677329134441</c:v>
                </c:pt>
                <c:pt idx="12">
                  <c:v>37.252888533762622</c:v>
                </c:pt>
                <c:pt idx="13">
                  <c:v>37.054156445680171</c:v>
                </c:pt>
                <c:pt idx="14">
                  <c:v>36.8554837014821</c:v>
                </c:pt>
                <c:pt idx="15">
                  <c:v>36.656873058591131</c:v>
                </c:pt>
                <c:pt idx="16">
                  <c:v>36.458327400626359</c:v>
                </c:pt>
                <c:pt idx="17">
                  <c:v>36.259849742994312</c:v>
                </c:pt>
                <c:pt idx="18">
                  <c:v>36.061443238710027</c:v>
                </c:pt>
                <c:pt idx="19">
                  <c:v>35.863111184455846</c:v>
                </c:pt>
                <c:pt idx="20">
                  <c:v>35.664857026885535</c:v>
                </c:pt>
                <c:pt idx="21">
                  <c:v>35.46668436918236</c:v>
                </c:pt>
                <c:pt idx="22">
                  <c:v>35.268596977877891</c:v>
                </c:pt>
                <c:pt idx="23">
                  <c:v>35.070598789940682</c:v>
                </c:pt>
                <c:pt idx="24">
                  <c:v>34.872693920141614</c:v>
                </c:pt>
                <c:pt idx="25">
                  <c:v>34.674886668704829</c:v>
                </c:pt>
                <c:pt idx="26">
                  <c:v>34.477181529251197</c:v>
                </c:pt>
                <c:pt idx="27">
                  <c:v>34.279583197042136</c:v>
                </c:pt>
                <c:pt idx="28">
                  <c:v>34.082096577531992</c:v>
                </c:pt>
                <c:pt idx="29">
                  <c:v>33.884726795235011</c:v>
                </c:pt>
                <c:pt idx="30">
                  <c:v>33.687479202914815</c:v>
                </c:pt>
                <c:pt idx="31">
                  <c:v>33.49035939110221</c:v>
                </c:pt>
                <c:pt idx="32">
                  <c:v>33.293373197948497</c:v>
                </c:pt>
                <c:pt idx="33">
                  <c:v>33.096526719418669</c:v>
                </c:pt>
                <c:pt idx="34">
                  <c:v>32.899826319830467</c:v>
                </c:pt>
                <c:pt idx="35">
                  <c:v>32.703278642743399</c:v>
                </c:pt>
                <c:pt idx="36">
                  <c:v>32.50689062220119</c:v>
                </c:pt>
                <c:pt idx="37">
                  <c:v>32.310669494330625</c:v>
                </c:pt>
                <c:pt idx="38">
                  <c:v>32.114622809297529</c:v>
                </c:pt>
                <c:pt idx="39">
                  <c:v>31.91875844362216</c:v>
                </c:pt>
                <c:pt idx="40">
                  <c:v>31.723084612850727</c:v>
                </c:pt>
                <c:pt idx="41">
                  <c:v>31.527609884583462</c:v>
                </c:pt>
                <c:pt idx="42">
                  <c:v>31.332343191852715</c:v>
                </c:pt>
                <c:pt idx="43">
                  <c:v>31.137293846847449</c:v>
                </c:pt>
                <c:pt idx="44">
                  <c:v>30.942471554975</c:v>
                </c:pt>
                <c:pt idx="45">
                  <c:v>30.747886429251263</c:v>
                </c:pt>
                <c:pt idx="46">
                  <c:v>30.553549005005728</c:v>
                </c:pt>
                <c:pt idx="47">
                  <c:v>30.359470254887839</c:v>
                </c:pt>
                <c:pt idx="48">
                  <c:v>30.165661604154916</c:v>
                </c:pt>
                <c:pt idx="49">
                  <c:v>29.972134946223203</c:v>
                </c:pt>
                <c:pt idx="50">
                  <c:v>29.778902658454101</c:v>
                </c:pt>
                <c:pt idx="51">
                  <c:v>29.585977618150508</c:v>
                </c:pt>
                <c:pt idx="52">
                  <c:v>29.393373218729316</c:v>
                </c:pt>
                <c:pt idx="53">
                  <c:v>29.201103386033726</c:v>
                </c:pt>
                <c:pt idx="54">
                  <c:v>29.009182594744271</c:v>
                </c:pt>
                <c:pt idx="55">
                  <c:v>28.817625884842464</c:v>
                </c:pt>
                <c:pt idx="56">
                  <c:v>28.626448878075422</c:v>
                </c:pt>
                <c:pt idx="57">
                  <c:v>28.43566779436367</c:v>
                </c:pt>
                <c:pt idx="58">
                  <c:v>28.245299468090181</c:v>
                </c:pt>
                <c:pt idx="59">
                  <c:v>28.055361364199747</c:v>
                </c:pt>
                <c:pt idx="60">
                  <c:v>27.865871594033216</c:v>
                </c:pt>
                <c:pt idx="61">
                  <c:v>27.676848930813115</c:v>
                </c:pt>
                <c:pt idx="62">
                  <c:v>27.488312824689952</c:v>
                </c:pt>
                <c:pt idx="63">
                  <c:v>27.300283417251446</c:v>
                </c:pt>
                <c:pt idx="64">
                  <c:v>27.112781555387848</c:v>
                </c:pt>
                <c:pt idx="65">
                  <c:v>26.92582880439987</c:v>
                </c:pt>
                <c:pt idx="66">
                  <c:v>26.739447460226224</c:v>
                </c:pt>
                <c:pt idx="67">
                  <c:v>26.553660560659921</c:v>
                </c:pt>
                <c:pt idx="68">
                  <c:v>26.368491895414209</c:v>
                </c:pt>
                <c:pt idx="69">
                  <c:v>26.183966014889549</c:v>
                </c:pt>
                <c:pt idx="70">
                  <c:v>26.000108237485673</c:v>
                </c:pt>
                <c:pt idx="71">
                  <c:v>25.816944655293518</c:v>
                </c:pt>
                <c:pt idx="72">
                  <c:v>25.634502137994289</c:v>
                </c:pt>
                <c:pt idx="73">
                  <c:v>25.452808334785921</c:v>
                </c:pt>
                <c:pt idx="74">
                  <c:v>25.271891674148172</c:v>
                </c:pt>
                <c:pt idx="75">
                  <c:v>25.091781361253318</c:v>
                </c:pt>
                <c:pt idx="76">
                  <c:v>24.912507372822169</c:v>
                </c:pt>
                <c:pt idx="77">
                  <c:v>24.734100449221788</c:v>
                </c:pt>
                <c:pt idx="78">
                  <c:v>24.556592083596058</c:v>
                </c:pt>
                <c:pt idx="79">
                  <c:v>24.38001450782048</c:v>
                </c:pt>
                <c:pt idx="80">
                  <c:v>24.204400675069717</c:v>
                </c:pt>
                <c:pt idx="81">
                  <c:v>24.029784238789091</c:v>
                </c:pt>
                <c:pt idx="82">
                  <c:v>23.856199527863954</c:v>
                </c:pt>
                <c:pt idx="83">
                  <c:v>23.683681517786571</c:v>
                </c:pt>
                <c:pt idx="84">
                  <c:v>23.512265797626711</c:v>
                </c:pt>
                <c:pt idx="85">
                  <c:v>23.341988532624857</c:v>
                </c:pt>
                <c:pt idx="86">
                  <c:v>23.172886422238012</c:v>
                </c:pt>
                <c:pt idx="87">
                  <c:v>23.004996653485289</c:v>
                </c:pt>
                <c:pt idx="88">
                  <c:v>22.838356849459643</c:v>
                </c:pt>
                <c:pt idx="89">
                  <c:v>22.673005012895228</c:v>
                </c:pt>
                <c:pt idx="90">
                  <c:v>22.508979464705213</c:v>
                </c:pt>
                <c:pt idx="91">
                  <c:v>22.346318777433758</c:v>
                </c:pt>
                <c:pt idx="92">
                  <c:v>22.185061703601438</c:v>
                </c:pt>
                <c:pt idx="93">
                  <c:v>22.025247098955425</c:v>
                </c:pt>
                <c:pt idx="94">
                  <c:v>21.866913840679295</c:v>
                </c:pt>
                <c:pt idx="95">
                  <c:v>21.710100740657307</c:v>
                </c:pt>
                <c:pt idx="96">
                  <c:v>21.55484645393409</c:v>
                </c:pt>
                <c:pt idx="97">
                  <c:v>21.401189382558815</c:v>
                </c:pt>
                <c:pt idx="98">
                  <c:v>21.249167575053384</c:v>
                </c:pt>
                <c:pt idx="99">
                  <c:v>21.09881862179304</c:v>
                </c:pt>
                <c:pt idx="100">
                  <c:v>20.950179546645046</c:v>
                </c:pt>
                <c:pt idx="101">
                  <c:v>20.803286695258528</c:v>
                </c:pt>
                <c:pt idx="102">
                  <c:v>20.658175620456099</c:v>
                </c:pt>
                <c:pt idx="103">
                  <c:v>20.514880965225188</c:v>
                </c:pt>
                <c:pt idx="104">
                  <c:v>20.373436343859531</c:v>
                </c:pt>
                <c:pt idx="105">
                  <c:v>20.233874221845603</c:v>
                </c:pt>
                <c:pt idx="106">
                  <c:v>20.096225795133286</c:v>
                </c:pt>
                <c:pt idx="107">
                  <c:v>19.960520869466652</c:v>
                </c:pt>
                <c:pt idx="108">
                  <c:v>19.826787740484537</c:v>
                </c:pt>
                <c:pt idx="109">
                  <c:v>19.695053075326125</c:v>
                </c:pt>
                <c:pt idx="110">
                  <c:v>19.565341796495964</c:v>
                </c:pt>
                <c:pt idx="111">
                  <c:v>19.437676968753447</c:v>
                </c:pt>
                <c:pt idx="112">
                  <c:v>19.312079689795475</c:v>
                </c:pt>
                <c:pt idx="113">
                  <c:v>19.188568985492477</c:v>
                </c:pt>
                <c:pt idx="114">
                  <c:v>19.067161710424692</c:v>
                </c:pt>
                <c:pt idx="115">
                  <c:v>18.947872454437793</c:v>
                </c:pt>
                <c:pt idx="116">
                  <c:v>18.83071345590356</c:v>
                </c:pt>
                <c:pt idx="117">
                  <c:v>18.71569452232691</c:v>
                </c:pt>
                <c:pt idx="118">
                  <c:v>18.602822958886389</c:v>
                </c:pt>
                <c:pt idx="119">
                  <c:v>18.492103505434514</c:v>
                </c:pt>
                <c:pt idx="120">
                  <c:v>18.38353828241479</c:v>
                </c:pt>
                <c:pt idx="121">
                  <c:v>18.277126746075819</c:v>
                </c:pt>
                <c:pt idx="122">
                  <c:v>18.172865653280954</c:v>
                </c:pt>
                <c:pt idx="123">
                  <c:v>18.070749036126706</c:v>
                </c:pt>
                <c:pt idx="124">
                  <c:v>17.970768186491458</c:v>
                </c:pt>
                <c:pt idx="125">
                  <c:v>17.872911650547096</c:v>
                </c:pt>
                <c:pt idx="126">
                  <c:v>17.777165233172305</c:v>
                </c:pt>
                <c:pt idx="127">
                  <c:v>17.683512012116886</c:v>
                </c:pt>
                <c:pt idx="128">
                  <c:v>17.591932361676569</c:v>
                </c:pt>
                <c:pt idx="129">
                  <c:v>17.502403985556519</c:v>
                </c:pt>
                <c:pt idx="130">
                  <c:v>17.414901958517255</c:v>
                </c:pt>
                <c:pt idx="131">
                  <c:v>17.329398776328865</c:v>
                </c:pt>
                <c:pt idx="132">
                  <c:v>17.245864413489841</c:v>
                </c:pt>
                <c:pt idx="133">
                  <c:v>17.164266388111521</c:v>
                </c:pt>
                <c:pt idx="134">
                  <c:v>17.08456983331833</c:v>
                </c:pt>
                <c:pt idx="135">
                  <c:v>17.006737574477182</c:v>
                </c:pt>
                <c:pt idx="136">
                  <c:v>16.93073021153641</c:v>
                </c:pt>
                <c:pt idx="137">
                  <c:v>16.856506205739048</c:v>
                </c:pt>
                <c:pt idx="138">
                  <c:v>16.784021969960325</c:v>
                </c:pt>
                <c:pt idx="139">
                  <c:v>16.713231961924592</c:v>
                </c:pt>
                <c:pt idx="140">
                  <c:v>16.64408877955902</c:v>
                </c:pt>
                <c:pt idx="141">
                  <c:v>16.576543257766442</c:v>
                </c:pt>
                <c:pt idx="142">
                  <c:v>16.510544565919091</c:v>
                </c:pt>
                <c:pt idx="143">
                  <c:v>16.446040305411017</c:v>
                </c:pt>
                <c:pt idx="144">
                  <c:v>16.382976606647148</c:v>
                </c:pt>
                <c:pt idx="145">
                  <c:v>16.321298224889961</c:v>
                </c:pt>
                <c:pt idx="146">
                  <c:v>16.260948634436971</c:v>
                </c:pt>
                <c:pt idx="147">
                  <c:v>16.201870120654032</c:v>
                </c:pt>
                <c:pt idx="148">
                  <c:v>16.144003869448898</c:v>
                </c:pt>
                <c:pt idx="149">
                  <c:v>16.087290053826191</c:v>
                </c:pt>
                <c:pt idx="150">
                  <c:v>16.03166791722585</c:v>
                </c:pt>
                <c:pt idx="151">
                  <c:v>15.977075853408756</c:v>
                </c:pt>
                <c:pt idx="152">
                  <c:v>15.923451482712291</c:v>
                </c:pt>
                <c:pt idx="153">
                  <c:v>15.870731724559157</c:v>
                </c:pt>
                <c:pt idx="154">
                  <c:v>15.818852866158652</c:v>
                </c:pt>
                <c:pt idx="155">
                  <c:v>15.767750627399252</c:v>
                </c:pt>
                <c:pt idx="156">
                  <c:v>15.717360221980567</c:v>
                </c:pt>
                <c:pt idx="157">
                  <c:v>15.667616414884854</c:v>
                </c:pt>
                <c:pt idx="158">
                  <c:v>15.618453576336798</c:v>
                </c:pt>
                <c:pt idx="159">
                  <c:v>15.569805732440967</c:v>
                </c:pt>
                <c:pt idx="160">
                  <c:v>15.521606612729023</c:v>
                </c:pt>
                <c:pt idx="161">
                  <c:v>15.473789694883058</c:v>
                </c:pt>
                <c:pt idx="162">
                  <c:v>15.42628824693444</c:v>
                </c:pt>
                <c:pt idx="163">
                  <c:v>15.379035367265761</c:v>
                </c:pt>
                <c:pt idx="164">
                  <c:v>15.331964022765565</c:v>
                </c:pt>
                <c:pt idx="165">
                  <c:v>15.28500708550887</c:v>
                </c:pt>
                <c:pt idx="166">
                  <c:v>15.238097368347482</c:v>
                </c:pt>
                <c:pt idx="167">
                  <c:v>15.191167659809429</c:v>
                </c:pt>
                <c:pt idx="168">
                  <c:v>15.144150758712126</c:v>
                </c:pt>
                <c:pt idx="169">
                  <c:v>15.096979508896499</c:v>
                </c:pt>
                <c:pt idx="170">
                  <c:v>15.049586834489247</c:v>
                </c:pt>
                <c:pt idx="171">
                  <c:v>15.001905776094333</c:v>
                </c:pt>
                <c:pt idx="172">
                  <c:v>14.953869528304581</c:v>
                </c:pt>
                <c:pt idx="173">
                  <c:v>14.905411478912018</c:v>
                </c:pt>
                <c:pt idx="174">
                  <c:v>14.85646525017566</c:v>
                </c:pt>
                <c:pt idx="175">
                  <c:v>14.806964742484483</c:v>
                </c:pt>
                <c:pt idx="176">
                  <c:v>14.756844180726304</c:v>
                </c:pt>
                <c:pt idx="177">
                  <c:v>14.706038163643631</c:v>
                </c:pt>
                <c:pt idx="178">
                  <c:v>14.654481716421676</c:v>
                </c:pt>
                <c:pt idx="179">
                  <c:v>14.602110346717261</c:v>
                </c:pt>
                <c:pt idx="180">
                  <c:v>14.548860104292897</c:v>
                </c:pt>
                <c:pt idx="181">
                  <c:v>14.4946676443766</c:v>
                </c:pt>
                <c:pt idx="182">
                  <c:v>14.43947029481766</c:v>
                </c:pt>
                <c:pt idx="183">
                  <c:v>14.383206127057067</c:v>
                </c:pt>
                <c:pt idx="184">
                  <c:v>14.32581403087581</c:v>
                </c:pt>
                <c:pt idx="185">
                  <c:v>14.267233792827376</c:v>
                </c:pt>
                <c:pt idx="186">
                  <c:v>14.207406178203048</c:v>
                </c:pt>
                <c:pt idx="187">
                  <c:v>14.146273016315934</c:v>
                </c:pt>
                <c:pt idx="188">
                  <c:v>14.083777288831801</c:v>
                </c:pt>
                <c:pt idx="189">
                  <c:v>14.019863220812361</c:v>
                </c:pt>
                <c:pt idx="190">
                  <c:v>13.954476374078187</c:v>
                </c:pt>
                <c:pt idx="191">
                  <c:v>13.887563742439465</c:v>
                </c:pt>
                <c:pt idx="192">
                  <c:v>13.819073848289282</c:v>
                </c:pt>
                <c:pt idx="193">
                  <c:v>13.748956840000474</c:v>
                </c:pt>
                <c:pt idx="194">
                  <c:v>13.677164589521029</c:v>
                </c:pt>
                <c:pt idx="195">
                  <c:v>13.603650789520714</c:v>
                </c:pt>
                <c:pt idx="196">
                  <c:v>13.528371049405726</c:v>
                </c:pt>
                <c:pt idx="197">
                  <c:v>13.451282989489346</c:v>
                </c:pt>
                <c:pt idx="198">
                  <c:v>13.372346332586147</c:v>
                </c:pt>
                <c:pt idx="199">
                  <c:v>13.291522992283213</c:v>
                </c:pt>
                <c:pt idx="200">
                  <c:v>13.208777157141657</c:v>
                </c:pt>
                <c:pt idx="201">
                  <c:v>13.124075370083389</c:v>
                </c:pt>
                <c:pt idx="202">
                  <c:v>13.037386602238097</c:v>
                </c:pt>
                <c:pt idx="203">
                  <c:v>12.948682320547791</c:v>
                </c:pt>
                <c:pt idx="204">
                  <c:v>12.85793654846421</c:v>
                </c:pt>
                <c:pt idx="205">
                  <c:v>12.765125919117025</c:v>
                </c:pt>
                <c:pt idx="206">
                  <c:v>12.670229720387843</c:v>
                </c:pt>
                <c:pt idx="207">
                  <c:v>12.573229931384013</c:v>
                </c:pt>
                <c:pt idx="208">
                  <c:v>12.47411124987989</c:v>
                </c:pt>
                <c:pt idx="209">
                  <c:v>12.372861110368181</c:v>
                </c:pt>
                <c:pt idx="210">
                  <c:v>12.269469692446611</c:v>
                </c:pt>
                <c:pt idx="211">
                  <c:v>12.163929919353704</c:v>
                </c:pt>
                <c:pt idx="212">
                  <c:v>12.056237446555373</c:v>
                </c:pt>
                <c:pt idx="213">
                  <c:v>11.946390640376352</c:v>
                </c:pt>
                <c:pt idx="214">
                  <c:v>11.834390546763524</c:v>
                </c:pt>
                <c:pt idx="215">
                  <c:v>11.720240850356184</c:v>
                </c:pt>
                <c:pt idx="216">
                  <c:v>11.603947824128189</c:v>
                </c:pt>
                <c:pt idx="217">
                  <c:v>11.485520269949836</c:v>
                </c:pt>
                <c:pt idx="218">
                  <c:v>11.364969450496439</c:v>
                </c:pt>
                <c:pt idx="219">
                  <c:v>11.242309013001561</c:v>
                </c:pt>
                <c:pt idx="220">
                  <c:v>11.117554905419595</c:v>
                </c:pt>
                <c:pt idx="221">
                  <c:v>10.990725285617751</c:v>
                </c:pt>
                <c:pt idx="222">
                  <c:v>10.861840424265786</c:v>
                </c:pt>
                <c:pt idx="223">
                  <c:v>10.730922602130818</c:v>
                </c:pt>
                <c:pt idx="224">
                  <c:v>10.597996002513408</c:v>
                </c:pt>
                <c:pt idx="225">
                  <c:v>10.463086599581848</c:v>
                </c:pt>
                <c:pt idx="226">
                  <c:v>10.326222043369505</c:v>
                </c:pt>
                <c:pt idx="227">
                  <c:v>10.187431542204424</c:v>
                </c:pt>
                <c:pt idx="228">
                  <c:v>10.046745743329264</c:v>
                </c:pt>
                <c:pt idx="229">
                  <c:v>9.9041966124576</c:v>
                </c:pt>
                <c:pt idx="230">
                  <c:v>9.7598173129847883</c:v>
                </c:pt>
                <c:pt idx="231">
                  <c:v>9.6136420855461253</c:v>
                </c:pt>
                <c:pt idx="232">
                  <c:v>9.465706128575091</c:v>
                </c:pt>
                <c:pt idx="233">
                  <c:v>9.3160454804772357</c:v>
                </c:pt>
                <c:pt idx="234">
                  <c:v>9.1646969039852717</c:v>
                </c:pt>
                <c:pt idx="235">
                  <c:v>9.011697773218776</c:v>
                </c:pt>
                <c:pt idx="236">
                  <c:v>8.8570859639145478</c:v>
                </c:pt>
                <c:pt idx="237">
                  <c:v>8.7008997472475063</c:v>
                </c:pt>
                <c:pt idx="238">
                  <c:v>8.5431776876048424</c:v>
                </c:pt>
                <c:pt idx="239">
                  <c:v>8.383958544625596</c:v>
                </c:pt>
                <c:pt idx="240">
                  <c:v>8.2232811797647845</c:v>
                </c:pt>
                <c:pt idx="241">
                  <c:v>8.0611844675916959</c:v>
                </c:pt>
                <c:pt idx="242">
                  <c:v>7.8977072119821798</c:v>
                </c:pt>
                <c:pt idx="243">
                  <c:v>7.7328880673176776</c:v>
                </c:pt>
                <c:pt idx="244">
                  <c:v>7.5667654647629163</c:v>
                </c:pt>
                <c:pt idx="245">
                  <c:v>7.3993775436497158</c:v>
                </c:pt>
                <c:pt idx="246">
                  <c:v>7.230762087959314</c:v>
                </c:pt>
                <c:pt idx="247">
                  <c:v>7.0609564678605441</c:v>
                </c:pt>
                <c:pt idx="248">
                  <c:v>6.8899975862305656</c:v>
                </c:pt>
                <c:pt idx="249">
                  <c:v>6.7179218300570698</c:v>
                </c:pt>
                <c:pt idx="250">
                  <c:v>6.5447650265971067</c:v>
                </c:pt>
                <c:pt idx="251">
                  <c:v>6.370562404147516</c:v>
                </c:pt>
                <c:pt idx="252">
                  <c:v>6.1953485572633626</c:v>
                </c:pt>
                <c:pt idx="253">
                  <c:v>6.0191574162479018</c:v>
                </c:pt>
                <c:pt idx="254">
                  <c:v>5.8420222207234707</c:v>
                </c:pt>
                <c:pt idx="255">
                  <c:v>5.6639754970876819</c:v>
                </c:pt>
                <c:pt idx="256">
                  <c:v>5.485049039649244</c:v>
                </c:pt>
                <c:pt idx="257">
                  <c:v>5.3052738952352758</c:v>
                </c:pt>
                <c:pt idx="258">
                  <c:v>5.1246803510611993</c:v>
                </c:pt>
                <c:pt idx="259">
                  <c:v>4.9432979256511222</c:v>
                </c:pt>
                <c:pt idx="260">
                  <c:v>4.7611553626016248</c:v>
                </c:pt>
                <c:pt idx="261">
                  <c:v>4.5782806269812895</c:v>
                </c:pt>
                <c:pt idx="262">
                  <c:v>4.3947009041660943</c:v>
                </c:pt>
                <c:pt idx="263">
                  <c:v>4.2104426009132796</c:v>
                </c:pt>
                <c:pt idx="264">
                  <c:v>4.0255313484827449</c:v>
                </c:pt>
                <c:pt idx="265">
                  <c:v>3.8399920076246601</c:v>
                </c:pt>
                <c:pt idx="266">
                  <c:v>3.6538486752550963</c:v>
                </c:pt>
                <c:pt idx="267">
                  <c:v>3.4671246926529791</c:v>
                </c:pt>
                <c:pt idx="268">
                  <c:v>3.279842655017982</c:v>
                </c:pt>
                <c:pt idx="269">
                  <c:v>3.0920244222380604</c:v>
                </c:pt>
                <c:pt idx="270">
                  <c:v>2.9036911307238942</c:v>
                </c:pt>
                <c:pt idx="271">
                  <c:v>2.7148632061748708</c:v>
                </c:pt>
                <c:pt idx="272">
                  <c:v>2.525560377152293</c:v>
                </c:pt>
                <c:pt idx="273">
                  <c:v>2.3358016893404439</c:v>
                </c:pt>
                <c:pt idx="274">
                  <c:v>2.1456055203880879</c:v>
                </c:pt>
                <c:pt idx="275">
                  <c:v>1.9549895952271488</c:v>
                </c:pt>
                <c:pt idx="276">
                  <c:v>1.7639710017761252</c:v>
                </c:pt>
                <c:pt idx="277">
                  <c:v>1.5725662069418223</c:v>
                </c:pt>
                <c:pt idx="278">
                  <c:v>1.3807910728401813</c:v>
                </c:pt>
                <c:pt idx="279">
                  <c:v>1.1886608731640036</c:v>
                </c:pt>
                <c:pt idx="280">
                  <c:v>0.99619030963171107</c:v>
                </c:pt>
                <c:pt idx="281">
                  <c:v>0.80339352845778589</c:v>
                </c:pt>
                <c:pt idx="282">
                  <c:v>0.61028413679129823</c:v>
                </c:pt>
                <c:pt idx="283">
                  <c:v>0.41687521907317848</c:v>
                </c:pt>
                <c:pt idx="284">
                  <c:v>0.2231793532704438</c:v>
                </c:pt>
                <c:pt idx="285">
                  <c:v>2.920862694712608E-2</c:v>
                </c:pt>
                <c:pt idx="286">
                  <c:v>-0.16502534685958326</c:v>
                </c:pt>
                <c:pt idx="287">
                  <c:v>-0.35951141399084541</c:v>
                </c:pt>
                <c:pt idx="288">
                  <c:v>-0.55423886376820364</c:v>
                </c:pt>
                <c:pt idx="289">
                  <c:v>-0.74919741387130001</c:v>
                </c:pt>
                <c:pt idx="290">
                  <c:v>-0.94437719550852384</c:v>
                </c:pt>
                <c:pt idx="291">
                  <c:v>-1.139768738897714</c:v>
                </c:pt>
                <c:pt idx="292">
                  <c:v>-1.3353629590702591</c:v>
                </c:pt>
                <c:pt idx="293">
                  <c:v>-1.5311511420083748</c:v>
                </c:pt>
                <c:pt idx="294">
                  <c:v>-1.7271249311262513</c:v>
                </c:pt>
                <c:pt idx="295">
                  <c:v>-1.9232763140997442</c:v>
                </c:pt>
                <c:pt idx="296">
                  <c:v>-2.1195976100496323</c:v>
                </c:pt>
                <c:pt idx="297">
                  <c:v>-2.3160814570820487</c:v>
                </c:pt>
                <c:pt idx="298">
                  <c:v>-2.512720800186675</c:v>
                </c:pt>
                <c:pt idx="299">
                  <c:v>-2.709508879493685</c:v>
                </c:pt>
                <c:pt idx="300">
                  <c:v>-2.906439218886756</c:v>
                </c:pt>
                <c:pt idx="301">
                  <c:v>-3.1035056149715246</c:v>
                </c:pt>
                <c:pt idx="302">
                  <c:v>-3.3007021263952363</c:v>
                </c:pt>
                <c:pt idx="303">
                  <c:v>-3.4980230635137435</c:v>
                </c:pt>
                <c:pt idx="304">
                  <c:v>-3.695462978401399</c:v>
                </c:pt>
                <c:pt idx="305">
                  <c:v>-3.8930166551980134</c:v>
                </c:pt>
                <c:pt idx="306">
                  <c:v>-4.0906791007870966</c:v>
                </c:pt>
                <c:pt idx="307">
                  <c:v>-4.288445535798763</c:v>
                </c:pt>
                <c:pt idx="308">
                  <c:v>-4.4863113859312751</c:v>
                </c:pt>
                <c:pt idx="309">
                  <c:v>-4.6842722735827955</c:v>
                </c:pt>
                <c:pt idx="310">
                  <c:v>-4.8823240097871512</c:v>
                </c:pt>
                <c:pt idx="311">
                  <c:v>-5.0804625864454644</c:v>
                </c:pt>
                <c:pt idx="312">
                  <c:v>-5.2786841688456674</c:v>
                </c:pt>
                <c:pt idx="313">
                  <c:v>-5.4769850884633788</c:v>
                </c:pt>
                <c:pt idx="314">
                  <c:v>-5.6753618360339919</c:v>
                </c:pt>
                <c:pt idx="315">
                  <c:v>-5.8738110548903748</c:v>
                </c:pt>
                <c:pt idx="316">
                  <c:v>-6.0723295345565829</c:v>
                </c:pt>
                <c:pt idx="317">
                  <c:v>-6.2709142045909863</c:v>
                </c:pt>
                <c:pt idx="318">
                  <c:v>-6.4695621286691001</c:v>
                </c:pt>
                <c:pt idx="319">
                  <c:v>-6.6682704989011672</c:v>
                </c:pt>
                <c:pt idx="320">
                  <c:v>-6.8670366303736907</c:v>
                </c:pt>
                <c:pt idx="321">
                  <c:v>-7.0658579559096415</c:v>
                </c:pt>
                <c:pt idx="322">
                  <c:v>-7.264732021038899</c:v>
                </c:pt>
                <c:pt idx="323">
                  <c:v>-7.4636564791718927</c:v>
                </c:pt>
                <c:pt idx="324">
                  <c:v>-7.6626290869691172</c:v>
                </c:pt>
                <c:pt idx="325">
                  <c:v>-7.8616476998996019</c:v>
                </c:pt>
                <c:pt idx="326">
                  <c:v>-8.060710267981575</c:v>
                </c:pt>
                <c:pt idx="327">
                  <c:v>-8.2598148316986801</c:v>
                </c:pt>
                <c:pt idx="328">
                  <c:v>-8.4589595180850612</c:v>
                </c:pt>
                <c:pt idx="329">
                  <c:v>-8.6581425369727292</c:v>
                </c:pt>
                <c:pt idx="330">
                  <c:v>-8.8573621773958759</c:v>
                </c:pt>
                <c:pt idx="331">
                  <c:v>-9.0566168041458521</c:v>
                </c:pt>
                <c:pt idx="332">
                  <c:v>-9.2559048544701188</c:v>
                </c:pt>
                <c:pt idx="333">
                  <c:v>-9.4552248349107586</c:v>
                </c:pt>
                <c:pt idx="334">
                  <c:v>-9.6545753182767129</c:v>
                </c:pt>
                <c:pt idx="335">
                  <c:v>-9.853954940744071</c:v>
                </c:pt>
                <c:pt idx="336">
                  <c:v>-10.053362399080033</c:v>
                </c:pt>
                <c:pt idx="337">
                  <c:v>-10.252796447984815</c:v>
                </c:pt>
                <c:pt idx="338">
                  <c:v>-10.452255897547456</c:v>
                </c:pt>
                <c:pt idx="339">
                  <c:v>-10.651739610810342</c:v>
                </c:pt>
                <c:pt idx="340">
                  <c:v>-10.851246501438732</c:v>
                </c:pt>
                <c:pt idx="341">
                  <c:v>-11.05077553149053</c:v>
                </c:pt>
                <c:pt idx="342">
                  <c:v>-11.250325709281356</c:v>
                </c:pt>
                <c:pt idx="343">
                  <c:v>-11.449896087343587</c:v>
                </c:pt>
                <c:pt idx="344">
                  <c:v>-11.649485760471862</c:v>
                </c:pt>
                <c:pt idx="345">
                  <c:v>-11.849093863854847</c:v>
                </c:pt>
                <c:pt idx="346">
                  <c:v>-12.048719571287545</c:v>
                </c:pt>
                <c:pt idx="347">
                  <c:v>-12.248362093461264</c:v>
                </c:pt>
                <c:pt idx="348">
                  <c:v>-12.448020676328294</c:v>
                </c:pt>
                <c:pt idx="349">
                  <c:v>-12.64769459953844</c:v>
                </c:pt>
                <c:pt idx="350">
                  <c:v>-12.847383174942992</c:v>
                </c:pt>
                <c:pt idx="351">
                  <c:v>-13.047085745164837</c:v>
                </c:pt>
                <c:pt idx="352">
                  <c:v>-13.246801682231247</c:v>
                </c:pt>
                <c:pt idx="353">
                  <c:v>-13.446530386265936</c:v>
                </c:pt>
                <c:pt idx="354">
                  <c:v>-13.646271284239926</c:v>
                </c:pt>
                <c:pt idx="355">
                  <c:v>-13.846023828775893</c:v>
                </c:pt>
                <c:pt idx="356">
                  <c:v>-14.04578749700603</c:v>
                </c:pt>
                <c:pt idx="357">
                  <c:v>-14.245561789479995</c:v>
                </c:pt>
                <c:pt idx="358">
                  <c:v>-14.445346229121462</c:v>
                </c:pt>
                <c:pt idx="359">
                  <c:v>-14.645140360229709</c:v>
                </c:pt>
                <c:pt idx="360">
                  <c:v>-14.844943747526372</c:v>
                </c:pt>
                <c:pt idx="361">
                  <c:v>-15.044755975244108</c:v>
                </c:pt>
                <c:pt idx="362">
                  <c:v>-15.244576646255029</c:v>
                </c:pt>
                <c:pt idx="363">
                  <c:v>-15.444405381238779</c:v>
                </c:pt>
                <c:pt idx="364">
                  <c:v>-15.64424181788632</c:v>
                </c:pt>
                <c:pt idx="365">
                  <c:v>-15.844085610139837</c:v>
                </c:pt>
                <c:pt idx="366">
                  <c:v>-16.043936427466434</c:v>
                </c:pt>
                <c:pt idx="367">
                  <c:v>-16.243793954163483</c:v>
                </c:pt>
                <c:pt idx="368">
                  <c:v>-16.443657888695267</c:v>
                </c:pt>
                <c:pt idx="369">
                  <c:v>-16.643527943059279</c:v>
                </c:pt>
                <c:pt idx="370">
                  <c:v>-16.84340384218018</c:v>
                </c:pt>
                <c:pt idx="371">
                  <c:v>-17.043285323331197</c:v>
                </c:pt>
                <c:pt idx="372">
                  <c:v>-17.243172135581183</c:v>
                </c:pt>
                <c:pt idx="373">
                  <c:v>-17.443064039266208</c:v>
                </c:pt>
                <c:pt idx="374">
                  <c:v>-17.642960805484897</c:v>
                </c:pt>
                <c:pt idx="375">
                  <c:v>-17.84286221561597</c:v>
                </c:pt>
                <c:pt idx="376">
                  <c:v>-18.042768060857686</c:v>
                </c:pt>
                <c:pt idx="377">
                  <c:v>-18.242678141787529</c:v>
                </c:pt>
                <c:pt idx="378">
                  <c:v>-18.442592267941698</c:v>
                </c:pt>
                <c:pt idx="379">
                  <c:v>-18.642510257413559</c:v>
                </c:pt>
                <c:pt idx="380">
                  <c:v>-18.842431936469481</c:v>
                </c:pt>
                <c:pt idx="381">
                  <c:v>-19.042357139182727</c:v>
                </c:pt>
                <c:pt idx="382">
                  <c:v>-19.24228570708252</c:v>
                </c:pt>
                <c:pt idx="383">
                  <c:v>-19.442217488820294</c:v>
                </c:pt>
                <c:pt idx="384">
                  <c:v>-19.642152339849265</c:v>
                </c:pt>
                <c:pt idx="385">
                  <c:v>-19.842090122119952</c:v>
                </c:pt>
                <c:pt idx="386">
                  <c:v>-20.042030703787646</c:v>
                </c:pt>
                <c:pt idx="387">
                  <c:v>-20.2419739589347</c:v>
                </c:pt>
                <c:pt idx="388">
                  <c:v>-20.441919767303872</c:v>
                </c:pt>
                <c:pt idx="389">
                  <c:v>-20.641868014044235</c:v>
                </c:pt>
                <c:pt idx="390">
                  <c:v>-20.841818589468581</c:v>
                </c:pt>
                <c:pt idx="391">
                  <c:v>-21.041771388821246</c:v>
                </c:pt>
                <c:pt idx="392">
                  <c:v>-21.241726312056986</c:v>
                </c:pt>
                <c:pt idx="393">
                  <c:v>-21.441683263628871</c:v>
                </c:pt>
                <c:pt idx="394">
                  <c:v>-21.641642152286451</c:v>
                </c:pt>
                <c:pt idx="395">
                  <c:v>-21.841602890882918</c:v>
                </c:pt>
                <c:pt idx="396">
                  <c:v>-22.041565396190435</c:v>
                </c:pt>
                <c:pt idx="397">
                  <c:v>-22.241529588724042</c:v>
                </c:pt>
                <c:pt idx="398">
                  <c:v>-22.441495392573579</c:v>
                </c:pt>
                <c:pt idx="399">
                  <c:v>-22.641462735243017</c:v>
                </c:pt>
                <c:pt idx="400">
                  <c:v>-22.841431547496992</c:v>
                </c:pt>
                <c:pt idx="401">
                  <c:v>-23.041401763214164</c:v>
                </c:pt>
                <c:pt idx="402">
                  <c:v>-23.241373319247369</c:v>
                </c:pt>
                <c:pt idx="403">
                  <c:v>-23.441346155289786</c:v>
                </c:pt>
                <c:pt idx="404">
                  <c:v>-23.641320213747392</c:v>
                </c:pt>
                <c:pt idx="405">
                  <c:v>-23.841295439616896</c:v>
                </c:pt>
                <c:pt idx="406">
                  <c:v>-24.041271780369296</c:v>
                </c:pt>
                <c:pt idx="407">
                  <c:v>-24.241249185838548</c:v>
                </c:pt>
                <c:pt idx="408">
                  <c:v>-24.441227608115565</c:v>
                </c:pt>
                <c:pt idx="409">
                  <c:v>-24.641207001446372</c:v>
                </c:pt>
                <c:pt idx="410">
                  <c:v>-24.841187322135557</c:v>
                </c:pt>
                <c:pt idx="411">
                  <c:v>-25.041168528453426</c:v>
                </c:pt>
                <c:pt idx="412">
                  <c:v>-25.241150580547643</c:v>
                </c:pt>
                <c:pt idx="413">
                  <c:v>-25.441133440358957</c:v>
                </c:pt>
                <c:pt idx="414">
                  <c:v>-25.641117071540439</c:v>
                </c:pt>
                <c:pt idx="415">
                  <c:v>-25.841101439380417</c:v>
                </c:pt>
                <c:pt idx="416">
                  <c:v>-26.041086510729095</c:v>
                </c:pt>
                <c:pt idx="417">
                  <c:v>-26.241072253928138</c:v>
                </c:pt>
                <c:pt idx="418">
                  <c:v>-26.441058638743684</c:v>
                </c:pt>
                <c:pt idx="419">
                  <c:v>-26.641045636302184</c:v>
                </c:pt>
                <c:pt idx="420">
                  <c:v>-26.841033219029306</c:v>
                </c:pt>
                <c:pt idx="421">
                  <c:v>-27.041021360591383</c:v>
                </c:pt>
                <c:pt idx="422">
                  <c:v>-27.241010035839821</c:v>
                </c:pt>
                <c:pt idx="423">
                  <c:v>-27.44099922075748</c:v>
                </c:pt>
                <c:pt idx="424">
                  <c:v>-27.640988892408032</c:v>
                </c:pt>
                <c:pt idx="425">
                  <c:v>-27.840979028887048</c:v>
                </c:pt>
                <c:pt idx="426">
                  <c:v>-28.040969609276015</c:v>
                </c:pt>
                <c:pt idx="427">
                  <c:v>-28.240960613597448</c:v>
                </c:pt>
                <c:pt idx="428">
                  <c:v>-28.440952022773317</c:v>
                </c:pt>
                <c:pt idx="429">
                  <c:v>-28.640943818583395</c:v>
                </c:pt>
                <c:pt idx="430">
                  <c:v>-28.840935983627858</c:v>
                </c:pt>
                <c:pt idx="431">
                  <c:v>-29.040928501289734</c:v>
                </c:pt>
                <c:pt idx="432">
                  <c:v>-29.240921355699797</c:v>
                </c:pt>
                <c:pt idx="433">
                  <c:v>-29.440914531703079</c:v>
                </c:pt>
                <c:pt idx="434">
                  <c:v>-29.640908014826444</c:v>
                </c:pt>
                <c:pt idx="435">
                  <c:v>-29.840901791248179</c:v>
                </c:pt>
                <c:pt idx="436">
                  <c:v>-30.040895847768372</c:v>
                </c:pt>
                <c:pt idx="437">
                  <c:v>-30.240890171781292</c:v>
                </c:pt>
                <c:pt idx="438">
                  <c:v>-30.440884751248653</c:v>
                </c:pt>
                <c:pt idx="439">
                  <c:v>-30.640879574673537</c:v>
                </c:pt>
                <c:pt idx="440">
                  <c:v>-30.840874631076744</c:v>
                </c:pt>
                <c:pt idx="441">
                  <c:v>-31.040869909973079</c:v>
                </c:pt>
                <c:pt idx="442">
                  <c:v>-31.240865401349041</c:v>
                </c:pt>
                <c:pt idx="443">
                  <c:v>-31.44086109564201</c:v>
                </c:pt>
                <c:pt idx="444">
                  <c:v>-31.640856983719608</c:v>
                </c:pt>
                <c:pt idx="445">
                  <c:v>-31.840853056860361</c:v>
                </c:pt>
                <c:pt idx="446">
                  <c:v>-32.040849306735517</c:v>
                </c:pt>
                <c:pt idx="447">
                  <c:v>-32.240845725391033</c:v>
                </c:pt>
                <c:pt idx="448">
                  <c:v>-32.440842305230653</c:v>
                </c:pt>
                <c:pt idx="449">
                  <c:v>-32.640839039000255</c:v>
                </c:pt>
                <c:pt idx="450">
                  <c:v>-32.840835919772047</c:v>
                </c:pt>
                <c:pt idx="451">
                  <c:v>-33.040832940930073</c:v>
                </c:pt>
                <c:pt idx="452">
                  <c:v>-33.240830096156202</c:v>
                </c:pt>
                <c:pt idx="453">
                  <c:v>-33.440827379416262</c:v>
                </c:pt>
                <c:pt idx="454">
                  <c:v>-33.640824784948215</c:v>
                </c:pt>
                <c:pt idx="455">
                  <c:v>-33.840822307249006</c:v>
                </c:pt>
                <c:pt idx="456">
                  <c:v>-34.040819941063198</c:v>
                </c:pt>
                <c:pt idx="457">
                  <c:v>-34.2408176813721</c:v>
                </c:pt>
                <c:pt idx="458">
                  <c:v>-34.440815523382717</c:v>
                </c:pt>
                <c:pt idx="459">
                  <c:v>-34.640813462517819</c:v>
                </c:pt>
                <c:pt idx="460">
                  <c:v>-34.840811494406104</c:v>
                </c:pt>
                <c:pt idx="461">
                  <c:v>-35.040809614873147</c:v>
                </c:pt>
                <c:pt idx="462">
                  <c:v>-35.240807819932442</c:v>
                </c:pt>
                <c:pt idx="463">
                  <c:v>-35.440806105776524</c:v>
                </c:pt>
                <c:pt idx="464">
                  <c:v>-35.640804468769758</c:v>
                </c:pt>
                <c:pt idx="465">
                  <c:v>-35.840802905439816</c:v>
                </c:pt>
                <c:pt idx="466">
                  <c:v>-36.040801412470735</c:v>
                </c:pt>
                <c:pt idx="467">
                  <c:v>-36.240799986695862</c:v>
                </c:pt>
                <c:pt idx="468">
                  <c:v>-36.440798625090956</c:v>
                </c:pt>
                <c:pt idx="469">
                  <c:v>-36.640797324768052</c:v>
                </c:pt>
                <c:pt idx="470">
                  <c:v>-36.840796082968843</c:v>
                </c:pt>
                <c:pt idx="471">
                  <c:v>-37.040794897059541</c:v>
                </c:pt>
                <c:pt idx="472">
                  <c:v>-37.240793764524568</c:v>
                </c:pt>
                <c:pt idx="473">
                  <c:v>-37.440792682961757</c:v>
                </c:pt>
                <c:pt idx="474">
                  <c:v>-37.640791650077098</c:v>
                </c:pt>
                <c:pt idx="475">
                  <c:v>-37.840790663679584</c:v>
                </c:pt>
                <c:pt idx="476">
                  <c:v>-38.040789721677172</c:v>
                </c:pt>
                <c:pt idx="477">
                  <c:v>-38.240788822071536</c:v>
                </c:pt>
                <c:pt idx="478">
                  <c:v>-38.440787962954673</c:v>
                </c:pt>
                <c:pt idx="479">
                  <c:v>-38.640787142504379</c:v>
                </c:pt>
                <c:pt idx="480">
                  <c:v>-38.840786358980225</c:v>
                </c:pt>
                <c:pt idx="481">
                  <c:v>-39.04078561072027</c:v>
                </c:pt>
                <c:pt idx="482">
                  <c:v>-39.240784896137477</c:v>
                </c:pt>
                <c:pt idx="483">
                  <c:v>-39.440784213716078</c:v>
                </c:pt>
                <c:pt idx="484">
                  <c:v>-39.640783562008586</c:v>
                </c:pt>
                <c:pt idx="485">
                  <c:v>-39.840782939632717</c:v>
                </c:pt>
                <c:pt idx="486">
                  <c:v>-40.040782345268269</c:v>
                </c:pt>
                <c:pt idx="487">
                  <c:v>-40.240781777654604</c:v>
                </c:pt>
                <c:pt idx="488">
                  <c:v>-40.440781235587586</c:v>
                </c:pt>
                <c:pt idx="489">
                  <c:v>-40.640780717917551</c:v>
                </c:pt>
                <c:pt idx="490">
                  <c:v>-40.840780223546517</c:v>
                </c:pt>
                <c:pt idx="491">
                  <c:v>-41.040779751425696</c:v>
                </c:pt>
                <c:pt idx="492">
                  <c:v>-41.240779300553847</c:v>
                </c:pt>
                <c:pt idx="493">
                  <c:v>-41.440778869974494</c:v>
                </c:pt>
                <c:pt idx="494">
                  <c:v>-41.640778458774363</c:v>
                </c:pt>
                <c:pt idx="495">
                  <c:v>-41.840778066081256</c:v>
                </c:pt>
                <c:pt idx="496">
                  <c:v>-42.040777691062239</c:v>
                </c:pt>
                <c:pt idx="497">
                  <c:v>-42.24077733292183</c:v>
                </c:pt>
                <c:pt idx="498">
                  <c:v>-42.440776990900311</c:v>
                </c:pt>
                <c:pt idx="499">
                  <c:v>-42.640776664272281</c:v>
                </c:pt>
                <c:pt idx="500">
                  <c:v>-42.840776352344967</c:v>
                </c:pt>
                <c:pt idx="501">
                  <c:v>-43.040776054456614</c:v>
                </c:pt>
                <c:pt idx="502">
                  <c:v>-43.240775769975443</c:v>
                </c:pt>
                <c:pt idx="503">
                  <c:v>-43.440775498298024</c:v>
                </c:pt>
                <c:pt idx="504">
                  <c:v>-43.640775238848057</c:v>
                </c:pt>
                <c:pt idx="505">
                  <c:v>-43.840774991075278</c:v>
                </c:pt>
                <c:pt idx="506">
                  <c:v>-44.040774754454105</c:v>
                </c:pt>
                <c:pt idx="507">
                  <c:v>-44.240774528482632</c:v>
                </c:pt>
                <c:pt idx="508">
                  <c:v>-44.440774312681491</c:v>
                </c:pt>
                <c:pt idx="509">
                  <c:v>-44.640774106593</c:v>
                </c:pt>
                <c:pt idx="510">
                  <c:v>-44.840773909780026</c:v>
                </c:pt>
                <c:pt idx="511">
                  <c:v>-45.040773721825154</c:v>
                </c:pt>
                <c:pt idx="512">
                  <c:v>-45.240773542329514</c:v>
                </c:pt>
                <c:pt idx="513">
                  <c:v>-45.440773370912524</c:v>
                </c:pt>
                <c:pt idx="514">
                  <c:v>-45.640773207210628</c:v>
                </c:pt>
                <c:pt idx="515">
                  <c:v>-45.840773050876507</c:v>
                </c:pt>
                <c:pt idx="516">
                  <c:v>-46.040772901578535</c:v>
                </c:pt>
                <c:pt idx="517">
                  <c:v>-46.240772759000201</c:v>
                </c:pt>
                <c:pt idx="518">
                  <c:v>-46.4407726228388</c:v>
                </c:pt>
                <c:pt idx="519">
                  <c:v>-46.640772492805695</c:v>
                </c:pt>
                <c:pt idx="520">
                  <c:v>-46.840772368625061</c:v>
                </c:pt>
                <c:pt idx="521">
                  <c:v>-47.040772250033484</c:v>
                </c:pt>
                <c:pt idx="522">
                  <c:v>-47.240772136779363</c:v>
                </c:pt>
                <c:pt idx="523">
                  <c:v>-47.440772028622547</c:v>
                </c:pt>
                <c:pt idx="524">
                  <c:v>-47.640771925333638</c:v>
                </c:pt>
                <c:pt idx="525">
                  <c:v>-47.840771826693391</c:v>
                </c:pt>
                <c:pt idx="526">
                  <c:v>-48.040771732492743</c:v>
                </c:pt>
                <c:pt idx="527">
                  <c:v>-48.240771642531818</c:v>
                </c:pt>
                <c:pt idx="528">
                  <c:v>-48.440771556619744</c:v>
                </c:pt>
                <c:pt idx="529">
                  <c:v>-48.640771474574422</c:v>
                </c:pt>
                <c:pt idx="530">
                  <c:v>-48.84077139622174</c:v>
                </c:pt>
                <c:pt idx="531">
                  <c:v>-49.040771321395383</c:v>
                </c:pt>
                <c:pt idx="532">
                  <c:v>-49.240771249936941</c:v>
                </c:pt>
                <c:pt idx="533">
                  <c:v>-49.440771181694608</c:v>
                </c:pt>
                <c:pt idx="534">
                  <c:v>-49.640771116523659</c:v>
                </c:pt>
                <c:pt idx="535">
                  <c:v>-49.840771054285938</c:v>
                </c:pt>
                <c:pt idx="536">
                  <c:v>-50.040770994849311</c:v>
                </c:pt>
                <c:pt idx="537">
                  <c:v>-50.240770938087707</c:v>
                </c:pt>
                <c:pt idx="538">
                  <c:v>-50.440770883880937</c:v>
                </c:pt>
                <c:pt idx="539">
                  <c:v>-50.640770832113837</c:v>
                </c:pt>
                <c:pt idx="540">
                  <c:v>-50.840770782676557</c:v>
                </c:pt>
                <c:pt idx="541">
                  <c:v>-51.040770735464406</c:v>
                </c:pt>
              </c:numCache>
            </c:numRef>
          </c:yVal>
          <c:smooth val="1"/>
          <c:extLst>
            <c:ext xmlns:c16="http://schemas.microsoft.com/office/drawing/2014/chart" uri="{C3380CC4-5D6E-409C-BE32-E72D297353CC}">
              <c16:uniqueId val="{00000000-4F4B-43C9-BE46-3F56EC7D1C25}"/>
            </c:ext>
          </c:extLst>
        </c:ser>
        <c:dLbls>
          <c:showLegendKey val="0"/>
          <c:showVal val="0"/>
          <c:showCatName val="0"/>
          <c:showSerName val="0"/>
          <c:showPercent val="0"/>
          <c:showBubbleSize val="0"/>
        </c:dLbls>
        <c:axId val="384242816"/>
        <c:axId val="384244736"/>
      </c:scatterChart>
      <c:scatterChart>
        <c:scatterStyle val="smoothMarker"/>
        <c:varyColors val="0"/>
        <c:ser>
          <c:idx val="1"/>
          <c:order val="1"/>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CCM_Loop_Modeling_non_isolated!$AR$19:$AR$560</c:f>
              <c:numCache>
                <c:formatCode>General</c:formatCode>
                <c:ptCount val="542"/>
                <c:pt idx="0">
                  <c:v>92.998620281323525</c:v>
                </c:pt>
                <c:pt idx="1">
                  <c:v>93.0682651722896</c:v>
                </c:pt>
                <c:pt idx="2">
                  <c:v>93.139517903666587</c:v>
                </c:pt>
                <c:pt idx="3">
                  <c:v>93.2124149027252</c:v>
                </c:pt>
                <c:pt idx="4">
                  <c:v>93.28699337266471</c:v>
                </c:pt>
                <c:pt idx="5">
                  <c:v>93.36329130557796</c:v>
                </c:pt>
                <c:pt idx="6">
                  <c:v>93.441347495363161</c:v>
                </c:pt>
                <c:pt idx="7">
                  <c:v>93.521201550556299</c:v>
                </c:pt>
                <c:pt idx="8">
                  <c:v>93.602893907057364</c:v>
                </c:pt>
                <c:pt idx="9">
                  <c:v>93.68646584071935</c:v>
                </c:pt>
                <c:pt idx="10">
                  <c:v>93.771959479768725</c:v>
                </c:pt>
                <c:pt idx="11">
                  <c:v>93.859417817021082</c:v>
                </c:pt>
                <c:pt idx="12">
                  <c:v>93.948884721854711</c:v>
                </c:pt>
                <c:pt idx="13">
                  <c:v>94.040404951900925</c:v>
                </c:pt>
                <c:pt idx="14">
                  <c:v>94.134024164406839</c:v>
                </c:pt>
                <c:pt idx="15">
                  <c:v>94.22978892722297</c:v>
                </c:pt>
                <c:pt idx="16">
                  <c:v>94.327746729364733</c:v>
                </c:pt>
                <c:pt idx="17">
                  <c:v>94.427945991092301</c:v>
                </c:pt>
                <c:pt idx="18">
                  <c:v>94.530436073449962</c:v>
                </c:pt>
                <c:pt idx="19">
                  <c:v>94.635267287201444</c:v>
                </c:pt>
                <c:pt idx="20">
                  <c:v>94.742490901092978</c:v>
                </c:pt>
                <c:pt idx="21">
                  <c:v>94.852159149371388</c:v>
                </c:pt>
                <c:pt idx="22">
                  <c:v>94.96432523847885</c:v>
                </c:pt>
                <c:pt idx="23">
                  <c:v>95.079043352841254</c:v>
                </c:pt>
                <c:pt idx="24">
                  <c:v>95.196368659660322</c:v>
                </c:pt>
                <c:pt idx="25">
                  <c:v>95.316357312615224</c:v>
                </c:pt>
                <c:pt idx="26">
                  <c:v>95.439066454370817</c:v>
                </c:pt>
                <c:pt idx="27">
                  <c:v>95.564554217785826</c:v>
                </c:pt>
                <c:pt idx="28">
                  <c:v>95.692879725703818</c:v>
                </c:pt>
                <c:pt idx="29">
                  <c:v>95.82410308920656</c:v>
                </c:pt>
                <c:pt idx="30">
                  <c:v>95.958285404197269</c:v>
                </c:pt>
                <c:pt idx="31">
                  <c:v>96.09548874617731</c:v>
                </c:pt>
                <c:pt idx="32">
                  <c:v>96.23577616306774</c:v>
                </c:pt>
                <c:pt idx="33">
                  <c:v>96.379211665922483</c:v>
                </c:pt>
                <c:pt idx="34">
                  <c:v>96.525860217365775</c:v>
                </c:pt>
                <c:pt idx="35">
                  <c:v>96.675787717582708</c:v>
                </c:pt>
                <c:pt idx="36">
                  <c:v>96.829060987676371</c:v>
                </c:pt>
                <c:pt idx="37">
                  <c:v>96.985747750199735</c:v>
                </c:pt>
                <c:pt idx="38">
                  <c:v>97.145916606657138</c:v>
                </c:pt>
                <c:pt idx="39">
                  <c:v>97.309637011760088</c:v>
                </c:pt>
                <c:pt idx="40">
                  <c:v>97.476979244211819</c:v>
                </c:pt>
                <c:pt idx="41">
                  <c:v>97.648014373783809</c:v>
                </c:pt>
                <c:pt idx="42">
                  <c:v>97.82281422443539</c:v>
                </c:pt>
                <c:pt idx="43">
                  <c:v>98.001451333216494</c:v>
                </c:pt>
                <c:pt idx="44">
                  <c:v>98.18399890468325</c:v>
                </c:pt>
                <c:pt idx="45">
                  <c:v>98.370530760541882</c:v>
                </c:pt>
                <c:pt idx="46">
                  <c:v>98.561121284228633</c:v>
                </c:pt>
                <c:pt idx="47">
                  <c:v>98.75584536011813</c:v>
                </c:pt>
                <c:pt idx="48">
                  <c:v>98.954778307046269</c:v>
                </c:pt>
                <c:pt idx="49">
                  <c:v>99.157995805817492</c:v>
                </c:pt>
                <c:pt idx="50">
                  <c:v>99.365573820362115</c:v>
                </c:pt>
                <c:pt idx="51">
                  <c:v>99.57758851219603</c:v>
                </c:pt>
                <c:pt idx="52">
                  <c:v>99.79411614782731</c:v>
                </c:pt>
                <c:pt idx="53">
                  <c:v>100.01523299874898</c:v>
                </c:pt>
                <c:pt idx="54">
                  <c:v>100.24101523364695</c:v>
                </c:pt>
                <c:pt idx="55">
                  <c:v>100.47153880245098</c:v>
                </c:pt>
                <c:pt idx="56">
                  <c:v>100.70687931185228</c:v>
                </c:pt>
                <c:pt idx="57">
                  <c:v>100.94711189190737</c:v>
                </c:pt>
                <c:pt idx="58">
                  <c:v>101.19231105335489</c:v>
                </c:pt>
                <c:pt idx="59">
                  <c:v>101.44255053526783</c:v>
                </c:pt>
                <c:pt idx="60">
                  <c:v>101.69790314267841</c:v>
                </c:pt>
                <c:pt idx="61">
                  <c:v>101.95844057381477</c:v>
                </c:pt>
                <c:pt idx="62">
                  <c:v>102.22423323660678</c:v>
                </c:pt>
                <c:pt idx="63">
                  <c:v>102.49535005413547</c:v>
                </c:pt>
                <c:pt idx="64">
                  <c:v>102.77185825871767</c:v>
                </c:pt>
                <c:pt idx="65">
                  <c:v>103.05382317434994</c:v>
                </c:pt>
                <c:pt idx="66">
                  <c:v>103.34130798726214</c:v>
                </c:pt>
                <c:pt idx="67">
                  <c:v>103.63437350437249</c:v>
                </c:pt>
                <c:pt idx="68">
                  <c:v>103.93307789947549</c:v>
                </c:pt>
                <c:pt idx="69">
                  <c:v>104.23747644704702</c:v>
                </c:pt>
                <c:pt idx="70">
                  <c:v>104.5476212436065</c:v>
                </c:pt>
                <c:pt idx="71">
                  <c:v>104.86356091663956</c:v>
                </c:pt>
                <c:pt idx="72">
                  <c:v>105.18534032115829</c:v>
                </c:pt>
                <c:pt idx="73">
                  <c:v>105.51300022405293</c:v>
                </c:pt>
                <c:pt idx="74">
                  <c:v>105.8465769764819</c:v>
                </c:pt>
                <c:pt idx="75">
                  <c:v>106.18610217463852</c:v>
                </c:pt>
                <c:pt idx="76">
                  <c:v>106.53160230934184</c:v>
                </c:pt>
                <c:pt idx="77">
                  <c:v>106.88309840501192</c:v>
                </c:pt>
                <c:pt idx="78">
                  <c:v>107.24060564871276</c:v>
                </c:pt>
                <c:pt idx="79">
                  <c:v>107.60413301007452</c:v>
                </c:pt>
                <c:pt idx="80">
                  <c:v>107.97368285305143</c:v>
                </c:pt>
                <c:pt idx="81">
                  <c:v>108.34925054061273</c:v>
                </c:pt>
                <c:pt idx="82">
                  <c:v>108.73082403361894</c:v>
                </c:pt>
                <c:pt idx="83">
                  <c:v>109.1183834852974</c:v>
                </c:pt>
                <c:pt idx="84">
                  <c:v>109.5119008328905</c:v>
                </c:pt>
                <c:pt idx="85">
                  <c:v>109.91133938822104</c:v>
                </c:pt>
                <c:pt idx="86">
                  <c:v>110.31665342908624</c:v>
                </c:pt>
                <c:pt idx="87">
                  <c:v>110.72778779356058</c:v>
                </c:pt>
                <c:pt idx="88">
                  <c:v>111.14467747945753</c:v>
                </c:pt>
                <c:pt idx="89">
                  <c:v>111.56724725135699</c:v>
                </c:pt>
                <c:pt idx="90">
                  <c:v>111.99541125776778</c:v>
                </c:pt>
                <c:pt idx="91">
                  <c:v>112.42907266113448</c:v>
                </c:pt>
                <c:pt idx="92">
                  <c:v>112.86812328353152</c:v>
                </c:pt>
                <c:pt idx="93">
                  <c:v>113.31244327100951</c:v>
                </c:pt>
                <c:pt idx="94">
                  <c:v>113.76190077965083</c:v>
                </c:pt>
                <c:pt idx="95">
                  <c:v>114.21635168646785</c:v>
                </c:pt>
                <c:pt idx="96">
                  <c:v>114.67563932833151</c:v>
                </c:pt>
                <c:pt idx="97">
                  <c:v>115.13959427213506</c:v>
                </c:pt>
                <c:pt idx="98">
                  <c:v>115.60803411938288</c:v>
                </c:pt>
                <c:pt idx="99">
                  <c:v>116.08076334836051</c:v>
                </c:pt>
                <c:pt idx="100">
                  <c:v>116.55757319694014</c:v>
                </c:pt>
                <c:pt idx="101">
                  <c:v>117.03824158896953</c:v>
                </c:pt>
                <c:pt idx="102">
                  <c:v>117.52253310701303</c:v>
                </c:pt>
                <c:pt idx="103">
                  <c:v>118.01019901401479</c:v>
                </c:pt>
                <c:pt idx="104">
                  <c:v>118.50097732619787</c:v>
                </c:pt>
                <c:pt idx="105">
                  <c:v>118.9945929392196</c:v>
                </c:pt>
                <c:pt idx="106">
                  <c:v>119.49075780926736</c:v>
                </c:pt>
                <c:pt idx="107">
                  <c:v>119.98917119040568</c:v>
                </c:pt>
                <c:pt idx="108">
                  <c:v>120.48951992906679</c:v>
                </c:pt>
                <c:pt idx="109">
                  <c:v>120.99147881613669</c:v>
                </c:pt>
                <c:pt idx="110">
                  <c:v>121.49471099660943</c:v>
                </c:pt>
                <c:pt idx="111">
                  <c:v>121.99886843628305</c:v>
                </c:pt>
                <c:pt idx="112">
                  <c:v>122.503592444463</c:v>
                </c:pt>
                <c:pt idx="113">
                  <c:v>123.00851425110434</c:v>
                </c:pt>
                <c:pt idx="114">
                  <c:v>123.51325563630161</c:v>
                </c:pt>
                <c:pt idx="115">
                  <c:v>124.01742960951749</c:v>
                </c:pt>
                <c:pt idx="116">
                  <c:v>124.52064113542515</c:v>
                </c:pt>
                <c:pt idx="117">
                  <c:v>125.02248790276334</c:v>
                </c:pt>
                <c:pt idx="118">
                  <c:v>125.52256113214612</c:v>
                </c:pt>
                <c:pt idx="119">
                  <c:v>126.02044641835144</c:v>
                </c:pt>
                <c:pt idx="120">
                  <c:v>126.51572460225167</c:v>
                </c:pt>
                <c:pt idx="121">
                  <c:v>127.00797266722824</c:v>
                </c:pt>
                <c:pt idx="122">
                  <c:v>127.4967646546591</c:v>
                </c:pt>
                <c:pt idx="123">
                  <c:v>127.98167259288203</c:v>
                </c:pt>
                <c:pt idx="124">
                  <c:v>128.46226743389926</c:v>
                </c:pt>
                <c:pt idx="125">
                  <c:v>128.93811999206108</c:v>
                </c:pt>
                <c:pt idx="126">
                  <c:v>129.40880187895851</c:v>
                </c:pt>
                <c:pt idx="127">
                  <c:v>129.87388642886987</c:v>
                </c:pt>
                <c:pt idx="128">
                  <c:v>130.33294960924846</c:v>
                </c:pt>
                <c:pt idx="129">
                  <c:v>130.78557091099015</c:v>
                </c:pt>
                <c:pt idx="130">
                  <c:v>131.23133421348032</c:v>
                </c:pt>
                <c:pt idx="131">
                  <c:v>131.66982861980469</c:v>
                </c:pt>
                <c:pt idx="132">
                  <c:v>132.10064925787626</c:v>
                </c:pt>
                <c:pt idx="133">
                  <c:v>132.5233980437028</c:v>
                </c:pt>
                <c:pt idx="134">
                  <c:v>132.93768440348015</c:v>
                </c:pt>
                <c:pt idx="135">
                  <c:v>133.34312595172133</c:v>
                </c:pt>
                <c:pt idx="136">
                  <c:v>133.7393491231515</c:v>
                </c:pt>
                <c:pt idx="137">
                  <c:v>134.12598975664355</c:v>
                </c:pt>
                <c:pt idx="138">
                  <c:v>134.50269363001277</c:v>
                </c:pt>
                <c:pt idx="139">
                  <c:v>134.86911694502675</c:v>
                </c:pt>
                <c:pt idx="140">
                  <c:v>135.22492676250906</c:v>
                </c:pt>
                <c:pt idx="141">
                  <c:v>135.56980138792622</c:v>
                </c:pt>
                <c:pt idx="142">
                  <c:v>135.90343070832273</c:v>
                </c:pt>
                <c:pt idx="143">
                  <c:v>136.22551648191387</c:v>
                </c:pt>
                <c:pt idx="144">
                  <c:v>136.53577258206599</c:v>
                </c:pt>
                <c:pt idx="145">
                  <c:v>136.83392519775256</c:v>
                </c:pt>
                <c:pt idx="146">
                  <c:v>137.1197129929123</c:v>
                </c:pt>
                <c:pt idx="147">
                  <c:v>137.39288722741145</c:v>
                </c:pt>
                <c:pt idx="148">
                  <c:v>137.65321184255421</c:v>
                </c:pt>
                <c:pt idx="149">
                  <c:v>137.90046351426707</c:v>
                </c:pt>
                <c:pt idx="150">
                  <c:v>138.13443167723747</c:v>
                </c:pt>
                <c:pt idx="151">
                  <c:v>138.35491852337066</c:v>
                </c:pt>
                <c:pt idx="152">
                  <c:v>138.56173897799678</c:v>
                </c:pt>
                <c:pt idx="153">
                  <c:v>138.75472065726424</c:v>
                </c:pt>
                <c:pt idx="154">
                  <c:v>138.93370381012193</c:v>
                </c:pt>
                <c:pt idx="155">
                  <c:v>139.09854124824182</c:v>
                </c:pt>
                <c:pt idx="156">
                  <c:v>139.24909826712306</c:v>
                </c:pt>
                <c:pt idx="157">
                  <c:v>139.38525256148702</c:v>
                </c:pt>
                <c:pt idx="158">
                  <c:v>139.5068941379167</c:v>
                </c:pt>
                <c:pt idx="159">
                  <c:v>139.6139252275089</c:v>
                </c:pt>
                <c:pt idx="160">
                  <c:v>139.70626020108929</c:v>
                </c:pt>
                <c:pt idx="161">
                  <c:v>139.78382548932595</c:v>
                </c:pt>
                <c:pt idx="162">
                  <c:v>139.84655950981468</c:v>
                </c:pt>
                <c:pt idx="163">
                  <c:v>139.89441260295897</c:v>
                </c:pt>
                <c:pt idx="164">
                  <c:v>139.92734697819003</c:v>
                </c:pt>
                <c:pt idx="165">
                  <c:v>139.94533667178504</c:v>
                </c:pt>
                <c:pt idx="166">
                  <c:v>139.94836751725401</c:v>
                </c:pt>
                <c:pt idx="167">
                  <c:v>139.93643712896184</c:v>
                </c:pt>
                <c:pt idx="168">
                  <c:v>139.9095548993555</c:v>
                </c:pt>
                <c:pt idx="169">
                  <c:v>139.86774200985769</c:v>
                </c:pt>
                <c:pt idx="170">
                  <c:v>139.81103145518054</c:v>
                </c:pt>
                <c:pt idx="171">
                  <c:v>139.73946808051474</c:v>
                </c:pt>
                <c:pt idx="172">
                  <c:v>139.65310863074822</c:v>
                </c:pt>
                <c:pt idx="173">
                  <c:v>139.55202181056549</c:v>
                </c:pt>
                <c:pt idx="174">
                  <c:v>139.43628835400392</c:v>
                </c:pt>
                <c:pt idx="175">
                  <c:v>139.30600110175286</c:v>
                </c:pt>
                <c:pt idx="176">
                  <c:v>139.16126508421934</c:v>
                </c:pt>
                <c:pt idx="177">
                  <c:v>139.00219760813442</c:v>
                </c:pt>
                <c:pt idx="178">
                  <c:v>138.82892834423012</c:v>
                </c:pt>
                <c:pt idx="179">
                  <c:v>138.6415994133059</c:v>
                </c:pt>
                <c:pt idx="180">
                  <c:v>138.44036546780467</c:v>
                </c:pt>
                <c:pt idx="181">
                  <c:v>138.22539376584774</c:v>
                </c:pt>
                <c:pt idx="182">
                  <c:v>137.99686423453531</c:v>
                </c:pt>
                <c:pt idx="183">
                  <c:v>137.7549695192038</c:v>
                </c:pt>
                <c:pt idx="184">
                  <c:v>137.49991501525693</c:v>
                </c:pt>
                <c:pt idx="185">
                  <c:v>137.23191887913453</c:v>
                </c:pt>
                <c:pt idx="186">
                  <c:v>136.95121201499083</c:v>
                </c:pt>
                <c:pt idx="187">
                  <c:v>136.65803803367697</c:v>
                </c:pt>
                <c:pt idx="188">
                  <c:v>136.35265318071524</c:v>
                </c:pt>
                <c:pt idx="189">
                  <c:v>136.03532623006282</c:v>
                </c:pt>
                <c:pt idx="190">
                  <c:v>135.70633834065353</c:v>
                </c:pt>
                <c:pt idx="191">
                  <c:v>135.36598287289655</c:v>
                </c:pt>
                <c:pt idx="192">
                  <c:v>135.0145651626037</c:v>
                </c:pt>
                <c:pt idx="193">
                  <c:v>134.65240225010533</c:v>
                </c:pt>
                <c:pt idx="194">
                  <c:v>134.27982256267634</c:v>
                </c:pt>
                <c:pt idx="195">
                  <c:v>133.89716554879101</c:v>
                </c:pt>
                <c:pt idx="196">
                  <c:v>133.50478126315465</c:v>
                </c:pt>
                <c:pt idx="197">
                  <c:v>133.10302990192628</c:v>
                </c:pt>
                <c:pt idx="198">
                  <c:v>132.69228128804639</c:v>
                </c:pt>
                <c:pt idx="199">
                  <c:v>132.27291430709897</c:v>
                </c:pt>
                <c:pt idx="200">
                  <c:v>131.84531629466704</c:v>
                </c:pt>
                <c:pt idx="201">
                  <c:v>131.40988237669492</c:v>
                </c:pt>
                <c:pt idx="202">
                  <c:v>130.96701476489582</c:v>
                </c:pt>
                <c:pt idx="203">
                  <c:v>130.51712200979787</c:v>
                </c:pt>
                <c:pt idx="204">
                  <c:v>130.06061821452317</c:v>
                </c:pt>
                <c:pt idx="205">
                  <c:v>129.5979222129022</c:v>
                </c:pt>
                <c:pt idx="206">
                  <c:v>129.12945671597555</c:v>
                </c:pt>
                <c:pt idx="207">
                  <c:v>128.65564743136272</c:v>
                </c:pt>
                <c:pt idx="208">
                  <c:v>128.17692216034683</c:v>
                </c:pt>
                <c:pt idx="209">
                  <c:v>127.69370987783584</c:v>
                </c:pt>
                <c:pt idx="210">
                  <c:v>127.20643980062074</c:v>
                </c:pt>
                <c:pt idx="211">
                  <c:v>126.71554044954009</c:v>
                </c:pt>
                <c:pt idx="212">
                  <c:v>126.22143871127538</c:v>
                </c:pt>
                <c:pt idx="213">
                  <c:v>125.72455890555705</c:v>
                </c:pt>
                <c:pt idx="214">
                  <c:v>125.22532186353472</c:v>
                </c:pt>
                <c:pt idx="215">
                  <c:v>124.72414402297096</c:v>
                </c:pt>
                <c:pt idx="216">
                  <c:v>124.22143654575457</c:v>
                </c:pt>
                <c:pt idx="217">
                  <c:v>123.71760446299966</c:v>
                </c:pt>
                <c:pt idx="218">
                  <c:v>123.21304585270836</c:v>
                </c:pt>
                <c:pt idx="219">
                  <c:v>122.70815105461844</c:v>
                </c:pt>
                <c:pt idx="220">
                  <c:v>122.20330192647585</c:v>
                </c:pt>
                <c:pt idx="221">
                  <c:v>121.69887114551615</c:v>
                </c:pt>
                <c:pt idx="222">
                  <c:v>121.19522155848118</c:v>
                </c:pt>
                <c:pt idx="223">
                  <c:v>120.69270558298587</c:v>
                </c:pt>
                <c:pt idx="224">
                  <c:v>120.19166466254259</c:v>
                </c:pt>
                <c:pt idx="225">
                  <c:v>119.69242877702008</c:v>
                </c:pt>
                <c:pt idx="226">
                  <c:v>119.1953160097861</c:v>
                </c:pt>
                <c:pt idx="227">
                  <c:v>118.70063217226922</c:v>
                </c:pt>
                <c:pt idx="228">
                  <c:v>118.20867048616255</c:v>
                </c:pt>
                <c:pt idx="229">
                  <c:v>117.71971132300702</c:v>
                </c:pt>
                <c:pt idx="230">
                  <c:v>117.23402200044397</c:v>
                </c:pt>
                <c:pt idx="231">
                  <c:v>116.75185663398274</c:v>
                </c:pt>
                <c:pt idx="232">
                  <c:v>116.27345604275075</c:v>
                </c:pt>
                <c:pt idx="233">
                  <c:v>115.79904770733759</c:v>
                </c:pt>
                <c:pt idx="234">
                  <c:v>115.32884577752881</c:v>
                </c:pt>
                <c:pt idx="235">
                  <c:v>114.86305112746228</c:v>
                </c:pt>
                <c:pt idx="236">
                  <c:v>114.40185145551035</c:v>
                </c:pt>
                <c:pt idx="237">
                  <c:v>113.94542142601203</c:v>
                </c:pt>
                <c:pt idx="238">
                  <c:v>113.49392284983224</c:v>
                </c:pt>
                <c:pt idx="239">
                  <c:v>113.04750490063562</c:v>
                </c:pt>
                <c:pt idx="240">
                  <c:v>112.60630436368932</c:v>
                </c:pt>
                <c:pt idx="241">
                  <c:v>112.17044591399467</c:v>
                </c:pt>
                <c:pt idx="242">
                  <c:v>111.74004242054733</c:v>
                </c:pt>
                <c:pt idx="243">
                  <c:v>111.31519527357057</c:v>
                </c:pt>
                <c:pt idx="244">
                  <c:v>110.89599473162652</c:v>
                </c:pt>
                <c:pt idx="245">
                  <c:v>110.48252028560302</c:v>
                </c:pt>
                <c:pt idx="246">
                  <c:v>110.07484103668354</c:v>
                </c:pt>
                <c:pt idx="247">
                  <c:v>109.67301608552971</c:v>
                </c:pt>
                <c:pt idx="248">
                  <c:v>109.27709493005528</c:v>
                </c:pt>
                <c:pt idx="249">
                  <c:v>108.88711786931233</c:v>
                </c:pt>
                <c:pt idx="250">
                  <c:v>108.50311641117938</c:v>
                </c:pt>
                <c:pt idx="251">
                  <c:v>108.12511368170044</c:v>
                </c:pt>
                <c:pt idx="252">
                  <c:v>107.75312483409463</c:v>
                </c:pt>
                <c:pt idx="253">
                  <c:v>107.38715745562604</c:v>
                </c:pt>
                <c:pt idx="254">
                  <c:v>107.0272119706887</c:v>
                </c:pt>
                <c:pt idx="255">
                  <c:v>106.67328203863201</c:v>
                </c:pt>
                <c:pt idx="256">
                  <c:v>106.32535494500644</c:v>
                </c:pt>
                <c:pt idx="257">
                  <c:v>105.98341198507218</c:v>
                </c:pt>
                <c:pt idx="258">
                  <c:v>105.64742883855622</c:v>
                </c:pt>
                <c:pt idx="259">
                  <c:v>105.31737593479207</c:v>
                </c:pt>
                <c:pt idx="260">
                  <c:v>104.99321880750256</c:v>
                </c:pt>
                <c:pt idx="261">
                  <c:v>104.67491843862119</c:v>
                </c:pt>
                <c:pt idx="262">
                  <c:v>104.36243159065836</c:v>
                </c:pt>
                <c:pt idx="263">
                  <c:v>104.05571112723015</c:v>
                </c:pt>
                <c:pt idx="264">
                  <c:v>103.75470632146748</c:v>
                </c:pt>
                <c:pt idx="265">
                  <c:v>103.45936315211588</c:v>
                </c:pt>
                <c:pt idx="266">
                  <c:v>103.16962458721682</c:v>
                </c:pt>
                <c:pt idx="267">
                  <c:v>102.88543085534077</c:v>
                </c:pt>
                <c:pt idx="268">
                  <c:v>102.60671970440383</c:v>
                </c:pt>
                <c:pt idx="269">
                  <c:v>102.33342664816585</c:v>
                </c:pt>
                <c:pt idx="270">
                  <c:v>102.06548520055517</c:v>
                </c:pt>
                <c:pt idx="271">
                  <c:v>101.80282709801406</c:v>
                </c:pt>
                <c:pt idx="272">
                  <c:v>101.54538251009794</c:v>
                </c:pt>
                <c:pt idx="273">
                  <c:v>101.29308023859515</c:v>
                </c:pt>
                <c:pt idx="274">
                  <c:v>101.04584790546224</c:v>
                </c:pt>
                <c:pt idx="275">
                  <c:v>100.80361212989382</c:v>
                </c:pt>
                <c:pt idx="276">
                  <c:v>100.56629869486372</c:v>
                </c:pt>
                <c:pt idx="277">
                  <c:v>100.33383270349229</c:v>
                </c:pt>
                <c:pt idx="278">
                  <c:v>100.10613872559962</c:v>
                </c:pt>
                <c:pt idx="279">
                  <c:v>99.883140934818798</c:v>
                </c:pt>
                <c:pt idx="280">
                  <c:v>99.664763236644646</c:v>
                </c:pt>
                <c:pt idx="281">
                  <c:v>99.450929387794105</c:v>
                </c:pt>
                <c:pt idx="282">
                  <c:v>99.241563107257534</c:v>
                </c:pt>
                <c:pt idx="283">
                  <c:v>99.036588179415318</c:v>
                </c:pt>
                <c:pt idx="284">
                  <c:v>98.835928549590804</c:v>
                </c:pt>
                <c:pt idx="285">
                  <c:v>98.639508412404567</c:v>
                </c:pt>
                <c:pt idx="286">
                  <c:v>98.447252293288969</c:v>
                </c:pt>
                <c:pt idx="287">
                  <c:v>98.259085123511269</c:v>
                </c:pt>
                <c:pt idx="288">
                  <c:v>98.074932309048847</c:v>
                </c:pt>
                <c:pt idx="289">
                  <c:v>97.894719793644725</c:v>
                </c:pt>
                <c:pt idx="290">
                  <c:v>97.718374116367059</c:v>
                </c:pt>
                <c:pt idx="291">
                  <c:v>97.545822463980159</c:v>
                </c:pt>
                <c:pt idx="292">
                  <c:v>97.376992718427815</c:v>
                </c:pt>
                <c:pt idx="293">
                  <c:v>97.211813499714978</c:v>
                </c:pt>
                <c:pt idx="294">
                  <c:v>97.050214204464154</c:v>
                </c:pt>
                <c:pt idx="295">
                  <c:v>96.892125040411997</c:v>
                </c:pt>
                <c:pt idx="296">
                  <c:v>96.737477057097593</c:v>
                </c:pt>
                <c:pt idx="297">
                  <c:v>96.58620217298504</c:v>
                </c:pt>
                <c:pt idx="298">
                  <c:v>96.438233199250348</c:v>
                </c:pt>
                <c:pt idx="299">
                  <c:v>96.293503860452333</c:v>
                </c:pt>
                <c:pt idx="300">
                  <c:v>96.151948812295757</c:v>
                </c:pt>
                <c:pt idx="301">
                  <c:v>96.013503656685359</c:v>
                </c:pt>
                <c:pt idx="302">
                  <c:v>95.878104954257907</c:v>
                </c:pt>
                <c:pt idx="303">
                  <c:v>95.745690234570688</c:v>
                </c:pt>
                <c:pt idx="304">
                  <c:v>95.616198004115006</c:v>
                </c:pt>
                <c:pt idx="305">
                  <c:v>95.489567752313363</c:v>
                </c:pt>
                <c:pt idx="306">
                  <c:v>95.365739955650952</c:v>
                </c:pt>
                <c:pt idx="307">
                  <c:v>95.244656080082819</c:v>
                </c:pt>
                <c:pt idx="308">
                  <c:v>95.126258581850564</c:v>
                </c:pt>
                <c:pt idx="309">
                  <c:v>95.010490906834036</c:v>
                </c:pt>
                <c:pt idx="310">
                  <c:v>94.897297488556433</c:v>
                </c:pt>
                <c:pt idx="311">
                  <c:v>94.786623744953374</c:v>
                </c:pt>
                <c:pt idx="312">
                  <c:v>94.678416074011096</c:v>
                </c:pt>
                <c:pt idx="313">
                  <c:v>94.572621848370218</c:v>
                </c:pt>
                <c:pt idx="314">
                  <c:v>94.469189408988058</c:v>
                </c:pt>
                <c:pt idx="315">
                  <c:v>94.368068057944384</c:v>
                </c:pt>
                <c:pt idx="316">
                  <c:v>94.26920805047105</c:v>
                </c:pt>
                <c:pt idx="317">
                  <c:v>94.172560586280483</c:v>
                </c:pt>
                <c:pt idx="318">
                  <c:v>94.078077800263344</c:v>
                </c:pt>
                <c:pt idx="319">
                  <c:v>93.98571275262006</c:v>
                </c:pt>
                <c:pt idx="320">
                  <c:v>93.895419418487734</c:v>
                </c:pt>
                <c:pt idx="321">
                  <c:v>93.807152677118651</c:v>
                </c:pt>
                <c:pt idx="322">
                  <c:v>93.720868300663724</c:v>
                </c:pt>
                <c:pt idx="323">
                  <c:v>93.636522942609275</c:v>
                </c:pt>
                <c:pt idx="324">
                  <c:v>93.554074125913047</c:v>
                </c:pt>
                <c:pt idx="325">
                  <c:v>93.473480230881989</c:v>
                </c:pt>
                <c:pt idx="326">
                  <c:v>93.394700482830231</c:v>
                </c:pt>
                <c:pt idx="327">
                  <c:v>93.317694939554556</c:v>
                </c:pt>
                <c:pt idx="328">
                  <c:v>93.242424478659686</c:v>
                </c:pt>
                <c:pt idx="329">
                  <c:v>93.168850784765667</c:v>
                </c:pt>
                <c:pt idx="330">
                  <c:v>93.096936336624978</c:v>
                </c:pt>
                <c:pt idx="331">
                  <c:v>93.026644394176159</c:v>
                </c:pt>
                <c:pt idx="332">
                  <c:v>92.957938985557917</c:v>
                </c:pt>
                <c:pt idx="333">
                  <c:v>92.890784894106815</c:v>
                </c:pt>
                <c:pt idx="334">
                  <c:v>92.825147645357532</c:v>
                </c:pt>
                <c:pt idx="335">
                  <c:v>92.760993494065971</c:v>
                </c:pt>
                <c:pt idx="336">
                  <c:v>92.698289411271134</c:v>
                </c:pt>
                <c:pt idx="337">
                  <c:v>92.637003071412252</c:v>
                </c:pt>
                <c:pt idx="338">
                  <c:v>92.577102839514808</c:v>
                </c:pt>
                <c:pt idx="339">
                  <c:v>92.51855775845884</c:v>
                </c:pt>
                <c:pt idx="340">
                  <c:v>92.461337536340721</c:v>
                </c:pt>
                <c:pt idx="341">
                  <c:v>92.405412533939497</c:v>
                </c:pt>
                <c:pt idx="342">
                  <c:v>92.350753752297109</c:v>
                </c:pt>
                <c:pt idx="343">
                  <c:v>92.297332820420976</c:v>
                </c:pt>
                <c:pt idx="344">
                  <c:v>92.245121983116817</c:v>
                </c:pt>
                <c:pt idx="345">
                  <c:v>92.194094088958082</c:v>
                </c:pt>
                <c:pt idx="346">
                  <c:v>92.144222578398768</c:v>
                </c:pt>
                <c:pt idx="347">
                  <c:v>92.095481472034024</c:v>
                </c:pt>
                <c:pt idx="348">
                  <c:v>92.047845359013948</c:v>
                </c:pt>
                <c:pt idx="349">
                  <c:v>92.001289385614015</c:v>
                </c:pt>
                <c:pt idx="350">
                  <c:v>91.955789243965924</c:v>
                </c:pt>
                <c:pt idx="351">
                  <c:v>91.911321160951616</c:v>
                </c:pt>
                <c:pt idx="352">
                  <c:v>91.867861887262947</c:v>
                </c:pt>
                <c:pt idx="353">
                  <c:v>91.825388686628855</c:v>
                </c:pt>
                <c:pt idx="354">
                  <c:v>91.783879325211629</c:v>
                </c:pt>
                <c:pt idx="355">
                  <c:v>91.743312061173512</c:v>
                </c:pt>
                <c:pt idx="356">
                  <c:v>91.703665634414364</c:v>
                </c:pt>
                <c:pt idx="357">
                  <c:v>91.664919256480744</c:v>
                </c:pt>
                <c:pt idx="358">
                  <c:v>91.627052600646905</c:v>
                </c:pt>
                <c:pt idx="359">
                  <c:v>91.590045792167359</c:v>
                </c:pt>
                <c:pt idx="360">
                  <c:v>91.553879398700715</c:v>
                </c:pt>
                <c:pt idx="361">
                  <c:v>91.518534420904217</c:v>
                </c:pt>
                <c:pt idx="362">
                  <c:v>91.483992283198603</c:v>
                </c:pt>
                <c:pt idx="363">
                  <c:v>91.450234824701411</c:v>
                </c:pt>
                <c:pt idx="364">
                  <c:v>91.417244290328739</c:v>
                </c:pt>
                <c:pt idx="365">
                  <c:v>91.385003322063255</c:v>
                </c:pt>
                <c:pt idx="366">
                  <c:v>91.353494950387727</c:v>
                </c:pt>
                <c:pt idx="367">
                  <c:v>91.322702585881899</c:v>
                </c:pt>
                <c:pt idx="368">
                  <c:v>91.292610010981633</c:v>
                </c:pt>
                <c:pt idx="369">
                  <c:v>91.263201371898177</c:v>
                </c:pt>
                <c:pt idx="370">
                  <c:v>91.23446117069598</c:v>
                </c:pt>
                <c:pt idx="371">
                  <c:v>91.206374257526946</c:v>
                </c:pt>
                <c:pt idx="372">
                  <c:v>91.178925823019142</c:v>
                </c:pt>
                <c:pt idx="373">
                  <c:v>91.15210139081826</c:v>
                </c:pt>
                <c:pt idx="374">
                  <c:v>91.125886810279113</c:v>
                </c:pt>
                <c:pt idx="375">
                  <c:v>91.100268249305728</c:v>
                </c:pt>
                <c:pt idx="376">
                  <c:v>91.075232187337264</c:v>
                </c:pt>
                <c:pt idx="377">
                  <c:v>91.050765408477986</c:v>
                </c:pt>
                <c:pt idx="378">
                  <c:v>91.026854994768797</c:v>
                </c:pt>
                <c:pt idx="379">
                  <c:v>91.003488319598233</c:v>
                </c:pt>
                <c:pt idx="380">
                  <c:v>90.98065304125052</c:v>
                </c:pt>
                <c:pt idx="381">
                  <c:v>90.958337096588679</c:v>
                </c:pt>
                <c:pt idx="382">
                  <c:v>90.93652869487002</c:v>
                </c:pt>
                <c:pt idx="383">
                  <c:v>90.915216311692134</c:v>
                </c:pt>
                <c:pt idx="384">
                  <c:v>90.894388683066865</c:v>
                </c:pt>
                <c:pt idx="385">
                  <c:v>90.874034799620105</c:v>
                </c:pt>
                <c:pt idx="386">
                  <c:v>90.854143900915105</c:v>
                </c:pt>
                <c:pt idx="387">
                  <c:v>90.834705469897102</c:v>
                </c:pt>
                <c:pt idx="388">
                  <c:v>90.815709227456921</c:v>
                </c:pt>
                <c:pt idx="389">
                  <c:v>90.79714512711152</c:v>
                </c:pt>
                <c:pt idx="390">
                  <c:v>90.77900334979914</c:v>
                </c:pt>
                <c:pt idx="391">
                  <c:v>90.761274298786844</c:v>
                </c:pt>
                <c:pt idx="392">
                  <c:v>90.743948594688405</c:v>
                </c:pt>
                <c:pt idx="393">
                  <c:v>90.727017070590378</c:v>
                </c:pt>
                <c:pt idx="394">
                  <c:v>90.710470767284221</c:v>
                </c:pt>
                <c:pt idx="395">
                  <c:v>90.694300928602246</c:v>
                </c:pt>
                <c:pt idx="396">
                  <c:v>90.678498996855737</c:v>
                </c:pt>
                <c:pt idx="397">
                  <c:v>90.663056608372571</c:v>
                </c:pt>
                <c:pt idx="398">
                  <c:v>90.647965589133094</c:v>
                </c:pt>
                <c:pt idx="399">
                  <c:v>90.633217950501503</c:v>
                </c:pt>
                <c:pt idx="400">
                  <c:v>90.618805885051387</c:v>
                </c:pt>
                <c:pt idx="401">
                  <c:v>90.604721762483237</c:v>
                </c:pt>
                <c:pt idx="402">
                  <c:v>90.590958125631929</c:v>
                </c:pt>
                <c:pt idx="403">
                  <c:v>90.577507686562683</c:v>
                </c:pt>
                <c:pt idx="404">
                  <c:v>90.564363322753152</c:v>
                </c:pt>
                <c:pt idx="405">
                  <c:v>90.551518073360398</c:v>
                </c:pt>
                <c:pt idx="406">
                  <c:v>90.538965135570507</c:v>
                </c:pt>
                <c:pt idx="407">
                  <c:v>90.526697861029405</c:v>
                </c:pt>
                <c:pt idx="408">
                  <c:v>90.514709752353014</c:v>
                </c:pt>
                <c:pt idx="409">
                  <c:v>90.50299445971504</c:v>
                </c:pt>
                <c:pt idx="410">
                  <c:v>90.491545777511035</c:v>
                </c:pt>
                <c:pt idx="411">
                  <c:v>90.480357641096532</c:v>
                </c:pt>
                <c:pt idx="412">
                  <c:v>90.469424123598316</c:v>
                </c:pt>
                <c:pt idx="413">
                  <c:v>90.458739432796861</c:v>
                </c:pt>
                <c:pt idx="414">
                  <c:v>90.448297908078388</c:v>
                </c:pt>
                <c:pt idx="415">
                  <c:v>90.438094017455342</c:v>
                </c:pt>
                <c:pt idx="416">
                  <c:v>90.428122354653453</c:v>
                </c:pt>
                <c:pt idx="417">
                  <c:v>90.418377636264225</c:v>
                </c:pt>
                <c:pt idx="418">
                  <c:v>90.408854698961221</c:v>
                </c:pt>
                <c:pt idx="419">
                  <c:v>90.399548496778877</c:v>
                </c:pt>
                <c:pt idx="420">
                  <c:v>90.390454098452466</c:v>
                </c:pt>
                <c:pt idx="421">
                  <c:v>90.381566684817756</c:v>
                </c:pt>
                <c:pt idx="422">
                  <c:v>90.372881546269312</c:v>
                </c:pt>
                <c:pt idx="423">
                  <c:v>90.364394080275787</c:v>
                </c:pt>
                <c:pt idx="424">
                  <c:v>90.356099788951397</c:v>
                </c:pt>
                <c:pt idx="425">
                  <c:v>90.347994276681831</c:v>
                </c:pt>
                <c:pt idx="426">
                  <c:v>90.3400732478039</c:v>
                </c:pt>
                <c:pt idx="427">
                  <c:v>90.33233250433733</c:v>
                </c:pt>
                <c:pt idx="428">
                  <c:v>90.324767943767853</c:v>
                </c:pt>
                <c:pt idx="429">
                  <c:v>90.317375556880165</c:v>
                </c:pt>
                <c:pt idx="430">
                  <c:v>90.310151425640043</c:v>
                </c:pt>
                <c:pt idx="431">
                  <c:v>90.303091721123934</c:v>
                </c:pt>
                <c:pt idx="432">
                  <c:v>90.296192701495741</c:v>
                </c:pt>
                <c:pt idx="433">
                  <c:v>90.289450710028945</c:v>
                </c:pt>
                <c:pt idx="434">
                  <c:v>90.282862173173712</c:v>
                </c:pt>
                <c:pt idx="435">
                  <c:v>90.276423598667563</c:v>
                </c:pt>
                <c:pt idx="436">
                  <c:v>90.270131573688843</c:v>
                </c:pt>
                <c:pt idx="437">
                  <c:v>90.263982763051914</c:v>
                </c:pt>
                <c:pt idx="438">
                  <c:v>90.257973907443258</c:v>
                </c:pt>
                <c:pt idx="439">
                  <c:v>90.25210182169748</c:v>
                </c:pt>
                <c:pt idx="440">
                  <c:v>90.246363393112389</c:v>
                </c:pt>
                <c:pt idx="441">
                  <c:v>90.240755579802141</c:v>
                </c:pt>
                <c:pt idx="442">
                  <c:v>90.235275409087791</c:v>
                </c:pt>
                <c:pt idx="443">
                  <c:v>90.22991997592429</c:v>
                </c:pt>
                <c:pt idx="444">
                  <c:v>90.224686441363104</c:v>
                </c:pt>
                <c:pt idx="445">
                  <c:v>90.219572031049708</c:v>
                </c:pt>
                <c:pt idx="446">
                  <c:v>90.214574033755113</c:v>
                </c:pt>
                <c:pt idx="447">
                  <c:v>90.209689799940804</c:v>
                </c:pt>
                <c:pt idx="448">
                  <c:v>90.204916740356012</c:v>
                </c:pt>
                <c:pt idx="449">
                  <c:v>90.200252324667076</c:v>
                </c:pt>
                <c:pt idx="450">
                  <c:v>90.19569408011759</c:v>
                </c:pt>
                <c:pt idx="451">
                  <c:v>90.191239590219354</c:v>
                </c:pt>
                <c:pt idx="452">
                  <c:v>90.186886493472556</c:v>
                </c:pt>
                <c:pt idx="453">
                  <c:v>90.182632482115409</c:v>
                </c:pt>
                <c:pt idx="454">
                  <c:v>90.178475300902022</c:v>
                </c:pt>
                <c:pt idx="455">
                  <c:v>90.174412745907901</c:v>
                </c:pt>
                <c:pt idx="456">
                  <c:v>90.170442663362735</c:v>
                </c:pt>
                <c:pt idx="457">
                  <c:v>90.16656294850965</c:v>
                </c:pt>
                <c:pt idx="458">
                  <c:v>90.162771544490369</c:v>
                </c:pt>
                <c:pt idx="459">
                  <c:v>90.15906644125559</c:v>
                </c:pt>
                <c:pt idx="460">
                  <c:v>90.155445674500271</c:v>
                </c:pt>
                <c:pt idx="461">
                  <c:v>90.151907324623082</c:v>
                </c:pt>
                <c:pt idx="462">
                  <c:v>90.148449515709331</c:v>
                </c:pt>
                <c:pt idx="463">
                  <c:v>90.145070414537159</c:v>
                </c:pt>
                <c:pt idx="464">
                  <c:v>90.141768229606384</c:v>
                </c:pt>
                <c:pt idx="465">
                  <c:v>90.138541210189175</c:v>
                </c:pt>
                <c:pt idx="466">
                  <c:v>90.135387645402474</c:v>
                </c:pt>
                <c:pt idx="467">
                  <c:v>90.132305863301497</c:v>
                </c:pt>
                <c:pt idx="468">
                  <c:v>90.129294229993775</c:v>
                </c:pt>
                <c:pt idx="469">
                  <c:v>90.126351148773352</c:v>
                </c:pt>
                <c:pt idx="470">
                  <c:v>90.123475059274725</c:v>
                </c:pt>
                <c:pt idx="471">
                  <c:v>90.120664436645939</c:v>
                </c:pt>
                <c:pt idx="472">
                  <c:v>90.117917790740464</c:v>
                </c:pt>
                <c:pt idx="473">
                  <c:v>90.115233665327622</c:v>
                </c:pt>
                <c:pt idx="474">
                  <c:v>90.112610637320714</c:v>
                </c:pt>
                <c:pt idx="475">
                  <c:v>90.1100473160229</c:v>
                </c:pt>
                <c:pt idx="476">
                  <c:v>90.107542342390147</c:v>
                </c:pt>
                <c:pt idx="477">
                  <c:v>90.105094388310903</c:v>
                </c:pt>
                <c:pt idx="478">
                  <c:v>90.102702155902236</c:v>
                </c:pt>
                <c:pt idx="479">
                  <c:v>90.100364376821929</c:v>
                </c:pt>
                <c:pt idx="480">
                  <c:v>90.09807981159625</c:v>
                </c:pt>
                <c:pt idx="481">
                  <c:v>90.095847248962954</c:v>
                </c:pt>
                <c:pt idx="482">
                  <c:v>90.093665505229268</c:v>
                </c:pt>
                <c:pt idx="483">
                  <c:v>90.091533423644577</c:v>
                </c:pt>
                <c:pt idx="484">
                  <c:v>90.089449873787132</c:v>
                </c:pt>
                <c:pt idx="485">
                  <c:v>90.087413750964942</c:v>
                </c:pt>
                <c:pt idx="486">
                  <c:v>90.085423975630263</c:v>
                </c:pt>
                <c:pt idx="487">
                  <c:v>90.083479492807257</c:v>
                </c:pt>
                <c:pt idx="488">
                  <c:v>90.081579271532803</c:v>
                </c:pt>
                <c:pt idx="489">
                  <c:v>90.079722304310039</c:v>
                </c:pt>
                <c:pt idx="490">
                  <c:v>90.077907606574257</c:v>
                </c:pt>
                <c:pt idx="491">
                  <c:v>90.076134216170999</c:v>
                </c:pt>
                <c:pt idx="492">
                  <c:v>90.074401192845968</c:v>
                </c:pt>
                <c:pt idx="493">
                  <c:v>90.072707617746701</c:v>
                </c:pt>
                <c:pt idx="494">
                  <c:v>90.071052592935402</c:v>
                </c:pt>
                <c:pt idx="495">
                  <c:v>90.069435240912881</c:v>
                </c:pt>
                <c:pt idx="496">
                  <c:v>90.067854704153504</c:v>
                </c:pt>
                <c:pt idx="497">
                  <c:v>90.066310144650473</c:v>
                </c:pt>
                <c:pt idx="498">
                  <c:v>90.06480074347165</c:v>
                </c:pt>
                <c:pt idx="499">
                  <c:v>90.063325700325379</c:v>
                </c:pt>
                <c:pt idx="500">
                  <c:v>90.061884233136226</c:v>
                </c:pt>
                <c:pt idx="501">
                  <c:v>90.060475577630385</c:v>
                </c:pt>
                <c:pt idx="502">
                  <c:v>90.059098986930479</c:v>
                </c:pt>
                <c:pt idx="503">
                  <c:v>90.05775373115965</c:v>
                </c:pt>
                <c:pt idx="504">
                  <c:v>90.05643909705455</c:v>
                </c:pt>
                <c:pt idx="505">
                  <c:v>90.055154387587251</c:v>
                </c:pt>
                <c:pt idx="506">
                  <c:v>90.053898921595703</c:v>
                </c:pt>
                <c:pt idx="507">
                  <c:v>90.052672033422596</c:v>
                </c:pt>
                <c:pt idx="508">
                  <c:v>90.051473072562473</c:v>
                </c:pt>
                <c:pt idx="509">
                  <c:v>90.050301403316851</c:v>
                </c:pt>
                <c:pt idx="510">
                  <c:v>90.049156404457193</c:v>
                </c:pt>
                <c:pt idx="511">
                  <c:v>90.048037468895515</c:v>
                </c:pt>
                <c:pt idx="512">
                  <c:v>90.046944003362654</c:v>
                </c:pt>
                <c:pt idx="513">
                  <c:v>90.045875428093524</c:v>
                </c:pt>
                <c:pt idx="514">
                  <c:v>90.044831176519978</c:v>
                </c:pt>
                <c:pt idx="515">
                  <c:v>90.043810694970219</c:v>
                </c:pt>
                <c:pt idx="516">
                  <c:v>90.042813442375419</c:v>
                </c:pt>
                <c:pt idx="517">
                  <c:v>90.041838889982728</c:v>
                </c:pt>
                <c:pt idx="518">
                  <c:v>90.040886521075024</c:v>
                </c:pt>
                <c:pt idx="519">
                  <c:v>90.039955830696925</c:v>
                </c:pt>
                <c:pt idx="520">
                  <c:v>90.039046325387091</c:v>
                </c:pt>
                <c:pt idx="521">
                  <c:v>90.038157522916592</c:v>
                </c:pt>
                <c:pt idx="522">
                  <c:v>90.03728895203318</c:v>
                </c:pt>
                <c:pt idx="523">
                  <c:v>90.03644015221154</c:v>
                </c:pt>
                <c:pt idx="524">
                  <c:v>90.035610673409039</c:v>
                </c:pt>
                <c:pt idx="525">
                  <c:v>90.034800075827178</c:v>
                </c:pt>
                <c:pt idx="526">
                  <c:v>90.034007929678381</c:v>
                </c:pt>
                <c:pt idx="527">
                  <c:v>90.033233814958095</c:v>
                </c:pt>
                <c:pt idx="528">
                  <c:v>90.032477321222217</c:v>
                </c:pt>
                <c:pt idx="529">
                  <c:v>90.031738047369359</c:v>
                </c:pt>
                <c:pt idx="530">
                  <c:v>90.031015601428237</c:v>
                </c:pt>
                <c:pt idx="531">
                  <c:v>90.030309600349867</c:v>
                </c:pt>
                <c:pt idx="532">
                  <c:v>90.029619669804447</c:v>
                </c:pt>
                <c:pt idx="533">
                  <c:v>90.028945443982892</c:v>
                </c:pt>
                <c:pt idx="534">
                  <c:v>90.02828656540288</c:v>
                </c:pt>
                <c:pt idx="535">
                  <c:v>90.027642684719339</c:v>
                </c:pt>
                <c:pt idx="536">
                  <c:v>90.027013460539209</c:v>
                </c:pt>
                <c:pt idx="537">
                  <c:v>90.026398559240434</c:v>
                </c:pt>
                <c:pt idx="538">
                  <c:v>90.025797654795056</c:v>
                </c:pt>
                <c:pt idx="539">
                  <c:v>90.025210428596409</c:v>
                </c:pt>
                <c:pt idx="540">
                  <c:v>90.024636569290152</c:v>
                </c:pt>
                <c:pt idx="541">
                  <c:v>90.024075772609166</c:v>
                </c:pt>
              </c:numCache>
            </c:numRef>
          </c:yVal>
          <c:smooth val="1"/>
          <c:extLst>
            <c:ext xmlns:c16="http://schemas.microsoft.com/office/drawing/2014/chart" uri="{C3380CC4-5D6E-409C-BE32-E72D297353CC}">
              <c16:uniqueId val="{00000001-4F4B-43C9-BE46-3F56EC7D1C25}"/>
            </c:ext>
          </c:extLst>
        </c:ser>
        <c:dLbls>
          <c:showLegendKey val="0"/>
          <c:showVal val="0"/>
          <c:showCatName val="0"/>
          <c:showSerName val="0"/>
          <c:showPercent val="0"/>
          <c:showBubbleSize val="0"/>
        </c:dLbls>
        <c:axId val="384260736"/>
        <c:axId val="384259200"/>
      </c:scatterChart>
      <c:valAx>
        <c:axId val="384242816"/>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84244736"/>
        <c:crosses val="autoZero"/>
        <c:crossBetween val="midCat"/>
      </c:valAx>
      <c:valAx>
        <c:axId val="384244736"/>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84242816"/>
        <c:crosses val="autoZero"/>
        <c:crossBetween val="midCat"/>
        <c:majorUnit val="20"/>
        <c:minorUnit val="10"/>
      </c:valAx>
      <c:valAx>
        <c:axId val="384259200"/>
        <c:scaling>
          <c:orientation val="minMax"/>
          <c:max val="180"/>
          <c:min val="-180"/>
        </c:scaling>
        <c:delete val="0"/>
        <c:axPos val="r"/>
        <c:numFmt formatCode="General" sourceLinked="1"/>
        <c:majorTickMark val="out"/>
        <c:minorTickMark val="none"/>
        <c:tickLblPos val="nextTo"/>
        <c:crossAx val="384260736"/>
        <c:crosses val="max"/>
        <c:crossBetween val="midCat"/>
        <c:majorUnit val="90"/>
        <c:minorUnit val="45"/>
      </c:valAx>
      <c:valAx>
        <c:axId val="384260736"/>
        <c:scaling>
          <c:logBase val="10"/>
          <c:orientation val="minMax"/>
        </c:scaling>
        <c:delete val="1"/>
        <c:axPos val="b"/>
        <c:numFmt formatCode="0.00" sourceLinked="1"/>
        <c:majorTickMark val="out"/>
        <c:minorTickMark val="none"/>
        <c:tickLblPos val="nextTo"/>
        <c:crossAx val="384259200"/>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CCM_Loop_Modeling_non_isolated!$AT$19:$AT$560</c:f>
              <c:numCache>
                <c:formatCode>0.000</c:formatCode>
                <c:ptCount val="542"/>
                <c:pt idx="0">
                  <c:v>89.767229455848025</c:v>
                </c:pt>
                <c:pt idx="1">
                  <c:v>89.436209605095684</c:v>
                </c:pt>
                <c:pt idx="2">
                  <c:v>89.103169118964516</c:v>
                </c:pt>
                <c:pt idx="3">
                  <c:v>88.768141340640824</c:v>
                </c:pt>
                <c:pt idx="4">
                  <c:v>88.43116105238542</c:v>
                </c:pt>
                <c:pt idx="5">
                  <c:v>88.092264365661464</c:v>
                </c:pt>
                <c:pt idx="6">
                  <c:v>87.751488610324174</c:v>
                </c:pt>
                <c:pt idx="7">
                  <c:v>87.408872223597612</c:v>
                </c:pt>
                <c:pt idx="8">
                  <c:v>87.064454639533167</c:v>
                </c:pt>
                <c:pt idx="9">
                  <c:v>86.718276179604601</c:v>
                </c:pt>
                <c:pt idx="10">
                  <c:v>86.370377945055466</c:v>
                </c:pt>
                <c:pt idx="11">
                  <c:v>86.020801711563578</c:v>
                </c:pt>
                <c:pt idx="12">
                  <c:v>85.66958982674366</c:v>
                </c:pt>
                <c:pt idx="13">
                  <c:v>85.316785110953589</c:v>
                </c:pt>
                <c:pt idx="14">
                  <c:v>84.962430761819093</c:v>
                </c:pt>
                <c:pt idx="15">
                  <c:v>84.606570262839057</c:v>
                </c:pt>
                <c:pt idx="16">
                  <c:v>84.249247296380332</c:v>
                </c:pt>
                <c:pt idx="17">
                  <c:v>83.890505661318855</c:v>
                </c:pt>
                <c:pt idx="18">
                  <c:v>83.530389195535335</c:v>
                </c:pt>
                <c:pt idx="19">
                  <c:v>83.168941703423968</c:v>
                </c:pt>
                <c:pt idx="20">
                  <c:v>82.806206888526859</c:v>
                </c:pt>
                <c:pt idx="21">
                  <c:v>82.442228291366249</c:v>
                </c:pt>
                <c:pt idx="22">
                  <c:v>82.077049232503697</c:v>
                </c:pt>
                <c:pt idx="23">
                  <c:v>81.710712760820343</c:v>
                </c:pt>
                <c:pt idx="24">
                  <c:v>81.343261606979183</c:v>
                </c:pt>
                <c:pt idx="25">
                  <c:v>80.97473814199914</c:v>
                </c:pt>
                <c:pt idx="26">
                  <c:v>80.605184340846293</c:v>
                </c:pt>
                <c:pt idx="27">
                  <c:v>80.234641750920446</c:v>
                </c:pt>
                <c:pt idx="28">
                  <c:v>79.863151465301272</c:v>
                </c:pt>
                <c:pt idx="29">
                  <c:v>79.490754100594472</c:v>
                </c:pt>
                <c:pt idx="30">
                  <c:v>79.117489779210445</c:v>
                </c:pt>
                <c:pt idx="31">
                  <c:v>78.743398115892077</c:v>
                </c:pt>
                <c:pt idx="32">
                  <c:v>78.368518208304195</c:v>
                </c:pt>
                <c:pt idx="33">
                  <c:v>77.992888631485968</c:v>
                </c:pt>
                <c:pt idx="34">
                  <c:v>77.616547435968087</c:v>
                </c:pt>
                <c:pt idx="35">
                  <c:v>77.239532149351206</c:v>
                </c:pt>
                <c:pt idx="36">
                  <c:v>76.861879781142903</c:v>
                </c:pt>
                <c:pt idx="37">
                  <c:v>76.483626830651474</c:v>
                </c:pt>
                <c:pt idx="38">
                  <c:v>76.104809297735926</c:v>
                </c:pt>
                <c:pt idx="39">
                  <c:v>75.725462696216681</c:v>
                </c:pt>
                <c:pt idx="40">
                  <c:v>75.345622069753858</c:v>
                </c:pt>
                <c:pt idx="41">
                  <c:v>74.96532201000602</c:v>
                </c:pt>
                <c:pt idx="42">
                  <c:v>74.584596676886065</c:v>
                </c:pt>
                <c:pt idx="43">
                  <c:v>74.203479820739972</c:v>
                </c:pt>
                <c:pt idx="44">
                  <c:v>73.822004806274407</c:v>
                </c:pt>
                <c:pt idx="45">
                  <c:v>73.440204638071862</c:v>
                </c:pt>
                <c:pt idx="46">
                  <c:v>73.058111987532172</c:v>
                </c:pt>
                <c:pt idx="47">
                  <c:v>72.675759221088441</c:v>
                </c:pt>
                <c:pt idx="48">
                  <c:v>72.293178429549329</c:v>
                </c:pt>
                <c:pt idx="49">
                  <c:v>71.910401458426762</c:v>
                </c:pt>
                <c:pt idx="50">
                  <c:v>71.527459939109391</c:v>
                </c:pt>
                <c:pt idx="51">
                  <c:v>71.144385320750487</c:v>
                </c:pt>
                <c:pt idx="52">
                  <c:v>70.761208902740862</c:v>
                </c:pt>
                <c:pt idx="53">
                  <c:v>70.377961867639016</c:v>
                </c:pt>
                <c:pt idx="54">
                  <c:v>69.994675314436762</c:v>
                </c:pt>
                <c:pt idx="55">
                  <c:v>69.611380292038731</c:v>
                </c:pt>
                <c:pt idx="56">
                  <c:v>69.228107832834581</c:v>
                </c:pt>
                <c:pt idx="57">
                  <c:v>68.844888986244698</c:v>
                </c:pt>
                <c:pt idx="58">
                  <c:v>68.461754852120663</c:v>
                </c:pt>
                <c:pt idx="59">
                  <c:v>68.078736613879087</c:v>
                </c:pt>
                <c:pt idx="60">
                  <c:v>67.695865571248277</c:v>
                </c:pt>
                <c:pt idx="61">
                  <c:v>67.313173172502786</c:v>
                </c:pt>
                <c:pt idx="62">
                  <c:v>66.930691046060218</c:v>
                </c:pt>
                <c:pt idx="63">
                  <c:v>66.548451031310975</c:v>
                </c:pt>
                <c:pt idx="64">
                  <c:v>66.166485208545865</c:v>
                </c:pt>
                <c:pt idx="65">
                  <c:v>65.784825927845546</c:v>
                </c:pt>
                <c:pt idx="66">
                  <c:v>65.403505836786849</c:v>
                </c:pt>
                <c:pt idx="67">
                  <c:v>65.022557906819372</c:v>
                </c:pt>
                <c:pt idx="68">
                  <c:v>64.642015458157857</c:v>
                </c:pt>
                <c:pt idx="69">
                  <c:v>64.261912183030645</c:v>
                </c:pt>
                <c:pt idx="70">
                  <c:v>63.882282167118099</c:v>
                </c:pt>
                <c:pt idx="71">
                  <c:v>63.503159909010108</c:v>
                </c:pt>
                <c:pt idx="72">
                  <c:v>63.124580337503374</c:v>
                </c:pt>
                <c:pt idx="73">
                  <c:v>62.746578826555691</c:v>
                </c:pt>
                <c:pt idx="74">
                  <c:v>62.369191207707573</c:v>
                </c:pt>
                <c:pt idx="75">
                  <c:v>61.992453779777051</c:v>
                </c:pt>
                <c:pt idx="76">
                  <c:v>61.616403315628389</c:v>
                </c:pt>
                <c:pt idx="77">
                  <c:v>61.241077065813386</c:v>
                </c:pt>
                <c:pt idx="78">
                  <c:v>60.866512758880191</c:v>
                </c:pt>
                <c:pt idx="79">
                  <c:v>60.492748598143777</c:v>
                </c:pt>
                <c:pt idx="80">
                  <c:v>60.119823254712443</c:v>
                </c:pt>
                <c:pt idx="81">
                  <c:v>59.747775856566633</c:v>
                </c:pt>
                <c:pt idx="82">
                  <c:v>59.376645973490056</c:v>
                </c:pt>
                <c:pt idx="83">
                  <c:v>59.006473597659564</c:v>
                </c:pt>
                <c:pt idx="84">
                  <c:v>58.637299119706512</c:v>
                </c:pt>
                <c:pt idx="85">
                  <c:v>58.269163300076379</c:v>
                </c:pt>
                <c:pt idx="86">
                  <c:v>57.902107235523701</c:v>
                </c:pt>
                <c:pt idx="87">
                  <c:v>57.536172320597871</c:v>
                </c:pt>
                <c:pt idx="88">
                  <c:v>57.171400203993343</c:v>
                </c:pt>
                <c:pt idx="89">
                  <c:v>56.807832739663397</c:v>
                </c:pt>
                <c:pt idx="90">
                  <c:v>56.445511932618203</c:v>
                </c:pt>
                <c:pt idx="91">
                  <c:v>56.084479879360757</c:v>
                </c:pt>
                <c:pt idx="92">
                  <c:v>55.724778702948718</c:v>
                </c:pt>
                <c:pt idx="93">
                  <c:v>55.366450482699598</c:v>
                </c:pt>
                <c:pt idx="94">
                  <c:v>55.009537178603686</c:v>
                </c:pt>
                <c:pt idx="95">
                  <c:v>54.654080550548187</c:v>
                </c:pt>
                <c:pt idx="96">
                  <c:v>54.300122072500059</c:v>
                </c:pt>
                <c:pt idx="97">
                  <c:v>53.947702841845441</c:v>
                </c:pt>
                <c:pt idx="98">
                  <c:v>53.59686348413284</c:v>
                </c:pt>
                <c:pt idx="99">
                  <c:v>53.247644053515472</c:v>
                </c:pt>
                <c:pt idx="100">
                  <c:v>52.900083929247444</c:v>
                </c:pt>
                <c:pt idx="101">
                  <c:v>52.554221708632021</c:v>
                </c:pt>
                <c:pt idx="102">
                  <c:v>52.210095096881645</c:v>
                </c:pt>
                <c:pt idx="103">
                  <c:v>51.867740794392944</c:v>
                </c:pt>
                <c:pt idx="104">
                  <c:v>51.527194381996189</c:v>
                </c:pt>
                <c:pt idx="105">
                  <c:v>51.188490204777281</c:v>
                </c:pt>
                <c:pt idx="106">
                  <c:v>50.851661255122096</c:v>
                </c:pt>
                <c:pt idx="107">
                  <c:v>50.51673905566161</c:v>
                </c:pt>
                <c:pt idx="108">
                  <c:v>50.183753542835504</c:v>
                </c:pt>
                <c:pt idx="109">
                  <c:v>49.852732951815206</c:v>
                </c:pt>
                <c:pt idx="110">
                  <c:v>49.523703703546012</c:v>
                </c:pt>
                <c:pt idx="111">
                  <c:v>49.196690294678945</c:v>
                </c:pt>
                <c:pt idx="112">
                  <c:v>48.871715191166565</c:v>
                </c:pt>
                <c:pt idx="113">
                  <c:v>48.548798726288069</c:v>
                </c:pt>
                <c:pt idx="114">
                  <c:v>48.227959003855183</c:v>
                </c:pt>
                <c:pt idx="115">
                  <c:v>47.909211807323111</c:v>
                </c:pt>
                <c:pt idx="116">
                  <c:v>47.592570515497322</c:v>
                </c:pt>
                <c:pt idx="117">
                  <c:v>47.278046025480513</c:v>
                </c:pt>
                <c:pt idx="118">
                  <c:v>46.96564668345264</c:v>
                </c:pt>
                <c:pt idx="119">
                  <c:v>46.655378223814019</c:v>
                </c:pt>
                <c:pt idx="120">
                  <c:v>46.347243717151798</c:v>
                </c:pt>
                <c:pt idx="121">
                  <c:v>46.041243527415219</c:v>
                </c:pt>
                <c:pt idx="122">
                  <c:v>45.737375278600879</c:v>
                </c:pt>
                <c:pt idx="123">
                  <c:v>45.435633831164608</c:v>
                </c:pt>
                <c:pt idx="124">
                  <c:v>45.136011268286254</c:v>
                </c:pt>
                <c:pt idx="125">
                  <c:v>44.838496892021823</c:v>
                </c:pt>
                <c:pt idx="126">
                  <c:v>44.543077229285188</c:v>
                </c:pt>
                <c:pt idx="127">
                  <c:v>44.249736047513018</c:v>
                </c:pt>
                <c:pt idx="128">
                  <c:v>43.958454379773677</c:v>
                </c:pt>
                <c:pt idx="129">
                  <c:v>43.669210559001328</c:v>
                </c:pt>
                <c:pt idx="130">
                  <c:v>43.381980260953377</c:v>
                </c:pt>
                <c:pt idx="131">
                  <c:v>43.096736555417003</c:v>
                </c:pt>
                <c:pt idx="132">
                  <c:v>42.813449965126111</c:v>
                </c:pt>
                <c:pt idx="133">
                  <c:v>42.532088531790166</c:v>
                </c:pt>
                <c:pt idx="134">
                  <c:v>42.252617888588624</c:v>
                </c:pt>
                <c:pt idx="135">
                  <c:v>41.97500133844607</c:v>
                </c:pt>
                <c:pt idx="136">
                  <c:v>41.699199937369883</c:v>
                </c:pt>
                <c:pt idx="137">
                  <c:v>41.42517258211862</c:v>
                </c:pt>
                <c:pt idx="138">
                  <c:v>41.152876101451866</c:v>
                </c:pt>
                <c:pt idx="139">
                  <c:v>40.882265350218489</c:v>
                </c:pt>
                <c:pt idx="140">
                  <c:v>40.61329330554355</c:v>
                </c:pt>
                <c:pt idx="141">
                  <c:v>40.345911164396533</c:v>
                </c:pt>
                <c:pt idx="142">
                  <c:v>40.080068441844993</c:v>
                </c:pt>
                <c:pt idx="143">
                  <c:v>39.815713069333285</c:v>
                </c:pt>
                <c:pt idx="144">
                  <c:v>39.552791492365024</c:v>
                </c:pt>
                <c:pt idx="145">
                  <c:v>39.291248767011837</c:v>
                </c:pt>
                <c:pt idx="146">
                  <c:v>39.03102865472362</c:v>
                </c:pt>
                <c:pt idx="147">
                  <c:v>38.772073714965963</c:v>
                </c:pt>
                <c:pt idx="148">
                  <c:v>38.514325395270369</c:v>
                </c:pt>
                <c:pt idx="149">
                  <c:v>38.257724118339972</c:v>
                </c:pt>
                <c:pt idx="150">
                  <c:v>38.002209365914048</c:v>
                </c:pt>
                <c:pt idx="151">
                  <c:v>37.747719759155288</c:v>
                </c:pt>
                <c:pt idx="152">
                  <c:v>37.494193135384883</c:v>
                </c:pt>
                <c:pt idx="153">
                  <c:v>37.241566621048406</c:v>
                </c:pt>
                <c:pt idx="154">
                  <c:v>36.989776700853788</c:v>
                </c:pt>
                <c:pt idx="155">
                  <c:v>36.738759283080313</c:v>
                </c:pt>
                <c:pt idx="156">
                  <c:v>36.488449761107894</c:v>
                </c:pt>
                <c:pt idx="157">
                  <c:v>36.238783071268038</c:v>
                </c:pt>
                <c:pt idx="158">
                  <c:v>35.989693747164779</c:v>
                </c:pt>
                <c:pt idx="159">
                  <c:v>35.74111597065734</c:v>
                </c:pt>
                <c:pt idx="160">
                  <c:v>35.492983619736265</c:v>
                </c:pt>
                <c:pt idx="161">
                  <c:v>35.245230313559873</c:v>
                </c:pt>
                <c:pt idx="162">
                  <c:v>34.997789454952418</c:v>
                </c:pt>
                <c:pt idx="163">
                  <c:v>34.750594270690407</c:v>
                </c:pt>
                <c:pt idx="164">
                  <c:v>34.503577849928874</c:v>
                </c:pt>
                <c:pt idx="165">
                  <c:v>34.25667318114008</c:v>
                </c:pt>
                <c:pt idx="166">
                  <c:v>34.009813187950051</c:v>
                </c:pt>
                <c:pt idx="167">
                  <c:v>33.762930764271971</c:v>
                </c:pt>
                <c:pt idx="168">
                  <c:v>33.515958809142361</c:v>
                </c:pt>
                <c:pt idx="169">
                  <c:v>33.268830261666992</c:v>
                </c:pt>
                <c:pt idx="170">
                  <c:v>33.021478136484532</c:v>
                </c:pt>
                <c:pt idx="171">
                  <c:v>32.773835560149649</c:v>
                </c:pt>
                <c:pt idx="172">
                  <c:v>32.525835808826415</c:v>
                </c:pt>
                <c:pt idx="173">
                  <c:v>32.277412347670918</c:v>
                </c:pt>
                <c:pt idx="174">
                  <c:v>32.02849887226315</c:v>
                </c:pt>
                <c:pt idx="175">
                  <c:v>31.779029352424768</c:v>
                </c:pt>
                <c:pt idx="176">
                  <c:v>31.528938078735109</c:v>
                </c:pt>
                <c:pt idx="177">
                  <c:v>31.278159712025918</c:v>
                </c:pt>
                <c:pt idx="178">
                  <c:v>31.026629336100903</c:v>
                </c:pt>
                <c:pt idx="179">
                  <c:v>30.774282513888561</c:v>
                </c:pt>
                <c:pt idx="180">
                  <c:v>30.521055347193453</c:v>
                </c:pt>
                <c:pt idx="181">
                  <c:v>30.26688454016589</c:v>
                </c:pt>
                <c:pt idx="182">
                  <c:v>30.011707466561571</c:v>
                </c:pt>
                <c:pt idx="183">
                  <c:v>29.755462240809049</c:v>
                </c:pt>
                <c:pt idx="184">
                  <c:v>29.498087792848928</c:v>
                </c:pt>
                <c:pt idx="185">
                  <c:v>29.239523946651644</c:v>
                </c:pt>
                <c:pt idx="186">
                  <c:v>28.979711502261779</c:v>
                </c:pt>
                <c:pt idx="187">
                  <c:v>28.718592321155686</c:v>
                </c:pt>
                <c:pt idx="188">
                  <c:v>28.45610941464059</c:v>
                </c:pt>
                <c:pt idx="189">
                  <c:v>28.19220703496044</c:v>
                </c:pt>
                <c:pt idx="190">
                  <c:v>27.926830768716471</c:v>
                </c:pt>
                <c:pt idx="191">
                  <c:v>27.659927632150158</c:v>
                </c:pt>
                <c:pt idx="192">
                  <c:v>27.391446167784686</c:v>
                </c:pt>
                <c:pt idx="193">
                  <c:v>27.121336541863606</c:v>
                </c:pt>
                <c:pt idx="194">
                  <c:v>26.849550641984294</c:v>
                </c:pt>
                <c:pt idx="195">
                  <c:v>26.576042174278406</c:v>
                </c:pt>
                <c:pt idx="196">
                  <c:v>26.300766759453424</c:v>
                </c:pt>
                <c:pt idx="197">
                  <c:v>26.023682026989121</c:v>
                </c:pt>
                <c:pt idx="198">
                  <c:v>25.744747706749749</c:v>
                </c:pt>
                <c:pt idx="199">
                  <c:v>25.463925717270477</c:v>
                </c:pt>
                <c:pt idx="200">
                  <c:v>25.181180249969707</c:v>
                </c:pt>
                <c:pt idx="201">
                  <c:v>24.896477848541572</c:v>
                </c:pt>
                <c:pt idx="202">
                  <c:v>24.609787482804361</c:v>
                </c:pt>
                <c:pt idx="203">
                  <c:v>24.321080616302432</c:v>
                </c:pt>
                <c:pt idx="204">
                  <c:v>24.030331266996178</c:v>
                </c:pt>
                <c:pt idx="205">
                  <c:v>23.737516060418663</c:v>
                </c:pt>
                <c:pt idx="206">
                  <c:v>23.442614274733206</c:v>
                </c:pt>
                <c:pt idx="207">
                  <c:v>23.14560787718694</c:v>
                </c:pt>
                <c:pt idx="208">
                  <c:v>22.846481551526328</c:v>
                </c:pt>
                <c:pt idx="209">
                  <c:v>22.545222716018799</c:v>
                </c:pt>
                <c:pt idx="210">
                  <c:v>22.241821531805151</c:v>
                </c:pt>
                <c:pt idx="211">
                  <c:v>21.936270901396107</c:v>
                </c:pt>
                <c:pt idx="212">
                  <c:v>21.628566457214141</c:v>
                </c:pt>
                <c:pt idx="213">
                  <c:v>21.31870654017694</c:v>
                </c:pt>
                <c:pt idx="214">
                  <c:v>21.006692168405856</c:v>
                </c:pt>
                <c:pt idx="215">
                  <c:v>20.692526996237468</c:v>
                </c:pt>
                <c:pt idx="216">
                  <c:v>20.376217263801351</c:v>
                </c:pt>
                <c:pt idx="217">
                  <c:v>20.057771737511757</c:v>
                </c:pt>
                <c:pt idx="218">
                  <c:v>19.737201641901244</c:v>
                </c:pt>
                <c:pt idx="219">
                  <c:v>19.414520583292592</c:v>
                </c:pt>
                <c:pt idx="220">
                  <c:v>19.089744465874286</c:v>
                </c:pt>
                <c:pt idx="221">
                  <c:v>18.762891400799766</c:v>
                </c:pt>
                <c:pt idx="222">
                  <c:v>18.433981608977771</c:v>
                </c:pt>
                <c:pt idx="223">
                  <c:v>18.103037318260938</c:v>
                </c:pt>
                <c:pt idx="224">
                  <c:v>17.770082655769919</c:v>
                </c:pt>
                <c:pt idx="225">
                  <c:v>17.435143536107976</c:v>
                </c:pt>
                <c:pt idx="226">
                  <c:v>17.098247546231391</c:v>
                </c:pt>
                <c:pt idx="227">
                  <c:v>16.759423827745213</c:v>
                </c:pt>
                <c:pt idx="228">
                  <c:v>16.418702957381363</c:v>
                </c:pt>
                <c:pt idx="229">
                  <c:v>16.076116826404494</c:v>
                </c:pt>
                <c:pt idx="230">
                  <c:v>15.731698519664821</c:v>
                </c:pt>
                <c:pt idx="231">
                  <c:v>15.385482194988862</c:v>
                </c:pt>
                <c:pt idx="232">
                  <c:v>15.037502963561886</c:v>
                </c:pt>
                <c:pt idx="233">
                  <c:v>14.687796771915536</c:v>
                </c:pt>
                <c:pt idx="234">
                  <c:v>14.336400286087706</c:v>
                </c:pt>
                <c:pt idx="235">
                  <c:v>13.983350778476439</c:v>
                </c:pt>
                <c:pt idx="236">
                  <c:v>13.628686017853219</c:v>
                </c:pt>
                <c:pt idx="237">
                  <c:v>13.272444162956612</c:v>
                </c:pt>
                <c:pt idx="238">
                  <c:v>12.914663660026545</c:v>
                </c:pt>
                <c:pt idx="239">
                  <c:v>12.555383144592206</c:v>
                </c:pt>
                <c:pt idx="240">
                  <c:v>12.194641347772075</c:v>
                </c:pt>
                <c:pt idx="241">
                  <c:v>11.832477007293733</c:v>
                </c:pt>
                <c:pt idx="242">
                  <c:v>11.468928783395047</c:v>
                </c:pt>
                <c:pt idx="243">
                  <c:v>11.104035179716711</c:v>
                </c:pt>
                <c:pt idx="244">
                  <c:v>10.737834469258427</c:v>
                </c:pt>
                <c:pt idx="245">
                  <c:v>10.370364625425132</c:v>
                </c:pt>
                <c:pt idx="246">
                  <c:v>10.001663258155739</c:v>
                </c:pt>
                <c:pt idx="247">
                  <c:v>9.6317675550892172</c:v>
                </c:pt>
                <c:pt idx="248">
                  <c:v>9.2607142276962264</c:v>
                </c:pt>
                <c:pt idx="249">
                  <c:v>8.8885394622719662</c:v>
                </c:pt>
                <c:pt idx="250">
                  <c:v>8.5152788756668123</c:v>
                </c:pt>
                <c:pt idx="251">
                  <c:v>8.1409674756066401</c:v>
                </c:pt>
                <c:pt idx="252">
                  <c:v>7.765639625440091</c:v>
                </c:pt>
                <c:pt idx="253">
                  <c:v>7.3893290131340317</c:v>
                </c:pt>
                <c:pt idx="254">
                  <c:v>7.012068624325889</c:v>
                </c:pt>
                <c:pt idx="255">
                  <c:v>6.6338907192361543</c:v>
                </c:pt>
                <c:pt idx="256">
                  <c:v>6.2548268132349936</c:v>
                </c:pt>
                <c:pt idx="257">
                  <c:v>5.8749076608514272</c:v>
                </c:pt>
                <c:pt idx="258">
                  <c:v>5.4941632430172671</c:v>
                </c:pt>
                <c:pt idx="259">
                  <c:v>5.1126227573306515</c:v>
                </c:pt>
                <c:pt idx="260">
                  <c:v>4.7303146111316874</c:v>
                </c:pt>
                <c:pt idx="261">
                  <c:v>4.3472664171802542</c:v>
                </c:pt>
                <c:pt idx="262">
                  <c:v>3.963504991735245</c:v>
                </c:pt>
                <c:pt idx="263">
                  <c:v>3.579056354835223</c:v>
                </c:pt>
                <c:pt idx="264">
                  <c:v>3.1939457325885168</c:v>
                </c:pt>
                <c:pt idx="265">
                  <c:v>2.8081975612896866</c:v>
                </c:pt>
                <c:pt idx="266">
                  <c:v>2.4218354931817796</c:v>
                </c:pt>
                <c:pt idx="267">
                  <c:v>2.0348824036950672</c:v>
                </c:pt>
                <c:pt idx="268">
                  <c:v>1.6473604000016588</c:v>
                </c:pt>
                <c:pt idx="269">
                  <c:v>1.2592908307304109</c:v>
                </c:pt>
                <c:pt idx="270">
                  <c:v>0.87069429669772513</c:v>
                </c:pt>
                <c:pt idx="271">
                  <c:v>0.48159066251687421</c:v>
                </c:pt>
                <c:pt idx="272">
                  <c:v>9.1999068958676808E-2</c:v>
                </c:pt>
                <c:pt idx="273">
                  <c:v>-0.29806205405976727</c:v>
                </c:pt>
                <c:pt idx="274">
                  <c:v>-0.68857497396632339</c:v>
                </c:pt>
                <c:pt idx="275">
                  <c:v>-1.0795226416136829</c:v>
                </c:pt>
                <c:pt idx="276">
                  <c:v>-1.4708886770418985</c:v>
                </c:pt>
                <c:pt idx="277">
                  <c:v>-1.8626573550139542</c:v>
                </c:pt>
                <c:pt idx="278">
                  <c:v>-2.2548135904076521</c:v>
                </c:pt>
                <c:pt idx="279">
                  <c:v>-2.6473429235385182</c:v>
                </c:pt>
                <c:pt idx="280">
                  <c:v>-3.0402315054849032</c:v>
                </c:pt>
                <c:pt idx="281">
                  <c:v>-3.4334660834775259</c:v>
                </c:pt>
                <c:pt idx="282">
                  <c:v>-3.8270339864126073</c:v>
                </c:pt>
                <c:pt idx="283">
                  <c:v>-4.220923110541376</c:v>
                </c:pt>
                <c:pt idx="284">
                  <c:v>-4.6151219053835373</c:v>
                </c:pt>
                <c:pt idx="285">
                  <c:v>-5.0096193599094638</c:v>
                </c:pt>
                <c:pt idx="286">
                  <c:v>-5.4044049890280901</c:v>
                </c:pt>
                <c:pt idx="287">
                  <c:v>-5.79946882041921</c:v>
                </c:pt>
                <c:pt idx="288">
                  <c:v>-6.1948013817391434</c:v>
                </c:pt>
                <c:pt idx="289">
                  <c:v>-6.5903936882296961</c:v>
                </c:pt>
                <c:pt idx="290">
                  <c:v>-6.986237230758312</c:v>
                </c:pt>
                <c:pt idx="291">
                  <c:v>-7.3823239643068188</c:v>
                </c:pt>
                <c:pt idx="292">
                  <c:v>-7.7786462969377137</c:v>
                </c:pt>
                <c:pt idx="293">
                  <c:v>-8.175197079247722</c:v>
                </c:pt>
                <c:pt idx="294">
                  <c:v>-8.5719695943335612</c:v>
                </c:pt>
                <c:pt idx="295">
                  <c:v>-8.9689575482791959</c:v>
                </c:pt>
                <c:pt idx="296">
                  <c:v>-9.3661550611812103</c:v>
                </c:pt>
                <c:pt idx="297">
                  <c:v>-9.7635566587247649</c:v>
                </c:pt>
                <c:pt idx="298">
                  <c:v>-10.161157264319872</c:v>
                </c:pt>
                <c:pt idx="299">
                  <c:v>-10.558952191812242</c:v>
                </c:pt>
                <c:pt idx="300">
                  <c:v>-10.956937138774363</c:v>
                </c:pt>
                <c:pt idx="301">
                  <c:v>-11.355108180390994</c:v>
                </c:pt>
                <c:pt idx="302">
                  <c:v>-11.753461763945358</c:v>
                </c:pt>
                <c:pt idx="303">
                  <c:v>-12.151994703917259</c:v>
                </c:pt>
                <c:pt idx="304">
                  <c:v>-12.550704177701611</c:v>
                </c:pt>
                <c:pt idx="305">
                  <c:v>-12.949587721957572</c:v>
                </c:pt>
                <c:pt idx="306">
                  <c:v>-13.348643229597219</c:v>
                </c:pt>
                <c:pt idx="307">
                  <c:v>-13.747868947425118</c:v>
                </c:pt>
                <c:pt idx="308">
                  <c:v>-14.147263474439772</c:v>
                </c:pt>
                <c:pt idx="309">
                  <c:v>-14.546825760807348</c:v>
                </c:pt>
                <c:pt idx="310">
                  <c:v>-14.946555107521275</c:v>
                </c:pt>
                <c:pt idx="311">
                  <c:v>-15.346451166760778</c:v>
                </c:pt>
                <c:pt idx="312">
                  <c:v>-15.746513942962498</c:v>
                </c:pt>
                <c:pt idx="313">
                  <c:v>-16.146743794621187</c:v>
                </c:pt>
                <c:pt idx="314">
                  <c:v>-16.547141436835894</c:v>
                </c:pt>
                <c:pt idx="315">
                  <c:v>-16.947707944619832</c:v>
                </c:pt>
                <c:pt idx="316">
                  <c:v>-17.348444756994411</c:v>
                </c:pt>
                <c:pt idx="317">
                  <c:v>-17.749353681887683</c:v>
                </c:pt>
                <c:pt idx="318">
                  <c:v>-18.150436901860342</c:v>
                </c:pt>
                <c:pt idx="319">
                  <c:v>-18.551696980685019</c:v>
                </c:pt>
                <c:pt idx="320">
                  <c:v>-18.953136870804045</c:v>
                </c:pt>
                <c:pt idx="321">
                  <c:v>-19.354759921694754</c:v>
                </c:pt>
                <c:pt idx="322">
                  <c:v>-19.756569889173843</c:v>
                </c:pt>
                <c:pt idx="323">
                  <c:v>-20.158570945671972</c:v>
                </c:pt>
                <c:pt idx="324">
                  <c:v>-20.560767691515881</c:v>
                </c:pt>
                <c:pt idx="325">
                  <c:v>-20.963165167252118</c:v>
                </c:pt>
                <c:pt idx="326">
                  <c:v>-21.365768867055412</c:v>
                </c:pt>
                <c:pt idx="327">
                  <c:v>-21.768584753262243</c:v>
                </c:pt>
                <c:pt idx="328">
                  <c:v>-22.171619272073613</c:v>
                </c:pt>
                <c:pt idx="329">
                  <c:v>-22.574879370475955</c:v>
                </c:pt>
                <c:pt idx="330">
                  <c:v>-22.978372514428031</c:v>
                </c:pt>
                <c:pt idx="331">
                  <c:v>-23.382106708367711</c:v>
                </c:pt>
                <c:pt idx="332">
                  <c:v>-23.786090516091292</c:v>
                </c:pt>
                <c:pt idx="333">
                  <c:v>-24.190333083064779</c:v>
                </c:pt>
                <c:pt idx="334">
                  <c:v>-24.594844160224675</c:v>
                </c:pt>
                <c:pt idx="335">
                  <c:v>-24.999634129330648</c:v>
                </c:pt>
                <c:pt idx="336">
                  <c:v>-25.404714029933572</c:v>
                </c:pt>
                <c:pt idx="337">
                  <c:v>-25.810095588024076</c:v>
                </c:pt>
                <c:pt idx="338">
                  <c:v>-26.215791246428601</c:v>
                </c:pt>
                <c:pt idx="339">
                  <c:v>-26.62181419701998</c:v>
                </c:pt>
                <c:pt idx="340">
                  <c:v>-27.028178414810991</c:v>
                </c:pt>
                <c:pt idx="341">
                  <c:v>-27.434898694000221</c:v>
                </c:pt>
                <c:pt idx="342">
                  <c:v>-27.841990686033821</c:v>
                </c:pt>
                <c:pt idx="343">
                  <c:v>-28.249470939753966</c:v>
                </c:pt>
                <c:pt idx="344">
                  <c:v>-28.657356943691102</c:v>
                </c:pt>
                <c:pt idx="345">
                  <c:v>-29.065667170563753</c:v>
                </c:pt>
                <c:pt idx="346">
                  <c:v>-29.474421124036919</c:v>
                </c:pt>
                <c:pt idx="347">
                  <c:v>-29.883639387785216</c:v>
                </c:pt>
                <c:pt idx="348">
                  <c:v>-30.293343676900658</c:v>
                </c:pt>
                <c:pt idx="349">
                  <c:v>-30.703556891671305</c:v>
                </c:pt>
                <c:pt idx="350">
                  <c:v>-31.114303173742801</c:v>
                </c:pt>
                <c:pt idx="351">
                  <c:v>-31.525607964662584</c:v>
                </c:pt>
                <c:pt idx="352">
                  <c:v>-31.937498066783363</c:v>
                </c:pt>
                <c:pt idx="353">
                  <c:v>-32.350001706480903</c:v>
                </c:pt>
                <c:pt idx="354">
                  <c:v>-32.763148599616386</c:v>
                </c:pt>
                <c:pt idx="355">
                  <c:v>-33.176970019136924</c:v>
                </c:pt>
                <c:pt idx="356">
                  <c:v>-33.591498864678535</c:v>
                </c:pt>
                <c:pt idx="357">
                  <c:v>-34.006769733988335</c:v>
                </c:pt>
                <c:pt idx="358">
                  <c:v>-34.422818995938805</c:v>
                </c:pt>
                <c:pt idx="359">
                  <c:v>-34.839684864849637</c:v>
                </c:pt>
                <c:pt idx="360">
                  <c:v>-35.25740747577548</c:v>
                </c:pt>
                <c:pt idx="361">
                  <c:v>-35.676028960345455</c:v>
                </c:pt>
                <c:pt idx="362">
                  <c:v>-36.095593522665233</c:v>
                </c:pt>
                <c:pt idx="363">
                  <c:v>-36.516147514708102</c:v>
                </c:pt>
                <c:pt idx="364">
                  <c:v>-36.937739510525134</c:v>
                </c:pt>
                <c:pt idx="365">
                  <c:v>-37.360420378503974</c:v>
                </c:pt>
                <c:pt idx="366">
                  <c:v>-37.784243350792941</c:v>
                </c:pt>
                <c:pt idx="367">
                  <c:v>-38.209264088884382</c:v>
                </c:pt>
                <c:pt idx="368">
                  <c:v>-38.635540744224947</c:v>
                </c:pt>
                <c:pt idx="369">
                  <c:v>-39.063134012579312</c:v>
                </c:pt>
                <c:pt idx="370">
                  <c:v>-39.49210718073148</c:v>
                </c:pt>
                <c:pt idx="371">
                  <c:v>-39.922526163957073</c:v>
                </c:pt>
                <c:pt idx="372">
                  <c:v>-40.354459532546073</c:v>
                </c:pt>
                <c:pt idx="373">
                  <c:v>-40.787978525499604</c:v>
                </c:pt>
                <c:pt idx="374">
                  <c:v>-41.2231570493731</c:v>
                </c:pt>
                <c:pt idx="375">
                  <c:v>-41.660071660087951</c:v>
                </c:pt>
                <c:pt idx="376">
                  <c:v>-42.09880152539877</c:v>
                </c:pt>
                <c:pt idx="377">
                  <c:v>-42.539428365578644</c:v>
                </c:pt>
                <c:pt idx="378">
                  <c:v>-42.98203636978478</c:v>
                </c:pt>
                <c:pt idx="379">
                  <c:v>-43.42671208549411</c:v>
                </c:pt>
                <c:pt idx="380">
                  <c:v>-43.873544278358196</c:v>
                </c:pt>
                <c:pt idx="381">
                  <c:v>-44.322623759835878</c:v>
                </c:pt>
                <c:pt idx="382">
                  <c:v>-44.774043180015468</c:v>
                </c:pt>
                <c:pt idx="383">
                  <c:v>-45.227896783160659</c:v>
                </c:pt>
                <c:pt idx="384">
                  <c:v>-45.684280123695899</c:v>
                </c:pt>
                <c:pt idx="385">
                  <c:v>-46.143289740618755</c:v>
                </c:pt>
                <c:pt idx="386">
                  <c:v>-46.605022788668144</c:v>
                </c:pt>
                <c:pt idx="387">
                  <c:v>-47.069576625027487</c:v>
                </c:pt>
                <c:pt idx="388">
                  <c:v>-47.537048350868304</c:v>
                </c:pt>
                <c:pt idx="389">
                  <c:v>-48.0075343076794</c:v>
                </c:pt>
                <c:pt idx="390">
                  <c:v>-48.481129529053931</c:v>
                </c:pt>
                <c:pt idx="391">
                  <c:v>-48.957927149426048</c:v>
                </c:pt>
                <c:pt idx="392">
                  <c:v>-49.438017772150658</c:v>
                </c:pt>
                <c:pt idx="393">
                  <c:v>-49.921488800292252</c:v>
                </c:pt>
                <c:pt idx="394">
                  <c:v>-50.408423734509228</c:v>
                </c:pt>
                <c:pt idx="395">
                  <c:v>-50.898901443467636</c:v>
                </c:pt>
                <c:pt idx="396">
                  <c:v>-51.39299541326811</c:v>
                </c:pt>
                <c:pt idx="397">
                  <c:v>-51.890772983386398</c:v>
                </c:pt>
                <c:pt idx="398">
                  <c:v>-52.392294577576813</c:v>
                </c:pt>
                <c:pt idx="399">
                  <c:v>-52.897612939037415</c:v>
                </c:pt>
                <c:pt idx="400">
                  <c:v>-53.406772379837655</c:v>
                </c:pt>
                <c:pt idx="401">
                  <c:v>-53.919808055144351</c:v>
                </c:pt>
                <c:pt idx="402">
                  <c:v>-54.436745273096783</c:v>
                </c:pt>
                <c:pt idx="403">
                  <c:v>-54.957598851265615</c:v>
                </c:pt>
                <c:pt idx="404">
                  <c:v>-55.482372530453155</c:v>
                </c:pt>
                <c:pt idx="405">
                  <c:v>-56.011058456142671</c:v>
                </c:pt>
                <c:pt idx="406">
                  <c:v>-56.543636737181785</c:v>
                </c:pt>
                <c:pt idx="407">
                  <c:v>-57.080075090296418</c:v>
                </c:pt>
                <c:pt idx="408">
                  <c:v>-57.620328577795455</c:v>
                </c:pt>
                <c:pt idx="409">
                  <c:v>-58.164339444374924</c:v>
                </c:pt>
                <c:pt idx="410">
                  <c:v>-58.712037057300954</c:v>
                </c:pt>
                <c:pt idx="411">
                  <c:v>-59.263337952496435</c:v>
                </c:pt>
                <c:pt idx="412">
                  <c:v>-59.818145987221172</c:v>
                </c:pt>
                <c:pt idx="413">
                  <c:v>-60.376352598191652</c:v>
                </c:pt>
                <c:pt idx="414">
                  <c:v>-60.937837162174716</c:v>
                </c:pt>
                <c:pt idx="415">
                  <c:v>-61.502467454383293</c:v>
                </c:pt>
                <c:pt idx="416">
                  <c:v>-62.070100198437089</c:v>
                </c:pt>
                <c:pt idx="417">
                  <c:v>-62.640581700279554</c:v>
                </c:pt>
                <c:pt idx="418">
                  <c:v>-63.21374855729853</c:v>
                </c:pt>
                <c:pt idx="419">
                  <c:v>-63.789428432998356</c:v>
                </c:pt>
                <c:pt idx="420">
                  <c:v>-64.367440886941097</c:v>
                </c:pt>
                <c:pt idx="421">
                  <c:v>-64.947598249302274</c:v>
                </c:pt>
                <c:pt idx="422">
                  <c:v>-65.52970652927543</c:v>
                </c:pt>
                <c:pt idx="423">
                  <c:v>-66.113566346690106</c:v>
                </c:pt>
                <c:pt idx="424">
                  <c:v>-66.698973876543434</c:v>
                </c:pt>
                <c:pt idx="425">
                  <c:v>-67.285721796681457</c:v>
                </c:pt>
                <c:pt idx="426">
                  <c:v>-67.873600229539775</c:v>
                </c:pt>
                <c:pt idx="427">
                  <c:v>-68.462397669644204</c:v>
                </c:pt>
                <c:pt idx="428">
                  <c:v>-69.051901889454072</c:v>
                </c:pt>
                <c:pt idx="429">
                  <c:v>-69.64190081704308</c:v>
                </c:pt>
                <c:pt idx="430">
                  <c:v>-70.232183380048809</c:v>
                </c:pt>
                <c:pt idx="431">
                  <c:v>-70.822540311245035</c:v>
                </c:pt>
                <c:pt idx="432">
                  <c:v>-71.41276491197371</c:v>
                </c:pt>
                <c:pt idx="433">
                  <c:v>-72.00265377051079</c:v>
                </c:pt>
                <c:pt idx="434">
                  <c:v>-72.592007433198205</c:v>
                </c:pt>
                <c:pt idx="435">
                  <c:v>-73.180631026870657</c:v>
                </c:pt>
                <c:pt idx="436">
                  <c:v>-73.76833483171086</c:v>
                </c:pt>
                <c:pt idx="437">
                  <c:v>-74.354934804194528</c:v>
                </c:pt>
                <c:pt idx="438">
                  <c:v>-74.940253050236393</c:v>
                </c:pt>
                <c:pt idx="439">
                  <c:v>-75.524118249018443</c:v>
                </c:pt>
                <c:pt idx="440">
                  <c:v>-76.106366028291731</c:v>
                </c:pt>
                <c:pt idx="441">
                  <c:v>-76.686839292180849</c:v>
                </c:pt>
                <c:pt idx="442">
                  <c:v>-77.265388502715965</c:v>
                </c:pt>
                <c:pt idx="443">
                  <c:v>-77.841871916461486</c:v>
                </c:pt>
                <c:pt idx="444">
                  <c:v>-78.41615577772339</c:v>
                </c:pt>
                <c:pt idx="445">
                  <c:v>-78.988114469897027</c:v>
                </c:pt>
                <c:pt idx="446">
                  <c:v>-79.557630626581144</c:v>
                </c:pt>
                <c:pt idx="447">
                  <c:v>-80.124595204125654</c:v>
                </c:pt>
                <c:pt idx="448">
                  <c:v>-80.688907517320644</c:v>
                </c:pt>
                <c:pt idx="449">
                  <c:v>-81.25047523995832</c:v>
                </c:pt>
                <c:pt idx="450">
                  <c:v>-81.809214372028421</c:v>
                </c:pt>
                <c:pt idx="451">
                  <c:v>-82.365049175331308</c:v>
                </c:pt>
                <c:pt idx="452">
                  <c:v>-82.917912079315386</c:v>
                </c:pt>
                <c:pt idx="453">
                  <c:v>-83.467743558974831</c:v>
                </c:pt>
                <c:pt idx="454">
                  <c:v>-84.014491986665149</c:v>
                </c:pt>
                <c:pt idx="455">
                  <c:v>-84.558113459718527</c:v>
                </c:pt>
                <c:pt idx="456">
                  <c:v>-85.098571605767731</c:v>
                </c:pt>
                <c:pt idx="457">
                  <c:v>-85.635837367706102</c:v>
                </c:pt>
                <c:pt idx="458">
                  <c:v>-86.169888770225526</c:v>
                </c:pt>
                <c:pt idx="459">
                  <c:v>-86.700710669888551</c:v>
                </c:pt>
                <c:pt idx="460">
                  <c:v>-87.228294490692633</c:v>
                </c:pt>
                <c:pt idx="461">
                  <c:v>-87.752637947078625</c:v>
                </c:pt>
                <c:pt idx="462">
                  <c:v>-88.273744756324731</c:v>
                </c:pt>
                <c:pt idx="463">
                  <c:v>-88.791624342239089</c:v>
                </c:pt>
                <c:pt idx="464">
                  <c:v>-89.306291532034805</c:v>
                </c:pt>
                <c:pt idx="465">
                  <c:v>-89.81776624821623</c:v>
                </c:pt>
                <c:pt idx="466">
                  <c:v>-90.326073197260129</c:v>
                </c:pt>
                <c:pt idx="467">
                  <c:v>-90.831241556799142</c:v>
                </c:pt>
                <c:pt idx="468">
                  <c:v>-91.333304662941174</c:v>
                </c:pt>
                <c:pt idx="469">
                  <c:v>-91.83229969927288</c:v>
                </c:pt>
                <c:pt idx="470">
                  <c:v>-92.328267388999521</c:v>
                </c:pt>
                <c:pt idx="471">
                  <c:v>-92.82125169157375</c:v>
                </c:pt>
                <c:pt idx="472">
                  <c:v>-93.311299505054308</c:v>
                </c:pt>
                <c:pt idx="473">
                  <c:v>-93.798460375333761</c:v>
                </c:pt>
                <c:pt idx="474">
                  <c:v>-94.282786213247277</c:v>
                </c:pt>
                <c:pt idx="475">
                  <c:v>-94.764331020470649</c:v>
                </c:pt>
                <c:pt idx="476">
                  <c:v>-95.243150624991131</c:v>
                </c:pt>
                <c:pt idx="477">
                  <c:v>-95.71930242682339</c:v>
                </c:pt>
                <c:pt idx="478">
                  <c:v>-96.192845154530346</c:v>
                </c:pt>
                <c:pt idx="479">
                  <c:v>-96.663838632995692</c:v>
                </c:pt>
                <c:pt idx="480">
                  <c:v>-97.132343562793096</c:v>
                </c:pt>
                <c:pt idx="481">
                  <c:v>-97.598421311395299</c:v>
                </c:pt>
                <c:pt idx="482">
                  <c:v>-98.062133716371676</c:v>
                </c:pt>
                <c:pt idx="483">
                  <c:v>-98.523542900634368</c:v>
                </c:pt>
                <c:pt idx="484">
                  <c:v>-98.982711099712304</c:v>
                </c:pt>
                <c:pt idx="485">
                  <c:v>-99.439700500959106</c:v>
                </c:pt>
                <c:pt idx="486">
                  <c:v>-99.894573094528596</c:v>
                </c:pt>
                <c:pt idx="487">
                  <c:v>-100.34739053590094</c:v>
                </c:pt>
                <c:pt idx="488">
                  <c:v>-100.79821401967749</c:v>
                </c:pt>
                <c:pt idx="489">
                  <c:v>-101.24710416432836</c:v>
                </c:pt>
                <c:pt idx="490">
                  <c:v>-101.69412090752942</c:v>
                </c:pt>
                <c:pt idx="491">
                  <c:v>-102.13932341169681</c:v>
                </c:pt>
                <c:pt idx="492">
                  <c:v>-102.58276997930083</c:v>
                </c:pt>
                <c:pt idx="493">
                  <c:v>-103.02451797751712</c:v>
                </c:pt>
                <c:pt idx="494">
                  <c:v>-103.46462377176522</c:v>
                </c:pt>
                <c:pt idx="495">
                  <c:v>-103.90314266766435</c:v>
                </c:pt>
                <c:pt idx="496">
                  <c:v>-104.34012886094112</c:v>
                </c:pt>
                <c:pt idx="497">
                  <c:v>-104.77563539481494</c:v>
                </c:pt>
                <c:pt idx="498">
                  <c:v>-105.20971412439243</c:v>
                </c:pt>
                <c:pt idx="499">
                  <c:v>-105.64241568760767</c:v>
                </c:pt>
                <c:pt idx="500">
                  <c:v>-106.07378948225113</c:v>
                </c:pt>
                <c:pt idx="501">
                  <c:v>-106.5038836486433</c:v>
                </c:pt>
                <c:pt idx="502">
                  <c:v>-106.93274505752045</c:v>
                </c:pt>
                <c:pt idx="503">
                  <c:v>-107.36041930271433</c:v>
                </c:pt>
                <c:pt idx="504">
                  <c:v>-107.78695069822291</c:v>
                </c:pt>
                <c:pt idx="505">
                  <c:v>-108.21238227928768</c:v>
                </c:pt>
                <c:pt idx="506">
                  <c:v>-108.63675580710783</c:v>
                </c:pt>
                <c:pt idx="507">
                  <c:v>-109.0601117768432</c:v>
                </c:pt>
                <c:pt idx="508">
                  <c:v>-109.48248942857255</c:v>
                </c:pt>
                <c:pt idx="509">
                  <c:v>-109.9039267608959</c:v>
                </c:pt>
                <c:pt idx="510">
                  <c:v>-110.32446054688479</c:v>
                </c:pt>
                <c:pt idx="511">
                  <c:v>-110.7441263521053</c:v>
                </c:pt>
                <c:pt idx="512">
                  <c:v>-111.16295855445485</c:v>
                </c:pt>
                <c:pt idx="513">
                  <c:v>-111.58099036557446</c:v>
                </c:pt>
                <c:pt idx="514">
                  <c:v>-111.99825385360947</c:v>
                </c:pt>
                <c:pt idx="515">
                  <c:v>-112.41477996711384</c:v>
                </c:pt>
                <c:pt idx="516">
                  <c:v>-112.83059855990921</c:v>
                </c:pt>
                <c:pt idx="517">
                  <c:v>-113.2457384167177</c:v>
                </c:pt>
                <c:pt idx="518">
                  <c:v>-113.66022727941234</c:v>
                </c:pt>
                <c:pt idx="519">
                  <c:v>-114.07409187373563</c:v>
                </c:pt>
                <c:pt idx="520">
                  <c:v>-114.48735793635196</c:v>
                </c:pt>
                <c:pt idx="521">
                  <c:v>-114.90005024211227</c:v>
                </c:pt>
                <c:pt idx="522">
                  <c:v>-115.31219263142118</c:v>
                </c:pt>
                <c:pt idx="523">
                  <c:v>-115.72380803760686</c:v>
                </c:pt>
                <c:pt idx="524">
                  <c:v>-116.13491851420555</c:v>
                </c:pt>
                <c:pt idx="525">
                  <c:v>-116.5455452620789</c:v>
                </c:pt>
                <c:pt idx="526">
                  <c:v>-116.9557086562976</c:v>
                </c:pt>
                <c:pt idx="527">
                  <c:v>-117.36542827272427</c:v>
                </c:pt>
                <c:pt idx="528">
                  <c:v>-117.77472291424401</c:v>
                </c:pt>
                <c:pt idx="529">
                  <c:v>-118.18361063659572</c:v>
                </c:pt>
                <c:pt idx="530">
                  <c:v>-118.59210877375764</c:v>
                </c:pt>
                <c:pt idx="531">
                  <c:v>-119.00023396285991</c:v>
                </c:pt>
                <c:pt idx="532">
                  <c:v>-119.40800216858668</c:v>
                </c:pt>
                <c:pt idx="533">
                  <c:v>-119.81542870704797</c:v>
                </c:pt>
                <c:pt idx="534">
                  <c:v>-120.22252826909956</c:v>
                </c:pt>
                <c:pt idx="535">
                  <c:v>-120.62931494309328</c:v>
                </c:pt>
                <c:pt idx="536">
                  <c:v>-121.03580223704752</c:v>
                </c:pt>
                <c:pt idx="537">
                  <c:v>-121.44200310022831</c:v>
                </c:pt>
                <c:pt idx="538">
                  <c:v>-121.84792994413391</c:v>
                </c:pt>
                <c:pt idx="539">
                  <c:v>-122.2535946628802</c:v>
                </c:pt>
                <c:pt idx="540">
                  <c:v>-122.65900865298705</c:v>
                </c:pt>
                <c:pt idx="541">
                  <c:v>-123.06418283256565</c:v>
                </c:pt>
              </c:numCache>
            </c:numRef>
          </c:yVal>
          <c:smooth val="1"/>
          <c:extLst>
            <c:ext xmlns:c16="http://schemas.microsoft.com/office/drawing/2014/chart" uri="{C3380CC4-5D6E-409C-BE32-E72D297353CC}">
              <c16:uniqueId val="{00000000-83C7-483B-9FAA-73F41D4B5EAC}"/>
            </c:ext>
          </c:extLst>
        </c:ser>
        <c:dLbls>
          <c:showLegendKey val="0"/>
          <c:showVal val="0"/>
          <c:showCatName val="0"/>
          <c:showSerName val="0"/>
          <c:showPercent val="0"/>
          <c:showBubbleSize val="0"/>
        </c:dLbls>
        <c:axId val="377549184"/>
        <c:axId val="377551104"/>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CCM_Loop_Modeling_non_isolated!$AU$19:$AU$560</c:f>
              <c:numCache>
                <c:formatCode>General</c:formatCode>
                <c:ptCount val="542"/>
                <c:pt idx="0">
                  <c:v>39.046846717346163</c:v>
                </c:pt>
                <c:pt idx="1">
                  <c:v>38.490803047236916</c:v>
                </c:pt>
                <c:pt idx="2">
                  <c:v>37.941066099681493</c:v>
                </c:pt>
                <c:pt idx="3">
                  <c:v>37.39792605282836</c:v>
                </c:pt>
                <c:pt idx="4">
                  <c:v>36.861662636561469</c:v>
                </c:pt>
                <c:pt idx="5">
                  <c:v>36.332544833600721</c:v>
                </c:pt>
                <c:pt idx="6">
                  <c:v>35.810830637143077</c:v>
                </c:pt>
                <c:pt idx="7">
                  <c:v>35.296766864230406</c:v>
                </c:pt>
                <c:pt idx="8">
                  <c:v>34.790589023607374</c:v>
                </c:pt>
                <c:pt idx="9">
                  <c:v>34.292521236440479</c:v>
                </c:pt>
                <c:pt idx="10">
                  <c:v>33.802776207931458</c:v>
                </c:pt>
                <c:pt idx="11">
                  <c:v>33.321555247544381</c:v>
                </c:pt>
                <c:pt idx="12">
                  <c:v>32.849048335312638</c:v>
                </c:pt>
                <c:pt idx="13">
                  <c:v>32.385434231469418</c:v>
                </c:pt>
                <c:pt idx="14">
                  <c:v>31.930880626467829</c:v>
                </c:pt>
                <c:pt idx="15">
                  <c:v>31.485544328330914</c:v>
                </c:pt>
                <c:pt idx="16">
                  <c:v>31.04957148416683</c:v>
                </c:pt>
                <c:pt idx="17">
                  <c:v>30.623097832638948</c:v>
                </c:pt>
                <c:pt idx="18">
                  <c:v>30.206248984152111</c:v>
                </c:pt>
                <c:pt idx="19">
                  <c:v>29.799140725533224</c:v>
                </c:pt>
                <c:pt idx="20">
                  <c:v>29.401879346021133</c:v>
                </c:pt>
                <c:pt idx="21">
                  <c:v>29.014561981448988</c:v>
                </c:pt>
                <c:pt idx="22">
                  <c:v>28.637276973593337</c:v>
                </c:pt>
                <c:pt idx="23">
                  <c:v>28.270104241764486</c:v>
                </c:pt>
                <c:pt idx="24">
                  <c:v>27.91311566385313</c:v>
                </c:pt>
                <c:pt idx="25">
                  <c:v>27.566375464164931</c:v>
                </c:pt>
                <c:pt idx="26">
                  <c:v>27.229940605535372</c:v>
                </c:pt>
                <c:pt idx="27">
                  <c:v>26.903861183372204</c:v>
                </c:pt>
                <c:pt idx="28">
                  <c:v>26.588180819417193</c:v>
                </c:pt>
                <c:pt idx="29">
                  <c:v>26.282937053198065</c:v>
                </c:pt>
                <c:pt idx="30">
                  <c:v>25.988161729284418</c:v>
                </c:pt>
                <c:pt idx="31">
                  <c:v>25.703881378631873</c:v>
                </c:pt>
                <c:pt idx="32">
                  <c:v>25.430117592449122</c:v>
                </c:pt>
                <c:pt idx="33">
                  <c:v>25.166887387169936</c:v>
                </c:pt>
                <c:pt idx="34">
                  <c:v>24.914203559262564</c:v>
                </c:pt>
                <c:pt idx="35">
                  <c:v>24.672075028737872</c:v>
                </c:pt>
                <c:pt idx="36">
                  <c:v>24.4405071703553</c:v>
                </c:pt>
                <c:pt idx="37">
                  <c:v>24.219502131638713</c:v>
                </c:pt>
                <c:pt idx="38">
                  <c:v>24.009059136932649</c:v>
                </c:pt>
                <c:pt idx="39">
                  <c:v>23.809174776828943</c:v>
                </c:pt>
                <c:pt idx="40">
                  <c:v>23.619843282392843</c:v>
                </c:pt>
                <c:pt idx="41">
                  <c:v>23.441056783695245</c:v>
                </c:pt>
                <c:pt idx="42">
                  <c:v>23.272805552247664</c:v>
                </c:pt>
                <c:pt idx="43">
                  <c:v>23.115078226992782</c:v>
                </c:pt>
                <c:pt idx="44">
                  <c:v>22.967862023571147</c:v>
                </c:pt>
                <c:pt idx="45">
                  <c:v>22.831142926635977</c:v>
                </c:pt>
                <c:pt idx="46">
                  <c:v>22.704905865033247</c:v>
                </c:pt>
                <c:pt idx="47">
                  <c:v>22.589134869704612</c:v>
                </c:pt>
                <c:pt idx="48">
                  <c:v>22.48381321419992</c:v>
                </c:pt>
                <c:pt idx="49">
                  <c:v>22.388923537718483</c:v>
                </c:pt>
                <c:pt idx="50">
                  <c:v>22.30444795061339</c:v>
                </c:pt>
                <c:pt idx="51">
                  <c:v>22.230368122318193</c:v>
                </c:pt>
                <c:pt idx="52">
                  <c:v>22.166665351659898</c:v>
                </c:pt>
                <c:pt idx="53">
                  <c:v>22.11332061954139</c:v>
                </c:pt>
                <c:pt idx="54">
                  <c:v>22.070314623973644</c:v>
                </c:pt>
                <c:pt idx="55">
                  <c:v>22.037627797451417</c:v>
                </c:pt>
                <c:pt idx="56">
                  <c:v>22.015240306666822</c:v>
                </c:pt>
                <c:pt idx="57">
                  <c:v>22.003132034552674</c:v>
                </c:pt>
                <c:pt idx="58">
                  <c:v>22.001282544660281</c:v>
                </c:pt>
                <c:pt idx="59">
                  <c:v>22.009671027867444</c:v>
                </c:pt>
                <c:pt idx="60">
                  <c:v>22.028276231422748</c:v>
                </c:pt>
                <c:pt idx="61">
                  <c:v>22.057076370337121</c:v>
                </c:pt>
                <c:pt idx="62">
                  <c:v>22.096049021134863</c:v>
                </c:pt>
                <c:pt idx="63">
                  <c:v>22.145170997994594</c:v>
                </c:pt>
                <c:pt idx="64">
                  <c:v>22.204418211315286</c:v>
                </c:pt>
                <c:pt idx="65">
                  <c:v>22.273765508765834</c:v>
                </c:pt>
                <c:pt idx="66">
                  <c:v>22.353186498894871</c:v>
                </c:pt>
                <c:pt idx="67">
                  <c:v>22.442653357405025</c:v>
                </c:pt>
                <c:pt idx="68">
                  <c:v>22.542136616229399</c:v>
                </c:pt>
                <c:pt idx="69">
                  <c:v>22.651604935583599</c:v>
                </c:pt>
                <c:pt idx="70">
                  <c:v>22.771024859217512</c:v>
                </c:pt>
                <c:pt idx="71">
                  <c:v>22.900360553135538</c:v>
                </c:pt>
                <c:pt idx="72">
                  <c:v>23.03957352812456</c:v>
                </c:pt>
                <c:pt idx="73">
                  <c:v>23.188622346487154</c:v>
                </c:pt>
                <c:pt idx="74">
                  <c:v>23.347462313462934</c:v>
                </c:pt>
                <c:pt idx="75">
                  <c:v>23.516045153899366</c:v>
                </c:pt>
                <c:pt idx="76">
                  <c:v>23.694318674835014</c:v>
                </c:pt>
                <c:pt idx="77">
                  <c:v>23.882226414755387</c:v>
                </c:pt>
                <c:pt idx="78">
                  <c:v>24.07970728039712</c:v>
                </c:pt>
                <c:pt idx="79">
                  <c:v>24.286695172094909</c:v>
                </c:pt>
                <c:pt idx="80">
                  <c:v>24.503118598799219</c:v>
                </c:pt>
                <c:pt idx="81">
                  <c:v>24.728900284024409</c:v>
                </c:pt>
                <c:pt idx="82">
                  <c:v>24.963956764133123</c:v>
                </c:pt>
                <c:pt idx="83">
                  <c:v>25.208197980516289</c:v>
                </c:pt>
                <c:pt idx="84">
                  <c:v>25.461526867378129</c:v>
                </c:pt>
                <c:pt idx="85">
                  <c:v>25.723838936998696</c:v>
                </c:pt>
                <c:pt idx="86">
                  <c:v>25.995021864506565</c:v>
                </c:pt>
                <c:pt idx="87">
                  <c:v>26.274955074355208</c:v>
                </c:pt>
                <c:pt idx="88">
                  <c:v>26.563509330858359</c:v>
                </c:pt>
                <c:pt idx="89">
                  <c:v>26.860546335293083</c:v>
                </c:pt>
                <c:pt idx="90">
                  <c:v>27.165918332230426</c:v>
                </c:pt>
                <c:pt idx="91">
                  <c:v>27.479467727891489</c:v>
                </c:pt>
                <c:pt idx="92">
                  <c:v>27.801026723454903</c:v>
                </c:pt>
                <c:pt idx="93">
                  <c:v>28.130416966353241</c:v>
                </c:pt>
                <c:pt idx="94">
                  <c:v>28.46744922269022</c:v>
                </c:pt>
                <c:pt idx="95">
                  <c:v>28.811923073975709</c:v>
                </c:pt>
                <c:pt idx="96">
                  <c:v>29.163626641428312</c:v>
                </c:pt>
                <c:pt idx="97">
                  <c:v>29.522336341108925</c:v>
                </c:pt>
                <c:pt idx="98">
                  <c:v>29.88781667312676</c:v>
                </c:pt>
                <c:pt idx="99">
                  <c:v>30.259820048123434</c:v>
                </c:pt>
                <c:pt idx="100">
                  <c:v>30.638086654137467</c:v>
                </c:pt>
                <c:pt idx="101">
                  <c:v>31.022344366835778</c:v>
                </c:pt>
                <c:pt idx="102">
                  <c:v>31.412308705922761</c:v>
                </c:pt>
                <c:pt idx="103">
                  <c:v>31.807682840332713</c:v>
                </c:pt>
                <c:pt idx="104">
                  <c:v>32.208157644551839</c:v>
                </c:pt>
                <c:pt idx="105">
                  <c:v>32.613411808121207</c:v>
                </c:pt>
                <c:pt idx="106">
                  <c:v>33.023112000033784</c:v>
                </c:pt>
                <c:pt idx="107">
                  <c:v>33.436913089361497</c:v>
                </c:pt>
                <c:pt idx="108">
                  <c:v>33.854458423028518</c:v>
                </c:pt>
                <c:pt idx="109">
                  <c:v>34.27538016120382</c:v>
                </c:pt>
                <c:pt idx="110">
                  <c:v>34.699299670307241</c:v>
                </c:pt>
                <c:pt idx="111">
                  <c:v>35.125827973119122</c:v>
                </c:pt>
                <c:pt idx="112">
                  <c:v>35.554566254975164</c:v>
                </c:pt>
                <c:pt idx="113">
                  <c:v>35.985106424494475</c:v>
                </c:pt>
                <c:pt idx="114">
                  <c:v>36.417031726761785</c:v>
                </c:pt>
                <c:pt idx="115">
                  <c:v>36.849917406367375</c:v>
                </c:pt>
                <c:pt idx="116">
                  <c:v>37.283331417189238</c:v>
                </c:pt>
                <c:pt idx="117">
                  <c:v>37.716835175329138</c:v>
                </c:pt>
                <c:pt idx="118">
                  <c:v>38.149984351149072</c:v>
                </c:pt>
                <c:pt idx="119">
                  <c:v>38.582329695943592</c:v>
                </c:pt>
                <c:pt idx="120">
                  <c:v>39.013417898413564</c:v>
                </c:pt>
                <c:pt idx="121">
                  <c:v>39.442792465795172</c:v>
                </c:pt>
                <c:pt idx="122">
                  <c:v>39.869994624229577</c:v>
                </c:pt>
                <c:pt idx="123">
                  <c:v>40.294564232789995</c:v>
                </c:pt>
                <c:pt idx="124">
                  <c:v>40.716040705425087</c:v>
                </c:pt>
                <c:pt idx="125">
                  <c:v>41.133963935068977</c:v>
                </c:pt>
                <c:pt idx="126">
                  <c:v>41.547875214142124</c:v>
                </c:pt>
                <c:pt idx="127">
                  <c:v>41.957318145794225</c:v>
                </c:pt>
                <c:pt idx="128">
                  <c:v>42.361839540376103</c:v>
                </c:pt>
                <c:pt idx="129">
                  <c:v>42.760990291880475</c:v>
                </c:pt>
                <c:pt idx="130">
                  <c:v>43.154326229350062</c:v>
                </c:pt>
                <c:pt idx="131">
                  <c:v>43.541408938639385</c:v>
                </c:pt>
                <c:pt idx="132">
                  <c:v>43.921806550281083</c:v>
                </c:pt>
                <c:pt idx="133">
                  <c:v>44.295094489679229</c:v>
                </c:pt>
                <c:pt idx="134">
                  <c:v>44.660856186316487</c:v>
                </c:pt>
                <c:pt idx="135">
                  <c:v>45.018683739180865</c:v>
                </c:pt>
                <c:pt idx="136">
                  <c:v>45.368178536142103</c:v>
                </c:pt>
                <c:pt idx="137">
                  <c:v>45.708951825550514</c:v>
                </c:pt>
                <c:pt idx="138">
                  <c:v>46.040625238873645</c:v>
                </c:pt>
                <c:pt idx="139">
                  <c:v>46.362831263725688</c:v>
                </c:pt>
                <c:pt idx="140">
                  <c:v>46.675213667165146</c:v>
                </c:pt>
                <c:pt idx="141">
                  <c:v>46.977427869647592</c:v>
                </c:pt>
                <c:pt idx="142">
                  <c:v>47.269141270495631</c:v>
                </c:pt>
                <c:pt idx="143">
                  <c:v>47.550033526193147</c:v>
                </c:pt>
                <c:pt idx="144">
                  <c:v>47.819796783229705</c:v>
                </c:pt>
                <c:pt idx="145">
                  <c:v>48.078135867581224</c:v>
                </c:pt>
                <c:pt idx="146">
                  <c:v>48.324768433249019</c:v>
                </c:pt>
                <c:pt idx="147">
                  <c:v>48.559425072556856</c:v>
                </c:pt>
                <c:pt idx="148">
                  <c:v>48.781849391145634</c:v>
                </c:pt>
                <c:pt idx="149">
                  <c:v>48.991798050789278</c:v>
                </c:pt>
                <c:pt idx="150">
                  <c:v>49.189040783307071</c:v>
                </c:pt>
                <c:pt idx="151">
                  <c:v>49.373360378934123</c:v>
                </c:pt>
                <c:pt idx="152">
                  <c:v>49.544552652577735</c:v>
                </c:pt>
                <c:pt idx="153">
                  <c:v>49.702426391391917</c:v>
                </c:pt>
                <c:pt idx="154">
                  <c:v>49.846803287069157</c:v>
                </c:pt>
                <c:pt idx="155">
                  <c:v>49.977517856197444</c:v>
                </c:pt>
                <c:pt idx="156">
                  <c:v>50.094417351919219</c:v>
                </c:pt>
                <c:pt idx="157">
                  <c:v>50.197361669998401</c:v>
                </c:pt>
                <c:pt idx="158">
                  <c:v>50.286223252245172</c:v>
                </c:pt>
                <c:pt idx="159">
                  <c:v>50.360886990062539</c:v>
                </c:pt>
                <c:pt idx="160">
                  <c:v>50.421250130661718</c:v>
                </c:pt>
                <c:pt idx="161">
                  <c:v>50.467222188277468</c:v>
                </c:pt>
                <c:pt idx="162">
                  <c:v>50.498724862452988</c:v>
                </c:pt>
                <c:pt idx="163">
                  <c:v>50.515691965213264</c:v>
                </c:pt>
                <c:pt idx="164">
                  <c:v>50.518069358669173</c:v>
                </c:pt>
                <c:pt idx="165">
                  <c:v>50.505814904305339</c:v>
                </c:pt>
                <c:pt idx="166">
                  <c:v>50.478898424919208</c:v>
                </c:pt>
                <c:pt idx="167">
                  <c:v>50.437301679874096</c:v>
                </c:pt>
                <c:pt idx="168">
                  <c:v>50.381018354031319</c:v>
                </c:pt>
                <c:pt idx="169">
                  <c:v>50.31005406042037</c:v>
                </c:pt>
                <c:pt idx="170">
                  <c:v>50.22442635639522</c:v>
                </c:pt>
                <c:pt idx="171">
                  <c:v>50.124164772729571</c:v>
                </c:pt>
                <c:pt idx="172">
                  <c:v>50.009310854800702</c:v>
                </c:pt>
                <c:pt idx="173">
                  <c:v>49.879918214709015</c:v>
                </c:pt>
                <c:pt idx="174">
                  <c:v>49.736052592907079</c:v>
                </c:pt>
                <c:pt idx="175">
                  <c:v>49.57779192761695</c:v>
                </c:pt>
                <c:pt idx="176">
                  <c:v>49.405226430060154</c:v>
                </c:pt>
                <c:pt idx="177">
                  <c:v>49.218458663267114</c:v>
                </c:pt>
                <c:pt idx="178">
                  <c:v>49.017603621992599</c:v>
                </c:pt>
                <c:pt idx="179">
                  <c:v>48.802788811054782</c:v>
                </c:pt>
                <c:pt idx="180">
                  <c:v>48.574154319210109</c:v>
                </c:pt>
                <c:pt idx="181">
                  <c:v>48.331852885513236</c:v>
                </c:pt>
                <c:pt idx="182">
                  <c:v>48.076049954962301</c:v>
                </c:pt>
                <c:pt idx="183">
                  <c:v>47.806923720118093</c:v>
                </c:pt>
                <c:pt idx="184">
                  <c:v>47.524665145310188</c:v>
                </c:pt>
                <c:pt idx="185">
                  <c:v>47.229477969989375</c:v>
                </c:pt>
                <c:pt idx="186">
                  <c:v>46.92157868779563</c:v>
                </c:pt>
                <c:pt idx="187">
                  <c:v>46.601196497930282</c:v>
                </c:pt>
                <c:pt idx="188">
                  <c:v>46.268573225519276</c:v>
                </c:pt>
                <c:pt idx="189">
                  <c:v>45.923963207757708</c:v>
                </c:pt>
                <c:pt idx="190">
                  <c:v>45.567633142823581</c:v>
                </c:pt>
                <c:pt idx="191">
                  <c:v>45.199861898732415</c:v>
                </c:pt>
                <c:pt idx="192">
                  <c:v>44.820940279604578</c:v>
                </c:pt>
                <c:pt idx="193">
                  <c:v>44.431170747096743</c:v>
                </c:pt>
                <c:pt idx="194">
                  <c:v>44.030867095119241</c:v>
                </c:pt>
                <c:pt idx="195">
                  <c:v>43.620354076350907</c:v>
                </c:pt>
                <c:pt idx="196">
                  <c:v>43.199966979497283</c:v>
                </c:pt>
                <c:pt idx="197">
                  <c:v>42.770051156701001</c:v>
                </c:pt>
                <c:pt idx="198">
                  <c:v>42.33096150101634</c:v>
                </c:pt>
                <c:pt idx="199">
                  <c:v>41.883061874369858</c:v>
                </c:pt>
                <c:pt idx="200">
                  <c:v>41.426724486966357</c:v>
                </c:pt>
                <c:pt idx="201">
                  <c:v>40.962329229644013</c:v>
                </c:pt>
                <c:pt idx="202">
                  <c:v>40.490262961220907</c:v>
                </c:pt>
                <c:pt idx="203">
                  <c:v>40.010918753410003</c:v>
                </c:pt>
                <c:pt idx="204">
                  <c:v>39.52469509640855</c:v>
                </c:pt>
                <c:pt idx="205">
                  <c:v>39.031995068742575</c:v>
                </c:pt>
                <c:pt idx="206">
                  <c:v>38.533225475430847</c:v>
                </c:pt>
                <c:pt idx="207">
                  <c:v>38.028795958928981</c:v>
                </c:pt>
                <c:pt idx="208">
                  <c:v>37.519118087710424</c:v>
                </c:pt>
                <c:pt idx="209">
                  <c:v>37.004604427631172</c:v>
                </c:pt>
                <c:pt idx="210">
                  <c:v>36.485667601499266</c:v>
                </c:pt>
                <c:pt idx="211">
                  <c:v>35.962719342453155</c:v>
                </c:pt>
                <c:pt idx="212">
                  <c:v>35.43616954686739</c:v>
                </c:pt>
                <c:pt idx="213">
                  <c:v>34.906425332561767</c:v>
                </c:pt>
                <c:pt idx="214">
                  <c:v>34.37389010806266</c:v>
                </c:pt>
                <c:pt idx="215">
                  <c:v>33.838962658571475</c:v>
                </c:pt>
                <c:pt idx="216">
                  <c:v>33.302036254130194</c:v>
                </c:pt>
                <c:pt idx="217">
                  <c:v>32.763497785247168</c:v>
                </c:pt>
                <c:pt idx="218">
                  <c:v>32.223726930953873</c:v>
                </c:pt>
                <c:pt idx="219">
                  <c:v>31.683095363911217</c:v>
                </c:pt>
                <c:pt idx="220">
                  <c:v>31.141965996798252</c:v>
                </c:pt>
                <c:pt idx="221">
                  <c:v>30.600692273763052</c:v>
                </c:pt>
                <c:pt idx="222">
                  <c:v>30.059617510257556</c:v>
                </c:pt>
                <c:pt idx="223">
                  <c:v>29.519074284064025</c:v>
                </c:pt>
                <c:pt idx="224">
                  <c:v>28.97938387981716</c:v>
                </c:pt>
                <c:pt idx="225">
                  <c:v>28.440855788791996</c:v>
                </c:pt>
                <c:pt idx="226">
                  <c:v>27.903787265201991</c:v>
                </c:pt>
                <c:pt idx="227">
                  <c:v>27.368462939736347</c:v>
                </c:pt>
                <c:pt idx="228">
                  <c:v>26.835154490554491</c:v>
                </c:pt>
                <c:pt idx="229">
                  <c:v>26.304120371468876</c:v>
                </c:pt>
                <c:pt idx="230">
                  <c:v>25.775605596599522</c:v>
                </c:pt>
                <c:pt idx="231">
                  <c:v>25.249841580341389</c:v>
                </c:pt>
                <c:pt idx="232">
                  <c:v>24.727046031104031</c:v>
                </c:pt>
                <c:pt idx="233">
                  <c:v>24.207422896931035</c:v>
                </c:pt>
                <c:pt idx="234">
                  <c:v>23.691162360785832</c:v>
                </c:pt>
                <c:pt idx="235">
                  <c:v>23.178440883033474</c:v>
                </c:pt>
                <c:pt idx="236">
                  <c:v>22.66942128841211</c:v>
                </c:pt>
                <c:pt idx="237">
                  <c:v>22.164252894613483</c:v>
                </c:pt>
                <c:pt idx="238">
                  <c:v>21.663071679442606</c:v>
                </c:pt>
                <c:pt idx="239">
                  <c:v>21.166000483436296</c:v>
                </c:pt>
                <c:pt idx="240">
                  <c:v>20.673149244748128</c:v>
                </c:pt>
                <c:pt idx="241">
                  <c:v>20.184615263094315</c:v>
                </c:pt>
                <c:pt idx="242">
                  <c:v>19.700483489549431</c:v>
                </c:pt>
                <c:pt idx="243">
                  <c:v>19.22082683903318</c:v>
                </c:pt>
                <c:pt idx="244">
                  <c:v>18.745706522382019</c:v>
                </c:pt>
                <c:pt idx="245">
                  <c:v>18.275172394997888</c:v>
                </c:pt>
                <c:pt idx="246">
                  <c:v>17.809263319172029</c:v>
                </c:pt>
                <c:pt idx="247">
                  <c:v>17.348007537308174</c:v>
                </c:pt>
                <c:pt idx="248">
                  <c:v>16.891423053411547</c:v>
                </c:pt>
                <c:pt idx="249">
                  <c:v>16.439518020360616</c:v>
                </c:pt>
                <c:pt idx="250">
                  <c:v>15.992291130639952</c:v>
                </c:pt>
                <c:pt idx="251">
                  <c:v>15.549732008376225</c:v>
                </c:pt>
                <c:pt idx="252">
                  <c:v>15.1118216006872</c:v>
                </c:pt>
                <c:pt idx="253">
                  <c:v>14.67853256652575</c:v>
                </c:pt>
                <c:pt idx="254">
                  <c:v>14.249829661363449</c:v>
                </c:pt>
                <c:pt idx="255">
                  <c:v>13.825670116231068</c:v>
                </c:pt>
                <c:pt idx="256">
                  <c:v>13.40600400978588</c:v>
                </c:pt>
                <c:pt idx="257">
                  <c:v>12.990774632239074</c:v>
                </c:pt>
                <c:pt idx="258">
                  <c:v>12.57991884011896</c:v>
                </c:pt>
                <c:pt idx="259">
                  <c:v>12.173367400995534</c:v>
                </c:pt>
                <c:pt idx="260">
                  <c:v>11.771045327414228</c:v>
                </c:pt>
                <c:pt idx="261">
                  <c:v>11.37287219942808</c:v>
                </c:pt>
                <c:pt idx="262">
                  <c:v>10.97876247522022</c:v>
                </c:pt>
                <c:pt idx="263">
                  <c:v>10.58862578942747</c:v>
                </c:pt>
                <c:pt idx="264">
                  <c:v>10.202367238869885</c:v>
                </c:pt>
                <c:pt idx="265">
                  <c:v>9.8198876554868662</c:v>
                </c:pt>
                <c:pt idx="266">
                  <c:v>9.4410838663594738</c:v>
                </c:pt>
                <c:pt idx="267">
                  <c:v>9.0658489407787091</c:v>
                </c:pt>
                <c:pt idx="268">
                  <c:v>8.6940724243791898</c:v>
                </c:pt>
                <c:pt idx="269">
                  <c:v>8.3256405604255121</c:v>
                </c:pt>
                <c:pt idx="270">
                  <c:v>7.9604364983858522</c:v>
                </c:pt>
                <c:pt idx="271">
                  <c:v>7.5983404899731255</c:v>
                </c:pt>
                <c:pt idx="272">
                  <c:v>7.2392300728765653</c:v>
                </c:pt>
                <c:pt idx="273">
                  <c:v>6.8829802424388831</c:v>
                </c:pt>
                <c:pt idx="274">
                  <c:v>6.5294636115604865</c:v>
                </c:pt>
                <c:pt idx="275">
                  <c:v>6.1785505591389756</c:v>
                </c:pt>
                <c:pt idx="276">
                  <c:v>5.8301093673679993</c:v>
                </c:pt>
                <c:pt idx="277">
                  <c:v>5.4840063482383306</c:v>
                </c:pt>
                <c:pt idx="278">
                  <c:v>5.1401059595880136</c:v>
                </c:pt>
                <c:pt idx="279">
                  <c:v>4.7982709110640744</c:v>
                </c:pt>
                <c:pt idx="280">
                  <c:v>4.4583622603583288</c:v>
                </c:pt>
                <c:pt idx="281">
                  <c:v>4.1202395000813761</c:v>
                </c:pt>
                <c:pt idx="282">
                  <c:v>3.7837606356413591</c:v>
                </c:pt>
                <c:pt idx="283">
                  <c:v>3.4487822544900366</c:v>
                </c:pt>
                <c:pt idx="284">
                  <c:v>3.1151595870944093</c:v>
                </c:pt>
                <c:pt idx="285">
                  <c:v>2.7827465599871548</c:v>
                </c:pt>
                <c:pt idx="286">
                  <c:v>2.4513958412431176</c:v>
                </c:pt>
                <c:pt idx="287">
                  <c:v>2.1209588787171274</c:v>
                </c:pt>
                <c:pt idx="288">
                  <c:v>1.791285931377369</c:v>
                </c:pt>
                <c:pt idx="289">
                  <c:v>1.4622260940484217</c:v>
                </c:pt>
                <c:pt idx="290">
                  <c:v>1.1336273158800554</c:v>
                </c:pt>
                <c:pt idx="291">
                  <c:v>0.80533641283559587</c:v>
                </c:pt>
                <c:pt idx="292">
                  <c:v>0.47719907449371174</c:v>
                </c:pt>
                <c:pt idx="293">
                  <c:v>0.14905986543792804</c:v>
                </c:pt>
                <c:pt idx="294">
                  <c:v>-0.17923777849667988</c:v>
                </c:pt>
                <c:pt idx="295">
                  <c:v>-0.50785155886337352</c:v>
                </c:pt>
                <c:pt idx="296">
                  <c:v>-0.83694032788458539</c:v>
                </c:pt>
                <c:pt idx="297">
                  <c:v>-1.1666641061375369</c:v>
                </c:pt>
                <c:pt idx="298">
                  <c:v>-1.4971841044200607</c:v>
                </c:pt>
                <c:pt idx="299">
                  <c:v>-1.8286627495794809</c:v>
                </c:pt>
                <c:pt idx="300">
                  <c:v>-2.1612637140984448</c:v>
                </c:pt>
                <c:pt idx="301">
                  <c:v>-2.4951519492404706</c:v>
                </c:pt>
                <c:pt idx="302">
                  <c:v>-2.8304937215655572</c:v>
                </c:pt>
                <c:pt idx="303">
                  <c:v>-3.1674566526337107</c:v>
                </c:pt>
                <c:pt idx="304">
                  <c:v>-3.5062097617231767</c:v>
                </c:pt>
                <c:pt idx="305">
                  <c:v>-3.8469235113945777</c:v>
                </c:pt>
                <c:pt idx="306">
                  <c:v>-4.1897698557397156</c:v>
                </c:pt>
                <c:pt idx="307">
                  <c:v>-4.5349222911584803</c:v>
                </c:pt>
                <c:pt idx="308">
                  <c:v>-4.8825559095115079</c:v>
                </c:pt>
                <c:pt idx="309">
                  <c:v>-5.2328474535005656</c:v>
                </c:pt>
                <c:pt idx="310">
                  <c:v>-5.5859753741311149</c:v>
                </c:pt>
                <c:pt idx="311">
                  <c:v>-5.9421198901136671</c:v>
                </c:pt>
                <c:pt idx="312">
                  <c:v>-6.3014630490611561</c:v>
                </c:pt>
                <c:pt idx="313">
                  <c:v>-6.6641887903425037</c:v>
                </c:pt>
                <c:pt idx="314">
                  <c:v>-7.0304830094460282</c:v>
                </c:pt>
                <c:pt idx="315">
                  <c:v>-7.4005336237105031</c:v>
                </c:pt>
                <c:pt idx="316">
                  <c:v>-7.7745306392757891</c:v>
                </c:pt>
                <c:pt idx="317">
                  <c:v>-8.1526662190992294</c:v>
                </c:pt>
                <c:pt idx="318">
                  <c:v>-8.5351347518819694</c:v>
                </c:pt>
                <c:pt idx="319">
                  <c:v>-8.9221329217396281</c:v>
                </c:pt>
                <c:pt idx="320">
                  <c:v>-9.3138597784430264</c:v>
                </c:pt>
                <c:pt idx="321">
                  <c:v>-9.7105168080476396</c:v>
                </c:pt>
                <c:pt idx="322">
                  <c:v>-10.112308003714544</c:v>
                </c:pt>
                <c:pt idx="323">
                  <c:v>-10.519439936512731</c:v>
                </c:pt>
                <c:pt idx="324">
                  <c:v>-10.93212182598392</c:v>
                </c:pt>
                <c:pt idx="325">
                  <c:v>-11.350565610216156</c:v>
                </c:pt>
                <c:pt idx="326">
                  <c:v>-11.774986015173102</c:v>
                </c:pt>
                <c:pt idx="327">
                  <c:v>-12.20560062298582</c:v>
                </c:pt>
                <c:pt idx="328">
                  <c:v>-12.642629938897402</c:v>
                </c:pt>
                <c:pt idx="329">
                  <c:v>-13.086297456519167</c:v>
                </c:pt>
                <c:pt idx="330">
                  <c:v>-13.536829721022562</c:v>
                </c:pt>
                <c:pt idx="331">
                  <c:v>-13.9944563898607</c:v>
                </c:pt>
                <c:pt idx="332">
                  <c:v>-14.459410290568286</c:v>
                </c:pt>
                <c:pt idx="333">
                  <c:v>-14.931927475148095</c:v>
                </c:pt>
                <c:pt idx="334">
                  <c:v>-15.412247270503553</c:v>
                </c:pt>
                <c:pt idx="335">
                  <c:v>-15.90061232432242</c:v>
                </c:pt>
                <c:pt idx="336">
                  <c:v>-16.397268645758469</c:v>
                </c:pt>
                <c:pt idx="337">
                  <c:v>-16.902465640197075</c:v>
                </c:pt>
                <c:pt idx="338">
                  <c:v>-17.416456137316306</c:v>
                </c:pt>
                <c:pt idx="339">
                  <c:v>-17.939496411580382</c:v>
                </c:pt>
                <c:pt idx="340">
                  <c:v>-18.471846194220326</c:v>
                </c:pt>
                <c:pt idx="341">
                  <c:v>-19.013768675665158</c:v>
                </c:pt>
                <c:pt idx="342">
                  <c:v>-19.565530497288268</c:v>
                </c:pt>
                <c:pt idx="343">
                  <c:v>-20.127401731227899</c:v>
                </c:pt>
                <c:pt idx="344">
                  <c:v>-20.69965584692472</c:v>
                </c:pt>
                <c:pt idx="345">
                  <c:v>-21.282569662900759</c:v>
                </c:pt>
                <c:pt idx="346">
                  <c:v>-21.876423282164648</c:v>
                </c:pt>
                <c:pt idx="347">
                  <c:v>-22.481500009488393</c:v>
                </c:pt>
                <c:pt idx="348">
                  <c:v>-23.09808624865591</c:v>
                </c:pt>
                <c:pt idx="349">
                  <c:v>-23.726471377613681</c:v>
                </c:pt>
                <c:pt idx="350">
                  <c:v>-24.366947599289503</c:v>
                </c:pt>
                <c:pt idx="351">
                  <c:v>-25.019809765668924</c:v>
                </c:pt>
                <c:pt idx="352">
                  <c:v>-25.685355172524055</c:v>
                </c:pt>
                <c:pt idx="353">
                  <c:v>-26.363883322006586</c:v>
                </c:pt>
                <c:pt idx="354">
                  <c:v>-27.055695650109222</c:v>
                </c:pt>
                <c:pt idx="355">
                  <c:v>-27.76109521579377</c:v>
                </c:pt>
                <c:pt idx="356">
                  <c:v>-28.480386348386407</c:v>
                </c:pt>
                <c:pt idx="357">
                  <c:v>-29.213874249624869</c:v>
                </c:pt>
                <c:pt idx="358">
                  <c:v>-29.961864546542731</c:v>
                </c:pt>
                <c:pt idx="359">
                  <c:v>-30.724662791181281</c:v>
                </c:pt>
                <c:pt idx="360">
                  <c:v>-31.502573902934142</c:v>
                </c:pt>
                <c:pt idx="361">
                  <c:v>-32.29590154916216</c:v>
                </c:pt>
                <c:pt idx="362">
                  <c:v>-33.104947459579954</c:v>
                </c:pt>
                <c:pt idx="363">
                  <c:v>-33.930010669799543</c:v>
                </c:pt>
                <c:pt idx="364">
                  <c:v>-34.771386689352326</c:v>
                </c:pt>
                <c:pt idx="365">
                  <c:v>-35.62936658948707</c:v>
                </c:pt>
                <c:pt idx="366">
                  <c:v>-36.504236006092917</c:v>
                </c:pt>
                <c:pt idx="367">
                  <c:v>-37.396274053207122</c:v>
                </c:pt>
                <c:pt idx="368">
                  <c:v>-38.305752142779561</c:v>
                </c:pt>
                <c:pt idx="369">
                  <c:v>-39.232932706670944</c:v>
                </c:pt>
                <c:pt idx="370">
                  <c:v>-40.178067817295123</c:v>
                </c:pt>
                <c:pt idx="371">
                  <c:v>-41.141397703881424</c:v>
                </c:pt>
                <c:pt idx="372">
                  <c:v>-42.123149162048755</c:v>
                </c:pt>
                <c:pt idx="373">
                  <c:v>-43.123533855276143</c:v>
                </c:pt>
                <c:pt idx="374">
                  <c:v>-44.142746507936018</c:v>
                </c:pt>
                <c:pt idx="375">
                  <c:v>-45.180962990837983</c:v>
                </c:pt>
                <c:pt idx="376">
                  <c:v>-46.238338301734416</c:v>
                </c:pt>
                <c:pt idx="377">
                  <c:v>-47.315004444977937</c:v>
                </c:pt>
                <c:pt idx="378">
                  <c:v>-48.411068216487706</c:v>
                </c:pt>
                <c:pt idx="379">
                  <c:v>-49.526608902404497</c:v>
                </c:pt>
                <c:pt idx="380">
                  <c:v>-50.661675902258168</c:v>
                </c:pt>
                <c:pt idx="381">
                  <c:v>-51.816286290151929</c:v>
                </c:pt>
                <c:pt idx="382">
                  <c:v>-52.990422330351592</c:v>
                </c:pt>
                <c:pt idx="383">
                  <c:v>-54.184028966710592</c:v>
                </c:pt>
                <c:pt idx="384">
                  <c:v>-55.397011308549537</c:v>
                </c:pt>
                <c:pt idx="385">
                  <c:v>-56.62923213884212</c:v>
                </c:pt>
                <c:pt idx="386">
                  <c:v>-57.880509473810314</c:v>
                </c:pt>
                <c:pt idx="387">
                  <c:v>-59.150614206169124</c:v>
                </c:pt>
                <c:pt idx="388">
                  <c:v>-60.43926786721827</c:v>
                </c:pt>
                <c:pt idx="389">
                  <c:v>-61.74614054561696</c:v>
                </c:pt>
                <c:pt idx="390">
                  <c:v>-63.070849002895216</c:v>
                </c:pt>
                <c:pt idx="391">
                  <c:v>-64.412955027389472</c:v>
                </c:pt>
                <c:pt idx="392">
                  <c:v>-65.771964069237185</c:v>
                </c:pt>
                <c:pt idx="393">
                  <c:v>-67.147324199169958</c:v>
                </c:pt>
                <c:pt idx="394">
                  <c:v>-68.538425432977888</c:v>
                </c:pt>
                <c:pt idx="395">
                  <c:v>-69.944599461605961</c:v>
                </c:pt>
                <c:pt idx="396">
                  <c:v>-71.365119823743058</c:v>
                </c:pt>
                <c:pt idx="397">
                  <c:v>-72.79920255348307</c:v>
                </c:pt>
                <c:pt idx="398">
                  <c:v>-74.246007330105527</c:v>
                </c:pt>
                <c:pt idx="399">
                  <c:v>-75.704639150321029</c:v>
                </c:pt>
                <c:pt idx="400">
                  <c:v>-77.174150535485424</c:v>
                </c:pt>
                <c:pt idx="401">
                  <c:v>-78.653544277489345</c:v>
                </c:pt>
                <c:pt idx="402">
                  <c:v>-80.141776717427277</c:v>
                </c:pt>
                <c:pt idx="403">
                  <c:v>-81.637761540996053</c:v>
                </c:pt>
                <c:pt idx="404">
                  <c:v>-83.140374064156575</c:v>
                </c:pt>
                <c:pt idx="405">
                  <c:v>-84.648455972210371</c:v>
                </c:pt>
                <c:pt idx="406">
                  <c:v>-86.160820465453895</c:v>
                </c:pt>
                <c:pt idx="407">
                  <c:v>-87.676257755304363</c:v>
                </c:pt>
                <c:pt idx="408">
                  <c:v>-89.193540846594956</c:v>
                </c:pt>
                <c:pt idx="409">
                  <c:v>-90.711431534897073</c:v>
                </c:pt>
                <c:pt idx="410">
                  <c:v>-92.228686542526489</c:v>
                </c:pt>
                <c:pt idx="411">
                  <c:v>-93.744063713526785</c:v>
                </c:pt>
                <c:pt idx="412">
                  <c:v>-95.256328186524826</c:v>
                </c:pt>
                <c:pt idx="413">
                  <c:v>-96.764258464973594</c:v>
                </c:pt>
                <c:pt idx="414">
                  <c:v>-98.266652306939633</c:v>
                </c:pt>
                <c:pt idx="415">
                  <c:v>-99.76233236110005</c:v>
                </c:pt>
                <c:pt idx="416">
                  <c:v>-101.25015148185825</c:v>
                </c:pt>
                <c:pt idx="417">
                  <c:v>-102.7289976641913</c:v>
                </c:pt>
                <c:pt idx="418">
                  <c:v>-104.1977985477358</c:v>
                </c:pt>
                <c:pt idx="419">
                  <c:v>-105.65552544935434</c:v>
                </c:pt>
                <c:pt idx="420">
                  <c:v>-107.10119689368418</c:v>
                </c:pt>
                <c:pt idx="421">
                  <c:v>-108.53388162158565</c:v>
                </c:pt>
                <c:pt idx="422">
                  <c:v>-109.95270106666831</c:v>
                </c:pt>
                <c:pt idx="423">
                  <c:v>-111.35683129989305</c:v>
                </c:pt>
                <c:pt idx="424">
                  <c:v>-112.74550445131865</c:v>
                </c:pt>
                <c:pt idx="425">
                  <c:v>-114.11800962627164</c:v>
                </c:pt>
                <c:pt idx="426">
                  <c:v>-115.4736933402927</c:v>
                </c:pt>
                <c:pt idx="427">
                  <c:v>-116.81195950315545</c:v>
                </c:pt>
                <c:pt idx="428">
                  <c:v>-118.13226898696158</c:v>
                </c:pt>
                <c:pt idx="429">
                  <c:v>-119.43413881680524</c:v>
                </c:pt>
                <c:pt idx="430">
                  <c:v>-120.71714102476724</c:v>
                </c:pt>
                <c:pt idx="431">
                  <c:v>-121.98090120924665</c:v>
                </c:pt>
                <c:pt idx="432">
                  <c:v>-123.22509684177119</c:v>
                </c:pt>
                <c:pt idx="433">
                  <c:v>-124.44945536277669</c:v>
                </c:pt>
                <c:pt idx="434">
                  <c:v>-125.6537521063693</c:v>
                </c:pt>
                <c:pt idx="435">
                  <c:v>-126.83780809204704</c:v>
                </c:pt>
                <c:pt idx="436">
                  <c:v>-128.0014877188141</c:v>
                </c:pt>
                <c:pt idx="437">
                  <c:v>-129.14469639423882</c:v>
                </c:pt>
                <c:pt idx="438">
                  <c:v>-130.26737812789793</c:v>
                </c:pt>
                <c:pt idx="439">
                  <c:v>-131.36951311542879</c:v>
                </c:pt>
                <c:pt idx="440">
                  <c:v>-132.45111533614246</c:v>
                </c:pt>
                <c:pt idx="441">
                  <c:v>-133.51223018397442</c:v>
                </c:pt>
                <c:pt idx="442">
                  <c:v>-134.55293214844551</c:v>
                </c:pt>
                <c:pt idx="443">
                  <c:v>-135.57332255941031</c:v>
                </c:pt>
                <c:pt idx="444">
                  <c:v>-136.57352740665746</c:v>
                </c:pt>
                <c:pt idx="445">
                  <c:v>-137.55369524295227</c:v>
                </c:pt>
                <c:pt idx="446">
                  <c:v>-138.51399517688284</c:v>
                </c:pt>
                <c:pt idx="447">
                  <c:v>-139.45461495989551</c:v>
                </c:pt>
                <c:pt idx="448">
                  <c:v>-140.37575917017298</c:v>
                </c:pt>
                <c:pt idx="449">
                  <c:v>-141.2776474945309</c:v>
                </c:pt>
                <c:pt idx="450">
                  <c:v>-142.16051310824702</c:v>
                </c:pt>
                <c:pt idx="451">
                  <c:v>-143.02460115170297</c:v>
                </c:pt>
                <c:pt idx="452">
                  <c:v>-143.87016730187258</c:v>
                </c:pt>
                <c:pt idx="453">
                  <c:v>-144.69747643602884</c:v>
                </c:pt>
                <c:pt idx="454">
                  <c:v>-145.5068013845316</c:v>
                </c:pt>
                <c:pt idx="455">
                  <c:v>-146.29842176919868</c:v>
                </c:pt>
                <c:pt idx="456">
                  <c:v>-147.07262292349361</c:v>
                </c:pt>
                <c:pt idx="457">
                  <c:v>-147.82969489064308</c:v>
                </c:pt>
                <c:pt idx="458">
                  <c:v>-148.56993149570985</c:v>
                </c:pt>
                <c:pt idx="459">
                  <c:v>-149.29362948765672</c:v>
                </c:pt>
                <c:pt idx="460">
                  <c:v>-150.00108774749856</c:v>
                </c:pt>
                <c:pt idx="461">
                  <c:v>-150.69260655873339</c:v>
                </c:pt>
                <c:pt idx="462">
                  <c:v>-151.3684869363756</c:v>
                </c:pt>
                <c:pt idx="463">
                  <c:v>-152.02903001106176</c:v>
                </c:pt>
                <c:pt idx="464">
                  <c:v>-152.67453646486624</c:v>
                </c:pt>
                <c:pt idx="465">
                  <c:v>-153.30530601563319</c:v>
                </c:pt>
                <c:pt idx="466">
                  <c:v>-153.9216369468063</c:v>
                </c:pt>
                <c:pt idx="467">
                  <c:v>-154.52382567990546</c:v>
                </c:pt>
                <c:pt idx="468">
                  <c:v>-155.11216638696271</c:v>
                </c:pt>
                <c:pt idx="469">
                  <c:v>-155.6869506403977</c:v>
                </c:pt>
                <c:pt idx="470">
                  <c:v>-156.24846709794838</c:v>
                </c:pt>
                <c:pt idx="471">
                  <c:v>-156.79700122041916</c:v>
                </c:pt>
                <c:pt idx="472">
                  <c:v>-157.33283502013956</c:v>
                </c:pt>
                <c:pt idx="473">
                  <c:v>-157.85624683814089</c:v>
                </c:pt>
                <c:pt idx="474">
                  <c:v>-158.36751114817358</c:v>
                </c:pt>
                <c:pt idx="475">
                  <c:v>-158.86689838578545</c:v>
                </c:pt>
                <c:pt idx="476">
                  <c:v>-159.35467480077241</c:v>
                </c:pt>
                <c:pt idx="477">
                  <c:v>-159.83110233141628</c:v>
                </c:pt>
                <c:pt idx="478">
                  <c:v>-160.29643849897289</c:v>
                </c:pt>
                <c:pt idx="479">
                  <c:v>-160.75093632098071</c:v>
                </c:pt>
                <c:pt idx="480">
                  <c:v>-161.19484424201167</c:v>
                </c:pt>
                <c:pt idx="481">
                  <c:v>-161.62840608055461</c:v>
                </c:pt>
                <c:pt idx="482">
                  <c:v>-162.05186099078824</c:v>
                </c:pt>
                <c:pt idx="483">
                  <c:v>-162.46544343805891</c:v>
                </c:pt>
                <c:pt idx="484">
                  <c:v>-162.86938318693456</c:v>
                </c:pt>
                <c:pt idx="485">
                  <c:v>-163.26390530076321</c:v>
                </c:pt>
                <c:pt idx="486">
                  <c:v>-163.64923015172315</c:v>
                </c:pt>
                <c:pt idx="487">
                  <c:v>-164.02557344039457</c:v>
                </c:pt>
                <c:pt idx="488">
                  <c:v>-164.3931462239467</c:v>
                </c:pt>
                <c:pt idx="489">
                  <c:v>-164.75215495207613</c:v>
                </c:pt>
                <c:pt idx="490">
                  <c:v>-165.10280150988518</c:v>
                </c:pt>
                <c:pt idx="491">
                  <c:v>-165.44528326693882</c:v>
                </c:pt>
                <c:pt idx="492">
                  <c:v>-165.7797931317838</c:v>
                </c:pt>
                <c:pt idx="493">
                  <c:v>-166.1065196112599</c:v>
                </c:pt>
                <c:pt idx="494">
                  <c:v>-166.42564687398118</c:v>
                </c:pt>
                <c:pt idx="495">
                  <c:v>-166.73735481740619</c:v>
                </c:pt>
                <c:pt idx="496">
                  <c:v>-167.04181913795816</c:v>
                </c:pt>
                <c:pt idx="497">
                  <c:v>-167.33921140369949</c:v>
                </c:pt>
                <c:pt idx="498">
                  <c:v>-167.62969912910029</c:v>
                </c:pt>
                <c:pt idx="499">
                  <c:v>-167.91344585148229</c:v>
                </c:pt>
                <c:pt idx="500">
                  <c:v>-168.19061120875287</c:v>
                </c:pt>
                <c:pt idx="501">
                  <c:v>-168.46135101807741</c:v>
                </c:pt>
                <c:pt idx="502">
                  <c:v>-168.72581735517309</c:v>
                </c:pt>
                <c:pt idx="503">
                  <c:v>-168.98415863393546</c:v>
                </c:pt>
                <c:pt idx="504">
                  <c:v>-169.23651968613927</c:v>
                </c:pt>
                <c:pt idx="505">
                  <c:v>-169.48304184098038</c:v>
                </c:pt>
                <c:pt idx="506">
                  <c:v>-169.72386300425367</c:v>
                </c:pt>
                <c:pt idx="507">
                  <c:v>-169.95911773698145</c:v>
                </c:pt>
                <c:pt idx="508">
                  <c:v>-170.18893733333286</c:v>
                </c:pt>
                <c:pt idx="509">
                  <c:v>-170.41344989769112</c:v>
                </c:pt>
                <c:pt idx="510">
                  <c:v>-170.63278042074728</c:v>
                </c:pt>
                <c:pt idx="511">
                  <c:v>-170.84705085451333</c:v>
                </c:pt>
                <c:pt idx="512">
                  <c:v>-171.05638018616642</c:v>
                </c:pt>
                <c:pt idx="513">
                  <c:v>-171.26088451064811</c:v>
                </c:pt>
                <c:pt idx="514">
                  <c:v>-171.46067710195379</c:v>
                </c:pt>
                <c:pt idx="515">
                  <c:v>-171.65586848306538</c:v>
                </c:pt>
                <c:pt idx="516">
                  <c:v>-171.84656649448414</c:v>
                </c:pt>
                <c:pt idx="517">
                  <c:v>-172.03287636133382</c:v>
                </c:pt>
                <c:pt idx="518">
                  <c:v>-172.21490075901275</c:v>
                </c:pt>
                <c:pt idx="519">
                  <c:v>-172.3927398773798</c:v>
                </c:pt>
                <c:pt idx="520">
                  <c:v>-172.56649148346747</c:v>
                </c:pt>
                <c:pt idx="521">
                  <c:v>-172.73625098271961</c:v>
                </c:pt>
                <c:pt idx="522">
                  <c:v>-172.90211147875831</c:v>
                </c:pt>
                <c:pt idx="523">
                  <c:v>-173.06416383168866</c:v>
                </c:pt>
                <c:pt idx="524">
                  <c:v>-173.22249671495263</c:v>
                </c:pt>
                <c:pt idx="525">
                  <c:v>-173.37719667074941</c:v>
                </c:pt>
                <c:pt idx="526">
                  <c:v>-173.52834816403984</c:v>
                </c:pt>
                <c:pt idx="527">
                  <c:v>-173.67603363515732</c:v>
                </c:pt>
                <c:pt idx="528">
                  <c:v>-173.82033355104778</c:v>
                </c:pt>
                <c:pt idx="529">
                  <c:v>-173.96132645516519</c:v>
                </c:pt>
                <c:pt idx="530">
                  <c:v>-174.09908901604763</c:v>
                </c:pt>
                <c:pt idx="531">
                  <c:v>-174.23369607460253</c:v>
                </c:pt>
                <c:pt idx="532">
                  <c:v>-174.36522069013051</c:v>
                </c:pt>
                <c:pt idx="533">
                  <c:v>-174.49373418511516</c:v>
                </c:pt>
                <c:pt idx="534">
                  <c:v>-174.61930618880996</c:v>
                </c:pt>
                <c:pt idx="535">
                  <c:v>-174.74200467965176</c:v>
                </c:pt>
                <c:pt idx="536">
                  <c:v>-174.86189602652982</c:v>
                </c:pt>
                <c:pt idx="537">
                  <c:v>-174.97904502894266</c:v>
                </c:pt>
                <c:pt idx="538">
                  <c:v>-175.09351495606938</c:v>
                </c:pt>
                <c:pt idx="539">
                  <c:v>-175.20536758478795</c:v>
                </c:pt>
                <c:pt idx="540">
                  <c:v>-175.31466323666712</c:v>
                </c:pt>
                <c:pt idx="541">
                  <c:v>-175.42146081396197</c:v>
                </c:pt>
              </c:numCache>
            </c:numRef>
          </c:yVal>
          <c:smooth val="1"/>
          <c:extLst>
            <c:ext xmlns:c16="http://schemas.microsoft.com/office/drawing/2014/chart" uri="{C3380CC4-5D6E-409C-BE32-E72D297353CC}">
              <c16:uniqueId val="{00000001-83C7-483B-9FAA-73F41D4B5EAC}"/>
            </c:ext>
          </c:extLst>
        </c:ser>
        <c:dLbls>
          <c:showLegendKey val="0"/>
          <c:showVal val="0"/>
          <c:showCatName val="0"/>
          <c:showSerName val="0"/>
          <c:showPercent val="0"/>
          <c:showBubbleSize val="0"/>
        </c:dLbls>
        <c:axId val="384296832"/>
        <c:axId val="384295296"/>
      </c:scatterChart>
      <c:valAx>
        <c:axId val="37754918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77551104"/>
        <c:crosses val="autoZero"/>
        <c:crossBetween val="midCat"/>
      </c:valAx>
      <c:valAx>
        <c:axId val="377551104"/>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377549184"/>
        <c:crosses val="autoZero"/>
        <c:crossBetween val="midCat"/>
        <c:majorUnit val="20"/>
        <c:minorUnit val="10"/>
      </c:valAx>
      <c:valAx>
        <c:axId val="384295296"/>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384296832"/>
        <c:crosses val="max"/>
        <c:crossBetween val="midCat"/>
        <c:majorUnit val="90"/>
        <c:minorUnit val="45"/>
      </c:valAx>
      <c:valAx>
        <c:axId val="384296832"/>
        <c:scaling>
          <c:logBase val="10"/>
          <c:orientation val="minMax"/>
        </c:scaling>
        <c:delete val="1"/>
        <c:axPos val="b"/>
        <c:numFmt formatCode="0.00" sourceLinked="1"/>
        <c:majorTickMark val="out"/>
        <c:minorTickMark val="none"/>
        <c:tickLblPos val="nextTo"/>
        <c:crossAx val="38429529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Eff_vs_IOUT!$BZ$7:$BZ$157</c:f>
              <c:numCache>
                <c:formatCode>General</c:formatCode>
                <c:ptCount val="151"/>
                <c:pt idx="0">
                  <c:v>0</c:v>
                </c:pt>
                <c:pt idx="1">
                  <c:v>18.876580415263494</c:v>
                </c:pt>
                <c:pt idx="2">
                  <c:v>30.9579989421165</c:v>
                </c:pt>
                <c:pt idx="3">
                  <c:v>39.488763681716357</c:v>
                </c:pt>
                <c:pt idx="4">
                  <c:v>45.869495168920224</c:v>
                </c:pt>
                <c:pt idx="5">
                  <c:v>50.838148376447592</c:v>
                </c:pt>
                <c:pt idx="6">
                  <c:v>54.825443896429938</c:v>
                </c:pt>
                <c:pt idx="7">
                  <c:v>58.101189362502815</c:v>
                </c:pt>
                <c:pt idx="8">
                  <c:v>60.843597051015344</c:v>
                </c:pt>
                <c:pt idx="9">
                  <c:v>63.17538463101058</c:v>
                </c:pt>
                <c:pt idx="10">
                  <c:v>65.183955774447909</c:v>
                </c:pt>
                <c:pt idx="11">
                  <c:v>66.933327936740241</c:v>
                </c:pt>
                <c:pt idx="12">
                  <c:v>68.471509434147919</c:v>
                </c:pt>
                <c:pt idx="13">
                  <c:v>69.835237726311135</c:v>
                </c:pt>
                <c:pt idx="14">
                  <c:v>71.053121932662066</c:v>
                </c:pt>
                <c:pt idx="15">
                  <c:v>72.147785279677564</c:v>
                </c:pt>
                <c:pt idx="16">
                  <c:v>73.137361225129553</c:v>
                </c:pt>
                <c:pt idx="17">
                  <c:v>74.036560520587898</c:v>
                </c:pt>
                <c:pt idx="18">
                  <c:v>74.857446631561245</c:v>
                </c:pt>
                <c:pt idx="19">
                  <c:v>75.61000871893367</c:v>
                </c:pt>
                <c:pt idx="20">
                  <c:v>76.302591438763372</c:v>
                </c:pt>
                <c:pt idx="21">
                  <c:v>76.942221746558118</c:v>
                </c:pt>
                <c:pt idx="22">
                  <c:v>77.534860471503279</c:v>
                </c:pt>
                <c:pt idx="23">
                  <c:v>78.085598171210123</c:v>
                </c:pt>
                <c:pt idx="24">
                  <c:v>78.598809189466863</c:v>
                </c:pt>
                <c:pt idx="25">
                  <c:v>79.078273992729834</c:v>
                </c:pt>
                <c:pt idx="26">
                  <c:v>79.527277172093775</c:v>
                </c:pt>
                <c:pt idx="27">
                  <c:v>79.948686591062625</c:v>
                </c:pt>
                <c:pt idx="28">
                  <c:v>80.345017790128466</c:v>
                </c:pt>
                <c:pt idx="29">
                  <c:v>80.718486763704732</c:v>
                </c:pt>
                <c:pt idx="30">
                  <c:v>81.071053493128346</c:v>
                </c:pt>
                <c:pt idx="31">
                  <c:v>81.404458075789464</c:v>
                </c:pt>
                <c:pt idx="32">
                  <c:v>81.72025088262636</c:v>
                </c:pt>
                <c:pt idx="33">
                  <c:v>82.019817867502468</c:v>
                </c:pt>
                <c:pt idx="34">
                  <c:v>82.304401916272226</c:v>
                </c:pt>
                <c:pt idx="35">
                  <c:v>82.575120941926045</c:v>
                </c:pt>
                <c:pt idx="36">
                  <c:v>82.832983291517138</c:v>
                </c:pt>
                <c:pt idx="37">
                  <c:v>83.078900920688241</c:v>
                </c:pt>
                <c:pt idx="38">
                  <c:v>83.313700705209953</c:v>
                </c:pt>
                <c:pt idx="39">
                  <c:v>83.538134190564108</c:v>
                </c:pt>
                <c:pt idx="40">
                  <c:v>83.752886026164646</c:v>
                </c:pt>
                <c:pt idx="41">
                  <c:v>83.958581287214926</c:v>
                </c:pt>
                <c:pt idx="42">
                  <c:v>84.155791852102368</c:v>
                </c:pt>
                <c:pt idx="43">
                  <c:v>84.345041974825193</c:v>
                </c:pt>
                <c:pt idx="44">
                  <c:v>84.526813168842736</c:v>
                </c:pt>
                <c:pt idx="45">
                  <c:v>84.701548499861048</c:v>
                </c:pt>
                <c:pt idx="46">
                  <c:v>84.869656369567167</c:v>
                </c:pt>
                <c:pt idx="47">
                  <c:v>85.03151385954915</c:v>
                </c:pt>
                <c:pt idx="48">
                  <c:v>85.187469694061065</c:v>
                </c:pt>
                <c:pt idx="49">
                  <c:v>85.337846871502109</c:v>
                </c:pt>
                <c:pt idx="50">
                  <c:v>85.482945007144664</c:v>
                </c:pt>
                <c:pt idx="51">
                  <c:v>85.623042423506021</c:v>
                </c:pt>
                <c:pt idx="52">
                  <c:v>85.758398019598332</c:v>
                </c:pt>
                <c:pt idx="53">
                  <c:v>85.889252945942133</c:v>
                </c:pt>
                <c:pt idx="54">
                  <c:v>86.015832108549418</c:v>
                </c:pt>
                <c:pt idx="55">
                  <c:v>86.138345521961043</c:v>
                </c:pt>
                <c:pt idx="56">
                  <c:v>86.256989528767051</c:v>
                </c:pt>
                <c:pt idx="57">
                  <c:v>86.371947900771701</c:v>
                </c:pt>
                <c:pt idx="58">
                  <c:v>86.483392835024929</c:v>
                </c:pt>
                <c:pt idx="59">
                  <c:v>86.591485856277643</c:v>
                </c:pt>
                <c:pt idx="60">
                  <c:v>86.696378635985099</c:v>
                </c:pt>
                <c:pt idx="61">
                  <c:v>86.798213736748622</c:v>
                </c:pt>
                <c:pt idx="62">
                  <c:v>86.89712529001676</c:v>
                </c:pt>
                <c:pt idx="63">
                  <c:v>86.99323961394181</c:v>
                </c:pt>
                <c:pt idx="64">
                  <c:v>87.086675777483691</c:v>
                </c:pt>
                <c:pt idx="65">
                  <c:v>87.177546116153266</c:v>
                </c:pt>
                <c:pt idx="66">
                  <c:v>87.265956704176091</c:v>
                </c:pt>
                <c:pt idx="67">
                  <c:v>87.352007787324894</c:v>
                </c:pt>
                <c:pt idx="68">
                  <c:v>87.435794180200105</c:v>
                </c:pt>
                <c:pt idx="69">
                  <c:v>87.517405631328714</c:v>
                </c:pt>
                <c:pt idx="70">
                  <c:v>87.596927159090015</c:v>
                </c:pt>
                <c:pt idx="71">
                  <c:v>87.674439361159372</c:v>
                </c:pt>
                <c:pt idx="72">
                  <c:v>87.750018699880272</c:v>
                </c:pt>
                <c:pt idx="73">
                  <c:v>87.823737765727202</c:v>
                </c:pt>
                <c:pt idx="74">
                  <c:v>87.895665520802297</c:v>
                </c:pt>
                <c:pt idx="75">
                  <c:v>87.965867524113392</c:v>
                </c:pt>
                <c:pt idx="76">
                  <c:v>88.034406140208731</c:v>
                </c:pt>
                <c:pt idx="77">
                  <c:v>88.10134073258908</c:v>
                </c:pt>
                <c:pt idx="78">
                  <c:v>88.166727843181064</c:v>
                </c:pt>
                <c:pt idx="79">
                  <c:v>88.230621359032767</c:v>
                </c:pt>
                <c:pt idx="80">
                  <c:v>88.293072667283397</c:v>
                </c:pt>
                <c:pt idx="81">
                  <c:v>88.354130799360831</c:v>
                </c:pt>
                <c:pt idx="82">
                  <c:v>88.413842565272887</c:v>
                </c:pt>
                <c:pt idx="83">
                  <c:v>88.472252678779483</c:v>
                </c:pt>
                <c:pt idx="84">
                  <c:v>88.529403874161943</c:v>
                </c:pt>
                <c:pt idx="85">
                  <c:v>88.585337015242189</c:v>
                </c:pt>
                <c:pt idx="86">
                  <c:v>88.640091197246946</c:v>
                </c:pt>
                <c:pt idx="87">
                  <c:v>88.693703842060188</c:v>
                </c:pt>
                <c:pt idx="88">
                  <c:v>88.746210787360823</c:v>
                </c:pt>
                <c:pt idx="89">
                  <c:v>88.797646370099727</c:v>
                </c:pt>
                <c:pt idx="90">
                  <c:v>88.848043504732416</c:v>
                </c:pt>
                <c:pt idx="91">
                  <c:v>88.897433756588782</c:v>
                </c:pt>
                <c:pt idx="92">
                  <c:v>88.94584741072984</c:v>
                </c:pt>
                <c:pt idx="93">
                  <c:v>88.993313536613044</c:v>
                </c:pt>
                <c:pt idx="94">
                  <c:v>89.039860048861598</c:v>
                </c:pt>
                <c:pt idx="95">
                  <c:v>89.085513764409725</c:v>
                </c:pt>
                <c:pt idx="96">
                  <c:v>89.130300456274142</c:v>
                </c:pt>
                <c:pt idx="97">
                  <c:v>89.174244904182586</c:v>
                </c:pt>
                <c:pt idx="98">
                  <c:v>89.217370942272339</c:v>
                </c:pt>
                <c:pt idx="99">
                  <c:v>89.259701504054846</c:v>
                </c:pt>
                <c:pt idx="100">
                  <c:v>89.30125866482868</c:v>
                </c:pt>
                <c:pt idx="101">
                  <c:v>89.34206368170797</c:v>
                </c:pt>
                <c:pt idx="102">
                  <c:v>89.382137031422189</c:v>
                </c:pt>
                <c:pt idx="103">
                  <c:v>89.421498446030938</c:v>
                </c:pt>
                <c:pt idx="104">
                  <c:v>89.460166946687039</c:v>
                </c:pt>
                <c:pt idx="105">
                  <c:v>89.498160875571685</c:v>
                </c:pt>
                <c:pt idx="106">
                  <c:v>89.535497926116363</c:v>
                </c:pt>
                <c:pt idx="107">
                  <c:v>89.572195171618077</c:v>
                </c:pt>
                <c:pt idx="108">
                  <c:v>89.608269092346973</c:v>
                </c:pt>
                <c:pt idx="109">
                  <c:v>89.643735601238532</c:v>
                </c:pt>
                <c:pt idx="110">
                  <c:v>89.678610068255992</c:v>
                </c:pt>
                <c:pt idx="111">
                  <c:v>89.712907343502906</c:v>
                </c:pt>
                <c:pt idx="112">
                  <c:v>89.746641779160058</c:v>
                </c:pt>
                <c:pt idx="113">
                  <c:v>89.77982725031643</c:v>
                </c:pt>
                <c:pt idx="114">
                  <c:v>89.812477174758456</c:v>
                </c:pt>
                <c:pt idx="115">
                  <c:v>89.8446045317786</c:v>
                </c:pt>
                <c:pt idx="116">
                  <c:v>89.876221880059035</c:v>
                </c:pt>
                <c:pt idx="117">
                  <c:v>89.907341374683682</c:v>
                </c:pt>
                <c:pt idx="118">
                  <c:v>89.937974783327661</c:v>
                </c:pt>
                <c:pt idx="119">
                  <c:v>89.968133501670451</c:v>
                </c:pt>
                <c:pt idx="120">
                  <c:v>89.997828568075789</c:v>
                </c:pt>
                <c:pt idx="121">
                  <c:v>90.027070677579061</c:v>
                </c:pt>
                <c:pt idx="122">
                  <c:v>90.055870195219967</c:v>
                </c:pt>
                <c:pt idx="123">
                  <c:v>90.084237168755891</c:v>
                </c:pt>
                <c:pt idx="124">
                  <c:v>90.11218134078976</c:v>
                </c:pt>
                <c:pt idx="125">
                  <c:v>90.139712160343294</c:v>
                </c:pt>
                <c:pt idx="126">
                  <c:v>90.166838793905413</c:v>
                </c:pt>
                <c:pt idx="127">
                  <c:v>90.193570135983165</c:v>
                </c:pt>
                <c:pt idx="128">
                  <c:v>90.219914819181525</c:v>
                </c:pt>
                <c:pt idx="129">
                  <c:v>90.245881223836179</c:v>
                </c:pt>
                <c:pt idx="130">
                  <c:v>90.271477487222455</c:v>
                </c:pt>
                <c:pt idx="131">
                  <c:v>90.296711512362165</c:v>
                </c:pt>
                <c:pt idx="132">
                  <c:v>90.321590976448434</c:v>
                </c:pt>
                <c:pt idx="133">
                  <c:v>90.346123338908328</c:v>
                </c:pt>
                <c:pt idx="134">
                  <c:v>90.370315849120573</c:v>
                </c:pt>
                <c:pt idx="135">
                  <c:v>90.394175553806463</c:v>
                </c:pt>
                <c:pt idx="136">
                  <c:v>90.417709304109096</c:v>
                </c:pt>
                <c:pt idx="137">
                  <c:v>90.440923762376883</c:v>
                </c:pt>
                <c:pt idx="138">
                  <c:v>90.463825408665429</c:v>
                </c:pt>
                <c:pt idx="139">
                  <c:v>90.486420546971303</c:v>
                </c:pt>
                <c:pt idx="140">
                  <c:v>90.50871531121075</c:v>
                </c:pt>
                <c:pt idx="141">
                  <c:v>90.530715670955303</c:v>
                </c:pt>
                <c:pt idx="142">
                  <c:v>90.552427436935858</c:v>
                </c:pt>
                <c:pt idx="143">
                  <c:v>90.57385626632599</c:v>
                </c:pt>
                <c:pt idx="144">
                  <c:v>90.595007667815025</c:v>
                </c:pt>
                <c:pt idx="145">
                  <c:v>90.61588700648025</c:v>
                </c:pt>
                <c:pt idx="146">
                  <c:v>90.636499508467949</c:v>
                </c:pt>
                <c:pt idx="147">
                  <c:v>90.656850265491485</c:v>
                </c:pt>
                <c:pt idx="148">
                  <c:v>90.676944239155048</c:v>
                </c:pt>
                <c:pt idx="149">
                  <c:v>90.696786265111015</c:v>
                </c:pt>
                <c:pt idx="150">
                  <c:v>90.716381057058115</c:v>
                </c:pt>
              </c:numCache>
            </c:numRef>
          </c:yVal>
          <c:smooth val="0"/>
          <c:extLst>
            <c:ext xmlns:c16="http://schemas.microsoft.com/office/drawing/2014/chart" uri="{C3380CC4-5D6E-409C-BE32-E72D297353CC}">
              <c16:uniqueId val="{00000000-9977-4FA8-9358-1BE425CE3F05}"/>
            </c:ext>
          </c:extLst>
        </c:ser>
        <c:dLbls>
          <c:showLegendKey val="0"/>
          <c:showVal val="0"/>
          <c:showCatName val="0"/>
          <c:showSerName val="0"/>
          <c:showPercent val="0"/>
          <c:showBubbleSize val="0"/>
        </c:dLbls>
        <c:axId val="583325184"/>
        <c:axId val="583326720"/>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Eff_vs_IOUT!$AJ$7:$AJ$157</c:f>
              <c:numCache>
                <c:formatCode>General</c:formatCode>
                <c:ptCount val="151"/>
                <c:pt idx="0">
                  <c:v>0</c:v>
                </c:pt>
                <c:pt idx="1">
                  <c:v>6.8139988440205732E-2</c:v>
                </c:pt>
                <c:pt idx="2">
                  <c:v>9.6425075006918312E-2</c:v>
                </c:pt>
                <c:pt idx="3">
                  <c:v>0.11817031017095275</c:v>
                </c:pt>
                <c:pt idx="4">
                  <c:v>0.13653699272205774</c:v>
                </c:pt>
                <c:pt idx="5">
                  <c:v>0.15274878273382678</c:v>
                </c:pt>
                <c:pt idx="6">
                  <c:v>0.16743283414751936</c:v>
                </c:pt>
                <c:pt idx="7">
                  <c:v>0.18096146375160038</c:v>
                </c:pt>
                <c:pt idx="8">
                  <c:v>0.19357710059183841</c:v>
                </c:pt>
                <c:pt idx="9">
                  <c:v>0.20544802868720224</c:v>
                </c:pt>
                <c:pt idx="10">
                  <c:v>0.21669669639011521</c:v>
                </c:pt>
                <c:pt idx="11">
                  <c:v>0.2274154833951802</c:v>
                </c:pt>
                <c:pt idx="12">
                  <c:v>0.23767611383014978</c:v>
                </c:pt>
                <c:pt idx="13">
                  <c:v>0.24753558982200957</c:v>
                </c:pt>
                <c:pt idx="14">
                  <c:v>0.25704009906388309</c:v>
                </c:pt>
                <c:pt idx="15">
                  <c:v>0.26622768261330015</c:v>
                </c:pt>
                <c:pt idx="16">
                  <c:v>0.27513011217728567</c:v>
                </c:pt>
                <c:pt idx="17">
                  <c:v>0.28377424556750691</c:v>
                </c:pt>
                <c:pt idx="18">
                  <c:v>0.29218302733276219</c:v>
                </c:pt>
                <c:pt idx="19">
                  <c:v>0.30037624186676198</c:v>
                </c:pt>
                <c:pt idx="20">
                  <c:v>0.30837108993373052</c:v>
                </c:pt>
                <c:pt idx="21">
                  <c:v>0.3161826367111481</c:v>
                </c:pt>
                <c:pt idx="22">
                  <c:v>0.32382416469376413</c:v>
                </c:pt>
                <c:pt idx="23">
                  <c:v>0.33130745503601544</c:v>
                </c:pt>
                <c:pt idx="24">
                  <c:v>0.33864301430211075</c:v>
                </c:pt>
                <c:pt idx="25">
                  <c:v>0.34584025903395404</c:v>
                </c:pt>
                <c:pt idx="26">
                  <c:v>0.35290766734533252</c:v>
                </c:pt>
                <c:pt idx="27">
                  <c:v>0.35985290446583534</c:v>
                </c:pt>
                <c:pt idx="28">
                  <c:v>0.36668292750320075</c:v>
                </c:pt>
                <c:pt idx="29">
                  <c:v>0.37340407347819238</c:v>
                </c:pt>
                <c:pt idx="30">
                  <c:v>0.38002213378353489</c:v>
                </c:pt>
                <c:pt idx="31">
                  <c:v>0.3865424175400316</c:v>
                </c:pt>
                <c:pt idx="32">
                  <c:v>0.3929698058076912</c:v>
                </c:pt>
                <c:pt idx="33">
                  <c:v>0.39930879821441734</c:v>
                </c:pt>
                <c:pt idx="34">
                  <c:v>0.4055635532588438</c:v>
                </c:pt>
                <c:pt idx="35">
                  <c:v>0.41173792330504178</c:v>
                </c:pt>
                <c:pt idx="36">
                  <c:v>0.41783548509885393</c:v>
                </c:pt>
                <c:pt idx="37">
                  <c:v>0.42385956648659129</c:v>
                </c:pt>
                <c:pt idx="38">
                  <c:v>0.42981326989786145</c:v>
                </c:pt>
                <c:pt idx="39">
                  <c:v>0.43569949305867989</c:v>
                </c:pt>
                <c:pt idx="40">
                  <c:v>0.44152094732370428</c:v>
                </c:pt>
                <c:pt idx="41">
                  <c:v>0.44728017395353842</c:v>
                </c:pt>
                <c:pt idx="42">
                  <c:v>0.45297955861161482</c:v>
                </c:pt>
                <c:pt idx="43">
                  <c:v>0.45862134431286827</c:v>
                </c:pt>
                <c:pt idx="44">
                  <c:v>0.46420764302145939</c:v>
                </c:pt>
                <c:pt idx="45">
                  <c:v>0.4697404460657883</c:v>
                </c:pt>
                <c:pt idx="46">
                  <c:v>0.47522163351483421</c:v>
                </c:pt>
                <c:pt idx="47">
                  <c:v>0.48065298263958339</c:v>
                </c:pt>
                <c:pt idx="48">
                  <c:v>0.48603617556625373</c:v>
                </c:pt>
                <c:pt idx="49">
                  <c:v>0.49137280621363144</c:v>
                </c:pt>
                <c:pt idx="50">
                  <c:v>0.49666438659462753</c:v>
                </c:pt>
                <c:pt idx="51">
                  <c:v>0.50191235255178768</c:v>
                </c:pt>
                <c:pt idx="52">
                  <c:v>0.50711806898762735</c:v>
                </c:pt>
                <c:pt idx="53">
                  <c:v>0.51228283464308211</c:v>
                </c:pt>
                <c:pt idx="54">
                  <c:v>0.51740788647084601</c:v>
                </c:pt>
                <c:pt idx="55">
                  <c:v>0.52249440364475996</c:v>
                </c:pt>
                <c:pt idx="56">
                  <c:v>0.52754351124155807</c:v>
                </c:pt>
                <c:pt idx="57">
                  <c:v>0.53255628362708007</c:v>
                </c:pt>
                <c:pt idx="58">
                  <c:v>0.53753374757540784</c:v>
                </c:pt>
                <c:pt idx="59">
                  <c:v>0.54247688514619841</c:v>
                </c:pt>
                <c:pt idx="60">
                  <c:v>0.5473866363427129</c:v>
                </c:pt>
                <c:pt idx="61">
                  <c:v>0.5522639015706069</c:v>
                </c:pt>
                <c:pt idx="62">
                  <c:v>0.55710954391541712</c:v>
                </c:pt>
                <c:pt idx="63">
                  <c:v>0.56192439125480098</c:v>
                </c:pt>
                <c:pt idx="64">
                  <c:v>0.56670923821993291</c:v>
                </c:pt>
                <c:pt idx="65">
                  <c:v>0.57146484801900255</c:v>
                </c:pt>
                <c:pt idx="66">
                  <c:v>0.57619195413446844</c:v>
                </c:pt>
                <c:pt idx="67">
                  <c:v>0.58089126190457374</c:v>
                </c:pt>
                <c:pt idx="68">
                  <c:v>0.58556344999861221</c:v>
                </c:pt>
                <c:pt idx="69">
                  <c:v>0.59020917179453303</c:v>
                </c:pt>
                <c:pt idx="70">
                  <c:v>0.59482905666665797</c:v>
                </c:pt>
                <c:pt idx="71">
                  <c:v>0.59942371119056803</c:v>
                </c:pt>
                <c:pt idx="72">
                  <c:v>0.60399372027157283</c:v>
                </c:pt>
                <c:pt idx="73">
                  <c:v>0.60853964820259154</c:v>
                </c:pt>
                <c:pt idx="74">
                  <c:v>0.61306203965676587</c:v>
                </c:pt>
                <c:pt idx="75">
                  <c:v>0.61756142061964936</c:v>
                </c:pt>
                <c:pt idx="76">
                  <c:v>0.62203829926540199</c:v>
                </c:pt>
                <c:pt idx="77">
                  <c:v>0.62649316678104394</c:v>
                </c:pt>
                <c:pt idx="78">
                  <c:v>0.63092649814247348</c:v>
                </c:pt>
                <c:pt idx="79">
                  <c:v>0.63533875284565233</c:v>
                </c:pt>
                <c:pt idx="80">
                  <c:v>0.63973037559607671</c:v>
                </c:pt>
                <c:pt idx="81">
                  <c:v>0.64410179695940439</c:v>
                </c:pt>
                <c:pt idx="82">
                  <c:v>0.64845343397587318</c:v>
                </c:pt>
                <c:pt idx="83">
                  <c:v>0.65278569074093995</c:v>
                </c:pt>
                <c:pt idx="84">
                  <c:v>0.65709895895437975</c:v>
                </c:pt>
                <c:pt idx="85">
                  <c:v>0.6613936184399094</c:v>
                </c:pt>
                <c:pt idx="86">
                  <c:v>0.66567003763724431</c:v>
                </c:pt>
                <c:pt idx="87">
                  <c:v>0.6699285740683516</c:v>
                </c:pt>
                <c:pt idx="88">
                  <c:v>0.67416957477953154</c:v>
                </c:pt>
                <c:pt idx="89">
                  <c:v>0.678393376760838</c:v>
                </c:pt>
                <c:pt idx="90">
                  <c:v>0.68260030734424126</c:v>
                </c:pt>
                <c:pt idx="91">
                  <c:v>0.68679068458183024</c:v>
                </c:pt>
                <c:pt idx="92">
                  <c:v>0.69096481760526385</c:v>
                </c:pt>
                <c:pt idx="93">
                  <c:v>0.69512300696759088</c:v>
                </c:pt>
                <c:pt idx="94">
                  <c:v>0.69926554496848559</c:v>
                </c:pt>
                <c:pt idx="95">
                  <c:v>0.70339271596386477</c:v>
                </c:pt>
                <c:pt idx="96">
                  <c:v>0.70750479666079757</c:v>
                </c:pt>
                <c:pt idx="97">
                  <c:v>0.71160205639854612</c:v>
                </c:pt>
                <c:pt idx="98">
                  <c:v>0.71568475741652882</c:v>
                </c:pt>
                <c:pt idx="99">
                  <c:v>0.71975315510993654</c:v>
                </c:pt>
                <c:pt idx="100">
                  <c:v>0.7238074982736924</c:v>
                </c:pt>
                <c:pt idx="101">
                  <c:v>0.7278480293353955</c:v>
                </c:pt>
                <c:pt idx="102">
                  <c:v>0.73187498457784705</c:v>
                </c:pt>
                <c:pt idx="103">
                  <c:v>0.73588859435172738</c:v>
                </c:pt>
                <c:pt idx="104">
                  <c:v>0.73988908327894254</c:v>
                </c:pt>
                <c:pt idx="105">
                  <c:v>0.74387667044714223</c:v>
                </c:pt>
                <c:pt idx="106">
                  <c:v>0.74785156959586707</c:v>
                </c:pt>
                <c:pt idx="107">
                  <c:v>0.75181398929476217</c:v>
                </c:pt>
                <c:pt idx="108">
                  <c:v>0.75576413311426616</c:v>
                </c:pt>
                <c:pt idx="109">
                  <c:v>0.75970219978915843</c:v>
                </c:pt>
                <c:pt idx="110">
                  <c:v>0.76362838337532546</c:v>
                </c:pt>
                <c:pt idx="111">
                  <c:v>0.76754287340008709</c:v>
                </c:pt>
                <c:pt idx="112">
                  <c:v>0.7714458550064015</c:v>
                </c:pt>
                <c:pt idx="113">
                  <c:v>0.7753375090912491</c:v>
                </c:pt>
                <c:pt idx="114">
                  <c:v>0.7792180124384841</c:v>
                </c:pt>
                <c:pt idx="115">
                  <c:v>0.7830875378464135</c:v>
                </c:pt>
                <c:pt idx="116">
                  <c:v>0.78694625425036235</c:v>
                </c:pt>
                <c:pt idx="117">
                  <c:v>0.79079432684046191</c:v>
                </c:pt>
                <c:pt idx="118">
                  <c:v>0.79463191717488368</c:v>
                </c:pt>
                <c:pt idx="119">
                  <c:v>0.79845918328873633</c:v>
                </c:pt>
                <c:pt idx="120">
                  <c:v>0.80227627979882188</c:v>
                </c:pt>
                <c:pt idx="121">
                  <c:v>0.80608335800444342</c:v>
                </c:pt>
                <c:pt idx="122">
                  <c:v>0.80988056598444558</c:v>
                </c:pt>
                <c:pt idx="123">
                  <c:v>0.81366804869065601</c:v>
                </c:pt>
                <c:pt idx="124">
                  <c:v>0.81744594803789083</c:v>
                </c:pt>
                <c:pt idx="125">
                  <c:v>0.82121440299067305</c:v>
                </c:pt>
                <c:pt idx="126">
                  <c:v>0.82497354964681657</c:v>
                </c:pt>
                <c:pt idx="127">
                  <c:v>0.82872352131800453</c:v>
                </c:pt>
                <c:pt idx="128">
                  <c:v>0.83246444860749724</c:v>
                </c:pt>
                <c:pt idx="129">
                  <c:v>0.83619645948509458</c:v>
                </c:pt>
                <c:pt idx="130">
                  <c:v>0.83991967935946377</c:v>
                </c:pt>
                <c:pt idx="131">
                  <c:v>0.84363423114795422</c:v>
                </c:pt>
                <c:pt idx="132">
                  <c:v>0.8473402353439955</c:v>
                </c:pt>
                <c:pt idx="133">
                  <c:v>0.85103781008218549</c:v>
                </c:pt>
                <c:pt idx="134">
                  <c:v>0.85472707120116187</c:v>
                </c:pt>
                <c:pt idx="135">
                  <c:v>0.85840813230435087</c:v>
                </c:pt>
                <c:pt idx="136">
                  <c:v>0.86208110481867606</c:v>
                </c:pt>
                <c:pt idx="137">
                  <c:v>0.86574609805131431</c:v>
                </c:pt>
                <c:pt idx="138">
                  <c:v>0.86940321924457331</c:v>
                </c:pt>
                <c:pt idx="139">
                  <c:v>0.87305257362897026</c:v>
                </c:pt>
                <c:pt idx="140">
                  <c:v>0.87669426447457854</c:v>
                </c:pt>
                <c:pt idx="141">
                  <c:v>0.88032839314071465</c:v>
                </c:pt>
                <c:pt idx="142">
                  <c:v>0.88395505912402772</c:v>
                </c:pt>
                <c:pt idx="143">
                  <c:v>0.88757436010505519</c:v>
                </c:pt>
                <c:pt idx="144">
                  <c:v>0.89118639199330318</c:v>
                </c:pt>
                <c:pt idx="145">
                  <c:v>0.89479124897090712</c:v>
                </c:pt>
                <c:pt idx="146">
                  <c:v>0.89838902353493111</c:v>
                </c:pt>
                <c:pt idx="147">
                  <c:v>0.90197980653834864</c:v>
                </c:pt>
                <c:pt idx="148">
                  <c:v>0.90556368722976632</c:v>
                </c:pt>
                <c:pt idx="149">
                  <c:v>0.90914075329192579</c:v>
                </c:pt>
                <c:pt idx="150">
                  <c:v>0.9127110908790369</c:v>
                </c:pt>
              </c:numCache>
            </c:numRef>
          </c:yVal>
          <c:smooth val="1"/>
          <c:extLst>
            <c:ext xmlns:c16="http://schemas.microsoft.com/office/drawing/2014/chart" uri="{C3380CC4-5D6E-409C-BE32-E72D297353CC}">
              <c16:uniqueId val="{00000001-9977-4FA8-9358-1BE425CE3F05}"/>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Eff_vs_IOUT!$BU$7:$BU$157</c:f>
              <c:numCache>
                <c:formatCode>General</c:formatCode>
                <c:ptCount val="151"/>
                <c:pt idx="0">
                  <c:v>0</c:v>
                </c:pt>
                <c:pt idx="1">
                  <c:v>1.8898223650461362E-5</c:v>
                </c:pt>
                <c:pt idx="2">
                  <c:v>5.345224838248487E-5</c:v>
                </c:pt>
                <c:pt idx="3">
                  <c:v>9.8198050606196531E-5</c:v>
                </c:pt>
                <c:pt idx="4">
                  <c:v>1.5118578920369087E-4</c:v>
                </c:pt>
                <c:pt idx="5">
                  <c:v>2.1128856368212912E-4</c:v>
                </c:pt>
                <c:pt idx="6">
                  <c:v>2.7774602993176539E-4</c:v>
                </c:pt>
                <c:pt idx="7">
                  <c:v>3.4999999999999994E-4</c:v>
                </c:pt>
                <c:pt idx="8">
                  <c:v>4.2761798705987913E-4</c:v>
                </c:pt>
                <c:pt idx="9">
                  <c:v>5.1025203856245682E-4</c:v>
                </c:pt>
                <c:pt idx="10">
                  <c:v>5.9761430466719653E-4</c:v>
                </c:pt>
                <c:pt idx="11">
                  <c:v>6.8946148758080954E-4</c:v>
                </c:pt>
                <c:pt idx="12">
                  <c:v>7.8558440484957246E-4</c:v>
                </c:pt>
                <c:pt idx="13">
                  <c:v>8.8580068703002083E-4</c:v>
                </c:pt>
                <c:pt idx="14">
                  <c:v>9.899494936611668E-4</c:v>
                </c:pt>
                <c:pt idx="15">
                  <c:v>1.0978875820671001E-3</c:v>
                </c:pt>
                <c:pt idx="16">
                  <c:v>1.2094863136295271E-3</c:v>
                </c:pt>
                <c:pt idx="17">
                  <c:v>1.3246293282057652E-3</c:v>
                </c:pt>
                <c:pt idx="18">
                  <c:v>1.4432107063270915E-3</c:v>
                </c:pt>
                <c:pt idx="19">
                  <c:v>1.5651334949910365E-3</c:v>
                </c:pt>
                <c:pt idx="20">
                  <c:v>1.6903085094570325E-3</c:v>
                </c:pt>
                <c:pt idx="21">
                  <c:v>1.8186533479473208E-3</c:v>
                </c:pt>
                <c:pt idx="22">
                  <c:v>1.9500915729414206E-3</c:v>
                </c:pt>
                <c:pt idx="23">
                  <c:v>2.0845520245024209E-3</c:v>
                </c:pt>
                <c:pt idx="24">
                  <c:v>2.2219682394541231E-3</c:v>
                </c:pt>
                <c:pt idx="25">
                  <c:v>2.3622779563076696E-3</c:v>
                </c:pt>
                <c:pt idx="26">
                  <c:v>2.5054226903145215E-3</c:v>
                </c:pt>
                <c:pt idx="27">
                  <c:v>2.6513473663673077E-3</c:v>
                </c:pt>
                <c:pt idx="28">
                  <c:v>2.7999999999999995E-3</c:v>
                </c:pt>
                <c:pt idx="29">
                  <c:v>2.9513314186748237E-3</c:v>
                </c:pt>
                <c:pt idx="30">
                  <c:v>3.1052950170405939E-3</c:v>
                </c:pt>
                <c:pt idx="31">
                  <c:v>3.261846541016738E-3</c:v>
                </c:pt>
                <c:pt idx="32">
                  <c:v>3.4209438964790317E-3</c:v>
                </c:pt>
                <c:pt idx="33">
                  <c:v>3.5825469790559425E-3</c:v>
                </c:pt>
                <c:pt idx="34">
                  <c:v>3.7466175221315093E-3</c:v>
                </c:pt>
                <c:pt idx="35">
                  <c:v>3.9131189606246312E-3</c:v>
                </c:pt>
                <c:pt idx="36">
                  <c:v>4.0820163084996537E-3</c:v>
                </c:pt>
                <c:pt idx="37">
                  <c:v>4.2532760482782142E-3</c:v>
                </c:pt>
                <c:pt idx="38">
                  <c:v>4.426866031081454E-3</c:v>
                </c:pt>
                <c:pt idx="39">
                  <c:v>4.6027553859462429E-3</c:v>
                </c:pt>
                <c:pt idx="40">
                  <c:v>4.780914437337574E-3</c:v>
                </c:pt>
                <c:pt idx="41">
                  <c:v>4.9613146299285283E-3</c:v>
                </c:pt>
                <c:pt idx="42">
                  <c:v>5.1439284598446744E-3</c:v>
                </c:pt>
                <c:pt idx="43">
                  <c:v>5.3287294116756527E-3</c:v>
                </c:pt>
                <c:pt idx="44">
                  <c:v>5.5156919006464763E-3</c:v>
                </c:pt>
                <c:pt idx="45">
                  <c:v>5.7047912194174875E-3</c:v>
                </c:pt>
                <c:pt idx="46">
                  <c:v>5.896003489047231E-3</c:v>
                </c:pt>
                <c:pt idx="47">
                  <c:v>6.0893056137085828E-3</c:v>
                </c:pt>
                <c:pt idx="48">
                  <c:v>6.284675238796578E-3</c:v>
                </c:pt>
                <c:pt idx="49">
                  <c:v>6.4820907121082467E-3</c:v>
                </c:pt>
                <c:pt idx="50">
                  <c:v>6.681531047810608E-3</c:v>
                </c:pt>
                <c:pt idx="51">
                  <c:v>6.8829758929446466E-3</c:v>
                </c:pt>
                <c:pt idx="52">
                  <c:v>7.0864054962401675E-3</c:v>
                </c:pt>
                <c:pt idx="53">
                  <c:v>7.291800679040613E-3</c:v>
                </c:pt>
                <c:pt idx="54">
                  <c:v>7.4991428081576652E-3</c:v>
                </c:pt>
                <c:pt idx="55">
                  <c:v>7.7084137704940877E-3</c:v>
                </c:pt>
                <c:pt idx="56">
                  <c:v>7.9195959492893309E-3</c:v>
                </c:pt>
                <c:pt idx="57">
                  <c:v>8.1326722018569726E-3</c:v>
                </c:pt>
                <c:pt idx="58">
                  <c:v>8.3476258386955219E-3</c:v>
                </c:pt>
                <c:pt idx="59">
                  <c:v>8.5644406038656654E-3</c:v>
                </c:pt>
                <c:pt idx="60">
                  <c:v>8.7831006565368009E-3</c:v>
                </c:pt>
                <c:pt idx="61">
                  <c:v>9.0035905536148646E-3</c:v>
                </c:pt>
                <c:pt idx="62">
                  <c:v>9.2258952333712767E-3</c:v>
                </c:pt>
                <c:pt idx="63">
                  <c:v>9.4499999999999983E-3</c:v>
                </c:pt>
                <c:pt idx="64">
                  <c:v>9.6758905090362154E-3</c:v>
                </c:pt>
                <c:pt idx="65">
                  <c:v>9.9035527535757169E-3</c:v>
                </c:pt>
                <c:pt idx="66">
                  <c:v>1.0132973051239346E-2</c:v>
                </c:pt>
                <c:pt idx="67">
                  <c:v>1.0364138031831551E-2</c:v>
                </c:pt>
                <c:pt idx="68">
                  <c:v>1.0597034625646122E-2</c:v>
                </c:pt>
                <c:pt idx="69">
                  <c:v>1.0831650052376272E-2</c:v>
                </c:pt>
                <c:pt idx="70">
                  <c:v>1.1067971810589326E-2</c:v>
                </c:pt>
                <c:pt idx="71">
                  <c:v>1.130598766772975E-2</c:v>
                </c:pt>
                <c:pt idx="72">
                  <c:v>1.1545685650616736E-2</c:v>
                </c:pt>
                <c:pt idx="73">
                  <c:v>1.1787054036405488E-2</c:v>
                </c:pt>
                <c:pt idx="74">
                  <c:v>1.2030081343983388E-2</c:v>
                </c:pt>
                <c:pt idx="75">
                  <c:v>1.2274756325774575E-2</c:v>
                </c:pt>
                <c:pt idx="76">
                  <c:v>1.2521067959928292E-2</c:v>
                </c:pt>
                <c:pt idx="77">
                  <c:v>1.2769005442868291E-2</c:v>
                </c:pt>
                <c:pt idx="78">
                  <c:v>1.301855818218197E-2</c:v>
                </c:pt>
                <c:pt idx="79">
                  <c:v>1.3269715789829753E-2</c:v>
                </c:pt>
                <c:pt idx="80">
                  <c:v>1.3522468075656264E-2</c:v>
                </c:pt>
                <c:pt idx="81">
                  <c:v>1.3776805041186332E-2</c:v>
                </c:pt>
                <c:pt idx="82">
                  <c:v>1.4032716873689956E-2</c:v>
                </c:pt>
                <c:pt idx="83">
                  <c:v>1.4290193940501399E-2</c:v>
                </c:pt>
                <c:pt idx="84">
                  <c:v>1.4549226783578565E-2</c:v>
                </c:pt>
                <c:pt idx="85">
                  <c:v>1.4809806114289854E-2</c:v>
                </c:pt>
                <c:pt idx="86">
                  <c:v>1.5071922808416223E-2</c:v>
                </c:pt>
                <c:pt idx="87">
                  <c:v>1.5335567901357386E-2</c:v>
                </c:pt>
                <c:pt idx="88">
                  <c:v>1.5600732583531365E-2</c:v>
                </c:pt>
                <c:pt idx="89">
                  <c:v>1.5867408195957607E-2</c:v>
                </c:pt>
                <c:pt idx="90">
                  <c:v>1.6135586226014319E-2</c:v>
                </c:pt>
                <c:pt idx="91">
                  <c:v>1.6405258303361155E-2</c:v>
                </c:pt>
                <c:pt idx="92">
                  <c:v>1.6676416196019367E-2</c:v>
                </c:pt>
                <c:pt idx="93">
                  <c:v>1.6949051806601369E-2</c:v>
                </c:pt>
                <c:pt idx="94">
                  <c:v>1.7223157168682598E-2</c:v>
                </c:pt>
                <c:pt idx="95">
                  <c:v>1.7498724443308914E-2</c:v>
                </c:pt>
                <c:pt idx="96">
                  <c:v>1.7775745915632985E-2</c:v>
                </c:pt>
                <c:pt idx="97">
                  <c:v>1.8054213991673604E-2</c:v>
                </c:pt>
                <c:pt idx="98">
                  <c:v>1.8334121195192312E-2</c:v>
                </c:pt>
                <c:pt idx="99">
                  <c:v>1.8615460164681852E-2</c:v>
                </c:pt>
                <c:pt idx="100">
                  <c:v>1.8898223650461361E-2</c:v>
                </c:pt>
                <c:pt idx="101">
                  <c:v>1.9182404511873443E-2</c:v>
                </c:pt>
                <c:pt idx="102">
                  <c:v>1.9467995714578759E-2</c:v>
                </c:pt>
                <c:pt idx="103">
                  <c:v>1.975499032794354E-2</c:v>
                </c:pt>
                <c:pt idx="104">
                  <c:v>2.0043381522516172E-2</c:v>
                </c:pt>
                <c:pt idx="105">
                  <c:v>2.0333162567588943E-2</c:v>
                </c:pt>
                <c:pt idx="106">
                  <c:v>2.0624326828841157E-2</c:v>
                </c:pt>
                <c:pt idx="107">
                  <c:v>2.0916867766060412E-2</c:v>
                </c:pt>
                <c:pt idx="108">
                  <c:v>2.1210778930938458E-2</c:v>
                </c:pt>
                <c:pt idx="109">
                  <c:v>2.1506053964938734E-2</c:v>
                </c:pt>
                <c:pt idx="110">
                  <c:v>2.1802686597232529E-2</c:v>
                </c:pt>
                <c:pt idx="111">
                  <c:v>2.2100670642700933E-2</c:v>
                </c:pt>
                <c:pt idx="112">
                  <c:v>2.2399999999999996E-2</c:v>
                </c:pt>
                <c:pt idx="113">
                  <c:v>2.2700668649686458E-2</c:v>
                </c:pt>
                <c:pt idx="114">
                  <c:v>2.3002670652401573E-2</c:v>
                </c:pt>
                <c:pt idx="115">
                  <c:v>2.3306000147111105E-2</c:v>
                </c:pt>
                <c:pt idx="116">
                  <c:v>2.3610651349398586E-2</c:v>
                </c:pt>
                <c:pt idx="117">
                  <c:v>2.3916618549810562E-2</c:v>
                </c:pt>
                <c:pt idx="118">
                  <c:v>2.4223896112251286E-2</c:v>
                </c:pt>
                <c:pt idx="119">
                  <c:v>2.4532478472425071E-2</c:v>
                </c:pt>
                <c:pt idx="120">
                  <c:v>2.4842360136324751E-2</c:v>
                </c:pt>
                <c:pt idx="121">
                  <c:v>2.5153535678764063E-2</c:v>
                </c:pt>
                <c:pt idx="122">
                  <c:v>2.5465999741952846E-2</c:v>
                </c:pt>
                <c:pt idx="123">
                  <c:v>2.5779747034112996E-2</c:v>
                </c:pt>
                <c:pt idx="124">
                  <c:v>2.6094772328133908E-2</c:v>
                </c:pt>
                <c:pt idx="125">
                  <c:v>2.6411070460266143E-2</c:v>
                </c:pt>
                <c:pt idx="126">
                  <c:v>2.6728636328851498E-2</c:v>
                </c:pt>
                <c:pt idx="127">
                  <c:v>2.7047464893088551E-2</c:v>
                </c:pt>
                <c:pt idx="128">
                  <c:v>2.7367551171832264E-2</c:v>
                </c:pt>
                <c:pt idx="129">
                  <c:v>2.7688890242426521E-2</c:v>
                </c:pt>
                <c:pt idx="130">
                  <c:v>2.8011477239568379E-2</c:v>
                </c:pt>
                <c:pt idx="131">
                  <c:v>2.8335307354202859E-2</c:v>
                </c:pt>
                <c:pt idx="132">
                  <c:v>2.8660375832447529E-2</c:v>
                </c:pt>
                <c:pt idx="133">
                  <c:v>2.8986677974545478E-2</c:v>
                </c:pt>
                <c:pt idx="134">
                  <c:v>2.9314209133845935E-2</c:v>
                </c:pt>
                <c:pt idx="135">
                  <c:v>2.9642964715811706E-2</c:v>
                </c:pt>
                <c:pt idx="136">
                  <c:v>2.9972940177052081E-2</c:v>
                </c:pt>
                <c:pt idx="137">
                  <c:v>3.0304131024381103E-2</c:v>
                </c:pt>
                <c:pt idx="138">
                  <c:v>3.0636532813899543E-2</c:v>
                </c:pt>
                <c:pt idx="139">
                  <c:v>3.0970141150100414E-2</c:v>
                </c:pt>
                <c:pt idx="140">
                  <c:v>3.1304951684997064E-2</c:v>
                </c:pt>
                <c:pt idx="141">
                  <c:v>3.1640960117272944E-2</c:v>
                </c:pt>
                <c:pt idx="142">
                  <c:v>3.1978162191452726E-2</c:v>
                </c:pt>
                <c:pt idx="143">
                  <c:v>3.2316553697093742E-2</c:v>
                </c:pt>
                <c:pt idx="144">
                  <c:v>3.2656130467997237E-2</c:v>
                </c:pt>
                <c:pt idx="145">
                  <c:v>3.2996888381438987E-2</c:v>
                </c:pt>
                <c:pt idx="146">
                  <c:v>3.3338823357418342E-2</c:v>
                </c:pt>
                <c:pt idx="147">
                  <c:v>3.3681931357925445E-2</c:v>
                </c:pt>
                <c:pt idx="148">
                  <c:v>3.4026208386225713E-2</c:v>
                </c:pt>
                <c:pt idx="149">
                  <c:v>3.4371650486161663E-2</c:v>
                </c:pt>
                <c:pt idx="150">
                  <c:v>3.471825374147066E-2</c:v>
                </c:pt>
              </c:numCache>
            </c:numRef>
          </c:yVal>
          <c:smooth val="1"/>
          <c:extLst>
            <c:ext xmlns:c16="http://schemas.microsoft.com/office/drawing/2014/chart" uri="{C3380CC4-5D6E-409C-BE32-E72D297353CC}">
              <c16:uniqueId val="{00000002-9977-4FA8-9358-1BE425CE3F05}"/>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Eff_vs_IOUT!$AY$8:$AY$157</c:f>
              <c:numCache>
                <c:formatCode>General</c:formatCode>
                <c:ptCount val="150"/>
                <c:pt idx="0">
                  <c:v>0.92983333333333329</c:v>
                </c:pt>
                <c:pt idx="1">
                  <c:v>0.9321666666666667</c:v>
                </c:pt>
                <c:pt idx="2">
                  <c:v>0.9345</c:v>
                </c:pt>
                <c:pt idx="3">
                  <c:v>0.9368333333333333</c:v>
                </c:pt>
                <c:pt idx="4">
                  <c:v>0.93916666666666671</c:v>
                </c:pt>
                <c:pt idx="5">
                  <c:v>0.9415</c:v>
                </c:pt>
                <c:pt idx="6">
                  <c:v>0.9438333333333333</c:v>
                </c:pt>
                <c:pt idx="7">
                  <c:v>0.94616666666666671</c:v>
                </c:pt>
                <c:pt idx="8">
                  <c:v>0.94850000000000001</c:v>
                </c:pt>
                <c:pt idx="9">
                  <c:v>0.95083333333333331</c:v>
                </c:pt>
                <c:pt idx="10">
                  <c:v>0.95316666666666661</c:v>
                </c:pt>
                <c:pt idx="11">
                  <c:v>0.95550000000000002</c:v>
                </c:pt>
                <c:pt idx="12">
                  <c:v>0.95783333333333331</c:v>
                </c:pt>
                <c:pt idx="13">
                  <c:v>0.96016666666666661</c:v>
                </c:pt>
                <c:pt idx="14">
                  <c:v>0.96250000000000002</c:v>
                </c:pt>
                <c:pt idx="15">
                  <c:v>0.96483333333333332</c:v>
                </c:pt>
                <c:pt idx="16">
                  <c:v>0.96716666666666662</c:v>
                </c:pt>
                <c:pt idx="17">
                  <c:v>0.96950000000000003</c:v>
                </c:pt>
                <c:pt idx="18">
                  <c:v>0.97183333333333333</c:v>
                </c:pt>
                <c:pt idx="19">
                  <c:v>0.97416666666666663</c:v>
                </c:pt>
                <c:pt idx="20">
                  <c:v>0.97650000000000003</c:v>
                </c:pt>
                <c:pt idx="21">
                  <c:v>0.97883333333333333</c:v>
                </c:pt>
                <c:pt idx="22">
                  <c:v>0.98116666666666663</c:v>
                </c:pt>
                <c:pt idx="23">
                  <c:v>0.98350000000000004</c:v>
                </c:pt>
                <c:pt idx="24">
                  <c:v>0.98583333333333334</c:v>
                </c:pt>
                <c:pt idx="25">
                  <c:v>0.98816666666666664</c:v>
                </c:pt>
                <c:pt idx="26">
                  <c:v>0.99049999999999994</c:v>
                </c:pt>
                <c:pt idx="27">
                  <c:v>0.99283333333333335</c:v>
                </c:pt>
                <c:pt idx="28">
                  <c:v>0.99516666666666664</c:v>
                </c:pt>
                <c:pt idx="29">
                  <c:v>0.99749999999999994</c:v>
                </c:pt>
                <c:pt idx="30">
                  <c:v>0.99983333333333335</c:v>
                </c:pt>
                <c:pt idx="31">
                  <c:v>1.0021666666666667</c:v>
                </c:pt>
                <c:pt idx="32">
                  <c:v>1.0044999999999999</c:v>
                </c:pt>
                <c:pt idx="33">
                  <c:v>1.0068333333333332</c:v>
                </c:pt>
                <c:pt idx="34">
                  <c:v>1.0091666666666668</c:v>
                </c:pt>
                <c:pt idx="35">
                  <c:v>1.0115000000000001</c:v>
                </c:pt>
                <c:pt idx="36">
                  <c:v>1.0138333333333334</c:v>
                </c:pt>
                <c:pt idx="37">
                  <c:v>1.0161666666666667</c:v>
                </c:pt>
                <c:pt idx="38">
                  <c:v>1.0185</c:v>
                </c:pt>
                <c:pt idx="39">
                  <c:v>1.0208333333333333</c:v>
                </c:pt>
                <c:pt idx="40">
                  <c:v>1.0231666666666666</c:v>
                </c:pt>
                <c:pt idx="41">
                  <c:v>1.0255000000000001</c:v>
                </c:pt>
                <c:pt idx="42">
                  <c:v>1.0278333333333334</c:v>
                </c:pt>
                <c:pt idx="43">
                  <c:v>1.0301666666666667</c:v>
                </c:pt>
                <c:pt idx="44">
                  <c:v>1.0325</c:v>
                </c:pt>
                <c:pt idx="45">
                  <c:v>1.0348333333333333</c:v>
                </c:pt>
                <c:pt idx="46">
                  <c:v>1.0371666666666666</c:v>
                </c:pt>
                <c:pt idx="47">
                  <c:v>1.0394999999999999</c:v>
                </c:pt>
                <c:pt idx="48">
                  <c:v>1.0418333333333334</c:v>
                </c:pt>
                <c:pt idx="49">
                  <c:v>1.0441666666666667</c:v>
                </c:pt>
                <c:pt idx="50">
                  <c:v>1.0465</c:v>
                </c:pt>
                <c:pt idx="51">
                  <c:v>1.0488333333333333</c:v>
                </c:pt>
                <c:pt idx="52">
                  <c:v>1.0511666666666666</c:v>
                </c:pt>
                <c:pt idx="53">
                  <c:v>1.0535000000000001</c:v>
                </c:pt>
                <c:pt idx="54">
                  <c:v>1.0558333333333334</c:v>
                </c:pt>
                <c:pt idx="55">
                  <c:v>1.0581666666666667</c:v>
                </c:pt>
                <c:pt idx="56">
                  <c:v>1.0605</c:v>
                </c:pt>
                <c:pt idx="57">
                  <c:v>1.0628333333333333</c:v>
                </c:pt>
                <c:pt idx="58">
                  <c:v>1.0651666666666666</c:v>
                </c:pt>
                <c:pt idx="59">
                  <c:v>1.0674999999999999</c:v>
                </c:pt>
                <c:pt idx="60">
                  <c:v>1.0698333333333334</c:v>
                </c:pt>
                <c:pt idx="61">
                  <c:v>1.0721666666666667</c:v>
                </c:pt>
                <c:pt idx="62">
                  <c:v>1.0745</c:v>
                </c:pt>
                <c:pt idx="63">
                  <c:v>1.0768333333333333</c:v>
                </c:pt>
                <c:pt idx="64">
                  <c:v>1.0791666666666666</c:v>
                </c:pt>
                <c:pt idx="65">
                  <c:v>1.0814999999999999</c:v>
                </c:pt>
                <c:pt idx="66">
                  <c:v>1.0838333333333332</c:v>
                </c:pt>
                <c:pt idx="67">
                  <c:v>1.0861666666666667</c:v>
                </c:pt>
                <c:pt idx="68">
                  <c:v>1.0885</c:v>
                </c:pt>
                <c:pt idx="69">
                  <c:v>1.0908333333333333</c:v>
                </c:pt>
                <c:pt idx="70">
                  <c:v>1.0931666666666666</c:v>
                </c:pt>
                <c:pt idx="71">
                  <c:v>1.0954999999999999</c:v>
                </c:pt>
                <c:pt idx="72">
                  <c:v>1.0978333333333334</c:v>
                </c:pt>
                <c:pt idx="73">
                  <c:v>1.1001666666666667</c:v>
                </c:pt>
                <c:pt idx="74">
                  <c:v>1.1025</c:v>
                </c:pt>
                <c:pt idx="75">
                  <c:v>1.1048333333333333</c:v>
                </c:pt>
                <c:pt idx="76">
                  <c:v>1.1071666666666666</c:v>
                </c:pt>
                <c:pt idx="77">
                  <c:v>1.1094999999999999</c:v>
                </c:pt>
                <c:pt idx="78">
                  <c:v>1.1118333333333332</c:v>
                </c:pt>
                <c:pt idx="79">
                  <c:v>1.1141666666666667</c:v>
                </c:pt>
                <c:pt idx="80">
                  <c:v>1.1165</c:v>
                </c:pt>
                <c:pt idx="81">
                  <c:v>1.1188333333333333</c:v>
                </c:pt>
                <c:pt idx="82">
                  <c:v>1.1211666666666666</c:v>
                </c:pt>
                <c:pt idx="83">
                  <c:v>1.1234999999999999</c:v>
                </c:pt>
                <c:pt idx="84">
                  <c:v>1.1258333333333332</c:v>
                </c:pt>
                <c:pt idx="85">
                  <c:v>1.1281666666666665</c:v>
                </c:pt>
                <c:pt idx="86">
                  <c:v>1.1305000000000001</c:v>
                </c:pt>
                <c:pt idx="87">
                  <c:v>1.1328333333333334</c:v>
                </c:pt>
                <c:pt idx="88">
                  <c:v>1.1351666666666667</c:v>
                </c:pt>
                <c:pt idx="89">
                  <c:v>1.1375</c:v>
                </c:pt>
                <c:pt idx="90">
                  <c:v>1.1398333333333333</c:v>
                </c:pt>
                <c:pt idx="91">
                  <c:v>1.1421666666666666</c:v>
                </c:pt>
                <c:pt idx="92">
                  <c:v>1.1445000000000001</c:v>
                </c:pt>
                <c:pt idx="93">
                  <c:v>1.1468333333333334</c:v>
                </c:pt>
                <c:pt idx="94">
                  <c:v>1.1491666666666667</c:v>
                </c:pt>
                <c:pt idx="95">
                  <c:v>1.1515</c:v>
                </c:pt>
                <c:pt idx="96">
                  <c:v>1.1538333333333333</c:v>
                </c:pt>
                <c:pt idx="97">
                  <c:v>1.1561666666666666</c:v>
                </c:pt>
                <c:pt idx="98">
                  <c:v>1.1585000000000001</c:v>
                </c:pt>
                <c:pt idx="99">
                  <c:v>1.1608333333333334</c:v>
                </c:pt>
                <c:pt idx="100">
                  <c:v>1.1631666666666667</c:v>
                </c:pt>
                <c:pt idx="101">
                  <c:v>1.1655</c:v>
                </c:pt>
                <c:pt idx="102">
                  <c:v>1.1678333333333333</c:v>
                </c:pt>
                <c:pt idx="103">
                  <c:v>1.1701666666666666</c:v>
                </c:pt>
                <c:pt idx="104">
                  <c:v>1.1724999999999999</c:v>
                </c:pt>
                <c:pt idx="105">
                  <c:v>1.1748333333333334</c:v>
                </c:pt>
                <c:pt idx="106">
                  <c:v>1.1771666666666667</c:v>
                </c:pt>
                <c:pt idx="107">
                  <c:v>1.1795</c:v>
                </c:pt>
                <c:pt idx="108">
                  <c:v>1.1818333333333333</c:v>
                </c:pt>
                <c:pt idx="109">
                  <c:v>1.1841666666666666</c:v>
                </c:pt>
                <c:pt idx="110">
                  <c:v>1.1865000000000001</c:v>
                </c:pt>
                <c:pt idx="111">
                  <c:v>1.1888333333333332</c:v>
                </c:pt>
                <c:pt idx="112">
                  <c:v>1.1911666666666667</c:v>
                </c:pt>
                <c:pt idx="113">
                  <c:v>1.1935</c:v>
                </c:pt>
                <c:pt idx="114">
                  <c:v>1.1958333333333333</c:v>
                </c:pt>
                <c:pt idx="115">
                  <c:v>1.1981666666666666</c:v>
                </c:pt>
                <c:pt idx="116">
                  <c:v>1.2004999999999999</c:v>
                </c:pt>
                <c:pt idx="117">
                  <c:v>1.2028333333333334</c:v>
                </c:pt>
                <c:pt idx="118">
                  <c:v>1.2051666666666667</c:v>
                </c:pt>
                <c:pt idx="119">
                  <c:v>1.2075</c:v>
                </c:pt>
                <c:pt idx="120">
                  <c:v>1.2098333333333333</c:v>
                </c:pt>
                <c:pt idx="121">
                  <c:v>1.2121666666666666</c:v>
                </c:pt>
                <c:pt idx="122">
                  <c:v>1.2144999999999999</c:v>
                </c:pt>
                <c:pt idx="123">
                  <c:v>1.2168333333333332</c:v>
                </c:pt>
                <c:pt idx="124">
                  <c:v>1.2191666666666667</c:v>
                </c:pt>
                <c:pt idx="125">
                  <c:v>1.2215</c:v>
                </c:pt>
                <c:pt idx="126">
                  <c:v>1.2238333333333333</c:v>
                </c:pt>
                <c:pt idx="127">
                  <c:v>1.2261666666666666</c:v>
                </c:pt>
                <c:pt idx="128">
                  <c:v>1.2284999999999999</c:v>
                </c:pt>
                <c:pt idx="129">
                  <c:v>1.2308333333333334</c:v>
                </c:pt>
                <c:pt idx="130">
                  <c:v>1.2331666666666665</c:v>
                </c:pt>
                <c:pt idx="131">
                  <c:v>1.2355</c:v>
                </c:pt>
                <c:pt idx="132">
                  <c:v>1.2378333333333333</c:v>
                </c:pt>
                <c:pt idx="133">
                  <c:v>1.2401666666666666</c:v>
                </c:pt>
                <c:pt idx="134">
                  <c:v>1.2424999999999999</c:v>
                </c:pt>
                <c:pt idx="135">
                  <c:v>1.2448333333333332</c:v>
                </c:pt>
                <c:pt idx="136">
                  <c:v>1.2471666666666668</c:v>
                </c:pt>
                <c:pt idx="137">
                  <c:v>1.2495000000000001</c:v>
                </c:pt>
                <c:pt idx="138">
                  <c:v>1.2518333333333334</c:v>
                </c:pt>
                <c:pt idx="139">
                  <c:v>1.2541666666666667</c:v>
                </c:pt>
                <c:pt idx="140">
                  <c:v>1.2565</c:v>
                </c:pt>
                <c:pt idx="141">
                  <c:v>1.2588333333333332</c:v>
                </c:pt>
                <c:pt idx="142">
                  <c:v>1.2611666666666665</c:v>
                </c:pt>
                <c:pt idx="143">
                  <c:v>1.2635000000000001</c:v>
                </c:pt>
                <c:pt idx="144">
                  <c:v>1.2658333333333334</c:v>
                </c:pt>
                <c:pt idx="145">
                  <c:v>1.2681666666666667</c:v>
                </c:pt>
                <c:pt idx="146">
                  <c:v>1.2705</c:v>
                </c:pt>
                <c:pt idx="147">
                  <c:v>1.2728333333333333</c:v>
                </c:pt>
                <c:pt idx="148">
                  <c:v>1.2751666666666666</c:v>
                </c:pt>
                <c:pt idx="149">
                  <c:v>1.2774999999999999</c:v>
                </c:pt>
              </c:numCache>
            </c:numRef>
          </c:yVal>
          <c:smooth val="1"/>
          <c:extLst>
            <c:ext xmlns:c16="http://schemas.microsoft.com/office/drawing/2014/chart" uri="{C3380CC4-5D6E-409C-BE32-E72D297353CC}">
              <c16:uniqueId val="{00000003-9977-4FA8-9358-1BE425CE3F05}"/>
            </c:ext>
          </c:extLst>
        </c:ser>
        <c:dLbls>
          <c:showLegendKey val="0"/>
          <c:showVal val="0"/>
          <c:showCatName val="0"/>
          <c:showSerName val="0"/>
          <c:showPercent val="0"/>
          <c:showBubbleSize val="0"/>
        </c:dLbls>
        <c:axId val="582753280"/>
        <c:axId val="582751360"/>
      </c:scatterChart>
      <c:valAx>
        <c:axId val="583325184"/>
        <c:scaling>
          <c:orientation val="minMax"/>
        </c:scaling>
        <c:delete val="0"/>
        <c:axPos val="b"/>
        <c:majorGridlines/>
        <c:numFmt formatCode="General" sourceLinked="1"/>
        <c:majorTickMark val="out"/>
        <c:minorTickMark val="none"/>
        <c:tickLblPos val="nextTo"/>
        <c:crossAx val="583326720"/>
        <c:crosses val="autoZero"/>
        <c:crossBetween val="midCat"/>
      </c:valAx>
      <c:valAx>
        <c:axId val="583326720"/>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3325184"/>
        <c:crosses val="autoZero"/>
        <c:crossBetween val="midCat"/>
      </c:valAx>
      <c:valAx>
        <c:axId val="582751360"/>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2753280"/>
        <c:crosses val="max"/>
        <c:crossBetween val="midCat"/>
      </c:valAx>
      <c:valAx>
        <c:axId val="582753280"/>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582751360"/>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Eff_vs_IOUT!$BZ$7:$BZ$157</c:f>
              <c:numCache>
                <c:formatCode>General</c:formatCode>
                <c:ptCount val="151"/>
                <c:pt idx="0">
                  <c:v>0</c:v>
                </c:pt>
                <c:pt idx="1">
                  <c:v>18.876580415263494</c:v>
                </c:pt>
                <c:pt idx="2">
                  <c:v>30.9579989421165</c:v>
                </c:pt>
                <c:pt idx="3">
                  <c:v>39.488763681716357</c:v>
                </c:pt>
                <c:pt idx="4">
                  <c:v>45.869495168920224</c:v>
                </c:pt>
                <c:pt idx="5">
                  <c:v>50.838148376447592</c:v>
                </c:pt>
                <c:pt idx="6">
                  <c:v>54.825443896429938</c:v>
                </c:pt>
                <c:pt idx="7">
                  <c:v>58.101189362502815</c:v>
                </c:pt>
                <c:pt idx="8">
                  <c:v>60.843597051015344</c:v>
                </c:pt>
                <c:pt idx="9">
                  <c:v>63.17538463101058</c:v>
                </c:pt>
                <c:pt idx="10">
                  <c:v>65.183955774447909</c:v>
                </c:pt>
                <c:pt idx="11">
                  <c:v>66.933327936740241</c:v>
                </c:pt>
                <c:pt idx="12">
                  <c:v>68.471509434147919</c:v>
                </c:pt>
                <c:pt idx="13">
                  <c:v>69.835237726311135</c:v>
                </c:pt>
                <c:pt idx="14">
                  <c:v>71.053121932662066</c:v>
                </c:pt>
                <c:pt idx="15">
                  <c:v>72.147785279677564</c:v>
                </c:pt>
                <c:pt idx="16">
                  <c:v>73.137361225129553</c:v>
                </c:pt>
                <c:pt idx="17">
                  <c:v>74.036560520587898</c:v>
                </c:pt>
                <c:pt idx="18">
                  <c:v>74.857446631561245</c:v>
                </c:pt>
                <c:pt idx="19">
                  <c:v>75.61000871893367</c:v>
                </c:pt>
                <c:pt idx="20">
                  <c:v>76.302591438763372</c:v>
                </c:pt>
                <c:pt idx="21">
                  <c:v>76.942221746558118</c:v>
                </c:pt>
                <c:pt idx="22">
                  <c:v>77.534860471503279</c:v>
                </c:pt>
                <c:pt idx="23">
                  <c:v>78.085598171210123</c:v>
                </c:pt>
                <c:pt idx="24">
                  <c:v>78.598809189466863</c:v>
                </c:pt>
                <c:pt idx="25">
                  <c:v>79.078273992729834</c:v>
                </c:pt>
                <c:pt idx="26">
                  <c:v>79.527277172093775</c:v>
                </c:pt>
                <c:pt idx="27">
                  <c:v>79.948686591062625</c:v>
                </c:pt>
                <c:pt idx="28">
                  <c:v>80.345017790128466</c:v>
                </c:pt>
                <c:pt idx="29">
                  <c:v>80.718486763704732</c:v>
                </c:pt>
                <c:pt idx="30">
                  <c:v>81.071053493128346</c:v>
                </c:pt>
                <c:pt idx="31">
                  <c:v>81.404458075789464</c:v>
                </c:pt>
                <c:pt idx="32">
                  <c:v>81.72025088262636</c:v>
                </c:pt>
                <c:pt idx="33">
                  <c:v>82.019817867502468</c:v>
                </c:pt>
                <c:pt idx="34">
                  <c:v>82.304401916272226</c:v>
                </c:pt>
                <c:pt idx="35">
                  <c:v>82.575120941926045</c:v>
                </c:pt>
                <c:pt idx="36">
                  <c:v>82.832983291517138</c:v>
                </c:pt>
                <c:pt idx="37">
                  <c:v>83.078900920688241</c:v>
                </c:pt>
                <c:pt idx="38">
                  <c:v>83.313700705209953</c:v>
                </c:pt>
                <c:pt idx="39">
                  <c:v>83.538134190564108</c:v>
                </c:pt>
                <c:pt idx="40">
                  <c:v>83.752886026164646</c:v>
                </c:pt>
                <c:pt idx="41">
                  <c:v>83.958581287214926</c:v>
                </c:pt>
                <c:pt idx="42">
                  <c:v>84.155791852102368</c:v>
                </c:pt>
                <c:pt idx="43">
                  <c:v>84.345041974825193</c:v>
                </c:pt>
                <c:pt idx="44">
                  <c:v>84.526813168842736</c:v>
                </c:pt>
                <c:pt idx="45">
                  <c:v>84.701548499861048</c:v>
                </c:pt>
                <c:pt idx="46">
                  <c:v>84.869656369567167</c:v>
                </c:pt>
                <c:pt idx="47">
                  <c:v>85.03151385954915</c:v>
                </c:pt>
                <c:pt idx="48">
                  <c:v>85.187469694061065</c:v>
                </c:pt>
                <c:pt idx="49">
                  <c:v>85.337846871502109</c:v>
                </c:pt>
                <c:pt idx="50">
                  <c:v>85.482945007144664</c:v>
                </c:pt>
                <c:pt idx="51">
                  <c:v>85.623042423506021</c:v>
                </c:pt>
                <c:pt idx="52">
                  <c:v>85.758398019598332</c:v>
                </c:pt>
                <c:pt idx="53">
                  <c:v>85.889252945942133</c:v>
                </c:pt>
                <c:pt idx="54">
                  <c:v>86.015832108549418</c:v>
                </c:pt>
                <c:pt idx="55">
                  <c:v>86.138345521961043</c:v>
                </c:pt>
                <c:pt idx="56">
                  <c:v>86.256989528767051</c:v>
                </c:pt>
                <c:pt idx="57">
                  <c:v>86.371947900771701</c:v>
                </c:pt>
                <c:pt idx="58">
                  <c:v>86.483392835024929</c:v>
                </c:pt>
                <c:pt idx="59">
                  <c:v>86.591485856277643</c:v>
                </c:pt>
                <c:pt idx="60">
                  <c:v>86.696378635985099</c:v>
                </c:pt>
                <c:pt idx="61">
                  <c:v>86.798213736748622</c:v>
                </c:pt>
                <c:pt idx="62">
                  <c:v>86.89712529001676</c:v>
                </c:pt>
                <c:pt idx="63">
                  <c:v>86.99323961394181</c:v>
                </c:pt>
                <c:pt idx="64">
                  <c:v>87.086675777483691</c:v>
                </c:pt>
                <c:pt idx="65">
                  <c:v>87.177546116153266</c:v>
                </c:pt>
                <c:pt idx="66">
                  <c:v>87.265956704176091</c:v>
                </c:pt>
                <c:pt idx="67">
                  <c:v>87.352007787324894</c:v>
                </c:pt>
                <c:pt idx="68">
                  <c:v>87.435794180200105</c:v>
                </c:pt>
                <c:pt idx="69">
                  <c:v>87.517405631328714</c:v>
                </c:pt>
                <c:pt idx="70">
                  <c:v>87.596927159090015</c:v>
                </c:pt>
                <c:pt idx="71">
                  <c:v>87.674439361159372</c:v>
                </c:pt>
                <c:pt idx="72">
                  <c:v>87.750018699880272</c:v>
                </c:pt>
                <c:pt idx="73">
                  <c:v>87.823737765727202</c:v>
                </c:pt>
                <c:pt idx="74">
                  <c:v>87.895665520802297</c:v>
                </c:pt>
                <c:pt idx="75">
                  <c:v>87.965867524113392</c:v>
                </c:pt>
                <c:pt idx="76">
                  <c:v>88.034406140208731</c:v>
                </c:pt>
                <c:pt idx="77">
                  <c:v>88.10134073258908</c:v>
                </c:pt>
                <c:pt idx="78">
                  <c:v>88.166727843181064</c:v>
                </c:pt>
                <c:pt idx="79">
                  <c:v>88.230621359032767</c:v>
                </c:pt>
                <c:pt idx="80">
                  <c:v>88.293072667283397</c:v>
                </c:pt>
                <c:pt idx="81">
                  <c:v>88.354130799360831</c:v>
                </c:pt>
                <c:pt idx="82">
                  <c:v>88.413842565272887</c:v>
                </c:pt>
                <c:pt idx="83">
                  <c:v>88.472252678779483</c:v>
                </c:pt>
                <c:pt idx="84">
                  <c:v>88.529403874161943</c:v>
                </c:pt>
                <c:pt idx="85">
                  <c:v>88.585337015242189</c:v>
                </c:pt>
                <c:pt idx="86">
                  <c:v>88.640091197246946</c:v>
                </c:pt>
                <c:pt idx="87">
                  <c:v>88.693703842060188</c:v>
                </c:pt>
                <c:pt idx="88">
                  <c:v>88.746210787360823</c:v>
                </c:pt>
                <c:pt idx="89">
                  <c:v>88.797646370099727</c:v>
                </c:pt>
                <c:pt idx="90">
                  <c:v>88.848043504732416</c:v>
                </c:pt>
                <c:pt idx="91">
                  <c:v>88.897433756588782</c:v>
                </c:pt>
                <c:pt idx="92">
                  <c:v>88.94584741072984</c:v>
                </c:pt>
                <c:pt idx="93">
                  <c:v>88.993313536613044</c:v>
                </c:pt>
                <c:pt idx="94">
                  <c:v>89.039860048861598</c:v>
                </c:pt>
                <c:pt idx="95">
                  <c:v>89.085513764409725</c:v>
                </c:pt>
                <c:pt idx="96">
                  <c:v>89.130300456274142</c:v>
                </c:pt>
                <c:pt idx="97">
                  <c:v>89.174244904182586</c:v>
                </c:pt>
                <c:pt idx="98">
                  <c:v>89.217370942272339</c:v>
                </c:pt>
                <c:pt idx="99">
                  <c:v>89.259701504054846</c:v>
                </c:pt>
                <c:pt idx="100">
                  <c:v>89.30125866482868</c:v>
                </c:pt>
                <c:pt idx="101">
                  <c:v>89.34206368170797</c:v>
                </c:pt>
                <c:pt idx="102">
                  <c:v>89.382137031422189</c:v>
                </c:pt>
                <c:pt idx="103">
                  <c:v>89.421498446030938</c:v>
                </c:pt>
                <c:pt idx="104">
                  <c:v>89.460166946687039</c:v>
                </c:pt>
                <c:pt idx="105">
                  <c:v>89.498160875571685</c:v>
                </c:pt>
                <c:pt idx="106">
                  <c:v>89.535497926116363</c:v>
                </c:pt>
                <c:pt idx="107">
                  <c:v>89.572195171618077</c:v>
                </c:pt>
                <c:pt idx="108">
                  <c:v>89.608269092346973</c:v>
                </c:pt>
                <c:pt idx="109">
                  <c:v>89.643735601238532</c:v>
                </c:pt>
                <c:pt idx="110">
                  <c:v>89.678610068255992</c:v>
                </c:pt>
                <c:pt idx="111">
                  <c:v>89.712907343502906</c:v>
                </c:pt>
                <c:pt idx="112">
                  <c:v>89.746641779160058</c:v>
                </c:pt>
                <c:pt idx="113">
                  <c:v>89.77982725031643</c:v>
                </c:pt>
                <c:pt idx="114">
                  <c:v>89.812477174758456</c:v>
                </c:pt>
                <c:pt idx="115">
                  <c:v>89.8446045317786</c:v>
                </c:pt>
                <c:pt idx="116">
                  <c:v>89.876221880059035</c:v>
                </c:pt>
                <c:pt idx="117">
                  <c:v>89.907341374683682</c:v>
                </c:pt>
                <c:pt idx="118">
                  <c:v>89.937974783327661</c:v>
                </c:pt>
                <c:pt idx="119">
                  <c:v>89.968133501670451</c:v>
                </c:pt>
                <c:pt idx="120">
                  <c:v>89.997828568075789</c:v>
                </c:pt>
                <c:pt idx="121">
                  <c:v>90.027070677579061</c:v>
                </c:pt>
                <c:pt idx="122">
                  <c:v>90.055870195219967</c:v>
                </c:pt>
                <c:pt idx="123">
                  <c:v>90.084237168755891</c:v>
                </c:pt>
                <c:pt idx="124">
                  <c:v>90.11218134078976</c:v>
                </c:pt>
                <c:pt idx="125">
                  <c:v>90.139712160343294</c:v>
                </c:pt>
                <c:pt idx="126">
                  <c:v>90.166838793905413</c:v>
                </c:pt>
                <c:pt idx="127">
                  <c:v>90.193570135983165</c:v>
                </c:pt>
                <c:pt idx="128">
                  <c:v>90.219914819181525</c:v>
                </c:pt>
                <c:pt idx="129">
                  <c:v>90.245881223836179</c:v>
                </c:pt>
                <c:pt idx="130">
                  <c:v>90.271477487222455</c:v>
                </c:pt>
                <c:pt idx="131">
                  <c:v>90.296711512362165</c:v>
                </c:pt>
                <c:pt idx="132">
                  <c:v>90.321590976448434</c:v>
                </c:pt>
                <c:pt idx="133">
                  <c:v>90.346123338908328</c:v>
                </c:pt>
                <c:pt idx="134">
                  <c:v>90.370315849120573</c:v>
                </c:pt>
                <c:pt idx="135">
                  <c:v>90.394175553806463</c:v>
                </c:pt>
                <c:pt idx="136">
                  <c:v>90.417709304109096</c:v>
                </c:pt>
                <c:pt idx="137">
                  <c:v>90.440923762376883</c:v>
                </c:pt>
                <c:pt idx="138">
                  <c:v>90.463825408665429</c:v>
                </c:pt>
                <c:pt idx="139">
                  <c:v>90.486420546971303</c:v>
                </c:pt>
                <c:pt idx="140">
                  <c:v>90.50871531121075</c:v>
                </c:pt>
                <c:pt idx="141">
                  <c:v>90.530715670955303</c:v>
                </c:pt>
                <c:pt idx="142">
                  <c:v>90.552427436935858</c:v>
                </c:pt>
                <c:pt idx="143">
                  <c:v>90.57385626632599</c:v>
                </c:pt>
                <c:pt idx="144">
                  <c:v>90.595007667815025</c:v>
                </c:pt>
                <c:pt idx="145">
                  <c:v>90.61588700648025</c:v>
                </c:pt>
                <c:pt idx="146">
                  <c:v>90.636499508467949</c:v>
                </c:pt>
                <c:pt idx="147">
                  <c:v>90.656850265491485</c:v>
                </c:pt>
                <c:pt idx="148">
                  <c:v>90.676944239155048</c:v>
                </c:pt>
                <c:pt idx="149">
                  <c:v>90.696786265111015</c:v>
                </c:pt>
                <c:pt idx="150">
                  <c:v>90.716381057058115</c:v>
                </c:pt>
              </c:numCache>
            </c:numRef>
          </c:yVal>
          <c:smooth val="0"/>
          <c:extLst>
            <c:ext xmlns:c16="http://schemas.microsoft.com/office/drawing/2014/chart" uri="{C3380CC4-5D6E-409C-BE32-E72D297353CC}">
              <c16:uniqueId val="{00000000-C391-4527-8BBE-DDCDE94A24A4}"/>
            </c:ext>
          </c:extLst>
        </c:ser>
        <c:dLbls>
          <c:showLegendKey val="0"/>
          <c:showVal val="0"/>
          <c:showCatName val="0"/>
          <c:showSerName val="0"/>
          <c:showPercent val="0"/>
          <c:showBubbleSize val="0"/>
        </c:dLbls>
        <c:axId val="582782976"/>
        <c:axId val="58278451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Eff_vs_IOUT!$AJ$7:$AJ$157</c:f>
              <c:numCache>
                <c:formatCode>General</c:formatCode>
                <c:ptCount val="151"/>
                <c:pt idx="0">
                  <c:v>0</c:v>
                </c:pt>
                <c:pt idx="1">
                  <c:v>6.8139988440205732E-2</c:v>
                </c:pt>
                <c:pt idx="2">
                  <c:v>9.6425075006918312E-2</c:v>
                </c:pt>
                <c:pt idx="3">
                  <c:v>0.11817031017095275</c:v>
                </c:pt>
                <c:pt idx="4">
                  <c:v>0.13653699272205774</c:v>
                </c:pt>
                <c:pt idx="5">
                  <c:v>0.15274878273382678</c:v>
                </c:pt>
                <c:pt idx="6">
                  <c:v>0.16743283414751936</c:v>
                </c:pt>
                <c:pt idx="7">
                  <c:v>0.18096146375160038</c:v>
                </c:pt>
                <c:pt idx="8">
                  <c:v>0.19357710059183841</c:v>
                </c:pt>
                <c:pt idx="9">
                  <c:v>0.20544802868720224</c:v>
                </c:pt>
                <c:pt idx="10">
                  <c:v>0.21669669639011521</c:v>
                </c:pt>
                <c:pt idx="11">
                  <c:v>0.2274154833951802</c:v>
                </c:pt>
                <c:pt idx="12">
                  <c:v>0.23767611383014978</c:v>
                </c:pt>
                <c:pt idx="13">
                  <c:v>0.24753558982200957</c:v>
                </c:pt>
                <c:pt idx="14">
                  <c:v>0.25704009906388309</c:v>
                </c:pt>
                <c:pt idx="15">
                  <c:v>0.26622768261330015</c:v>
                </c:pt>
                <c:pt idx="16">
                  <c:v>0.27513011217728567</c:v>
                </c:pt>
                <c:pt idx="17">
                  <c:v>0.28377424556750691</c:v>
                </c:pt>
                <c:pt idx="18">
                  <c:v>0.29218302733276219</c:v>
                </c:pt>
                <c:pt idx="19">
                  <c:v>0.30037624186676198</c:v>
                </c:pt>
                <c:pt idx="20">
                  <c:v>0.30837108993373052</c:v>
                </c:pt>
                <c:pt idx="21">
                  <c:v>0.3161826367111481</c:v>
                </c:pt>
                <c:pt idx="22">
                  <c:v>0.32382416469376413</c:v>
                </c:pt>
                <c:pt idx="23">
                  <c:v>0.33130745503601544</c:v>
                </c:pt>
                <c:pt idx="24">
                  <c:v>0.33864301430211075</c:v>
                </c:pt>
                <c:pt idx="25">
                  <c:v>0.34584025903395404</c:v>
                </c:pt>
                <c:pt idx="26">
                  <c:v>0.35290766734533252</c:v>
                </c:pt>
                <c:pt idx="27">
                  <c:v>0.35985290446583534</c:v>
                </c:pt>
                <c:pt idx="28">
                  <c:v>0.36668292750320075</c:v>
                </c:pt>
                <c:pt idx="29">
                  <c:v>0.37340407347819238</c:v>
                </c:pt>
                <c:pt idx="30">
                  <c:v>0.38002213378353489</c:v>
                </c:pt>
                <c:pt idx="31">
                  <c:v>0.3865424175400316</c:v>
                </c:pt>
                <c:pt idx="32">
                  <c:v>0.3929698058076912</c:v>
                </c:pt>
                <c:pt idx="33">
                  <c:v>0.39930879821441734</c:v>
                </c:pt>
                <c:pt idx="34">
                  <c:v>0.4055635532588438</c:v>
                </c:pt>
                <c:pt idx="35">
                  <c:v>0.41173792330504178</c:v>
                </c:pt>
                <c:pt idx="36">
                  <c:v>0.41783548509885393</c:v>
                </c:pt>
                <c:pt idx="37">
                  <c:v>0.42385956648659129</c:v>
                </c:pt>
                <c:pt idx="38">
                  <c:v>0.42981326989786145</c:v>
                </c:pt>
                <c:pt idx="39">
                  <c:v>0.43569949305867989</c:v>
                </c:pt>
                <c:pt idx="40">
                  <c:v>0.44152094732370428</c:v>
                </c:pt>
                <c:pt idx="41">
                  <c:v>0.44728017395353842</c:v>
                </c:pt>
                <c:pt idx="42">
                  <c:v>0.45297955861161482</c:v>
                </c:pt>
                <c:pt idx="43">
                  <c:v>0.45862134431286827</c:v>
                </c:pt>
                <c:pt idx="44">
                  <c:v>0.46420764302145939</c:v>
                </c:pt>
                <c:pt idx="45">
                  <c:v>0.4697404460657883</c:v>
                </c:pt>
                <c:pt idx="46">
                  <c:v>0.47522163351483421</c:v>
                </c:pt>
                <c:pt idx="47">
                  <c:v>0.48065298263958339</c:v>
                </c:pt>
                <c:pt idx="48">
                  <c:v>0.48603617556625373</c:v>
                </c:pt>
                <c:pt idx="49">
                  <c:v>0.49137280621363144</c:v>
                </c:pt>
                <c:pt idx="50">
                  <c:v>0.49666438659462753</c:v>
                </c:pt>
                <c:pt idx="51">
                  <c:v>0.50191235255178768</c:v>
                </c:pt>
                <c:pt idx="52">
                  <c:v>0.50711806898762735</c:v>
                </c:pt>
                <c:pt idx="53">
                  <c:v>0.51228283464308211</c:v>
                </c:pt>
                <c:pt idx="54">
                  <c:v>0.51740788647084601</c:v>
                </c:pt>
                <c:pt idx="55">
                  <c:v>0.52249440364475996</c:v>
                </c:pt>
                <c:pt idx="56">
                  <c:v>0.52754351124155807</c:v>
                </c:pt>
                <c:pt idx="57">
                  <c:v>0.53255628362708007</c:v>
                </c:pt>
                <c:pt idx="58">
                  <c:v>0.53753374757540784</c:v>
                </c:pt>
                <c:pt idx="59">
                  <c:v>0.54247688514619841</c:v>
                </c:pt>
                <c:pt idx="60">
                  <c:v>0.5473866363427129</c:v>
                </c:pt>
                <c:pt idx="61">
                  <c:v>0.5522639015706069</c:v>
                </c:pt>
                <c:pt idx="62">
                  <c:v>0.55710954391541712</c:v>
                </c:pt>
                <c:pt idx="63">
                  <c:v>0.56192439125480098</c:v>
                </c:pt>
                <c:pt idx="64">
                  <c:v>0.56670923821993291</c:v>
                </c:pt>
                <c:pt idx="65">
                  <c:v>0.57146484801900255</c:v>
                </c:pt>
                <c:pt idx="66">
                  <c:v>0.57619195413446844</c:v>
                </c:pt>
                <c:pt idx="67">
                  <c:v>0.58089126190457374</c:v>
                </c:pt>
                <c:pt idx="68">
                  <c:v>0.58556344999861221</c:v>
                </c:pt>
                <c:pt idx="69">
                  <c:v>0.59020917179453303</c:v>
                </c:pt>
                <c:pt idx="70">
                  <c:v>0.59482905666665797</c:v>
                </c:pt>
                <c:pt idx="71">
                  <c:v>0.59942371119056803</c:v>
                </c:pt>
                <c:pt idx="72">
                  <c:v>0.60399372027157283</c:v>
                </c:pt>
                <c:pt idx="73">
                  <c:v>0.60853964820259154</c:v>
                </c:pt>
                <c:pt idx="74">
                  <c:v>0.61306203965676587</c:v>
                </c:pt>
                <c:pt idx="75">
                  <c:v>0.61756142061964936</c:v>
                </c:pt>
                <c:pt idx="76">
                  <c:v>0.62203829926540199</c:v>
                </c:pt>
                <c:pt idx="77">
                  <c:v>0.62649316678104394</c:v>
                </c:pt>
                <c:pt idx="78">
                  <c:v>0.63092649814247348</c:v>
                </c:pt>
                <c:pt idx="79">
                  <c:v>0.63533875284565233</c:v>
                </c:pt>
                <c:pt idx="80">
                  <c:v>0.63973037559607671</c:v>
                </c:pt>
                <c:pt idx="81">
                  <c:v>0.64410179695940439</c:v>
                </c:pt>
                <c:pt idx="82">
                  <c:v>0.64845343397587318</c:v>
                </c:pt>
                <c:pt idx="83">
                  <c:v>0.65278569074093995</c:v>
                </c:pt>
                <c:pt idx="84">
                  <c:v>0.65709895895437975</c:v>
                </c:pt>
                <c:pt idx="85">
                  <c:v>0.6613936184399094</c:v>
                </c:pt>
                <c:pt idx="86">
                  <c:v>0.66567003763724431</c:v>
                </c:pt>
                <c:pt idx="87">
                  <c:v>0.6699285740683516</c:v>
                </c:pt>
                <c:pt idx="88">
                  <c:v>0.67416957477953154</c:v>
                </c:pt>
                <c:pt idx="89">
                  <c:v>0.678393376760838</c:v>
                </c:pt>
                <c:pt idx="90">
                  <c:v>0.68260030734424126</c:v>
                </c:pt>
                <c:pt idx="91">
                  <c:v>0.68679068458183024</c:v>
                </c:pt>
                <c:pt idx="92">
                  <c:v>0.69096481760526385</c:v>
                </c:pt>
                <c:pt idx="93">
                  <c:v>0.69512300696759088</c:v>
                </c:pt>
                <c:pt idx="94">
                  <c:v>0.69926554496848559</c:v>
                </c:pt>
                <c:pt idx="95">
                  <c:v>0.70339271596386477</c:v>
                </c:pt>
                <c:pt idx="96">
                  <c:v>0.70750479666079757</c:v>
                </c:pt>
                <c:pt idx="97">
                  <c:v>0.71160205639854612</c:v>
                </c:pt>
                <c:pt idx="98">
                  <c:v>0.71568475741652882</c:v>
                </c:pt>
                <c:pt idx="99">
                  <c:v>0.71975315510993654</c:v>
                </c:pt>
                <c:pt idx="100">
                  <c:v>0.7238074982736924</c:v>
                </c:pt>
                <c:pt idx="101">
                  <c:v>0.7278480293353955</c:v>
                </c:pt>
                <c:pt idx="102">
                  <c:v>0.73187498457784705</c:v>
                </c:pt>
                <c:pt idx="103">
                  <c:v>0.73588859435172738</c:v>
                </c:pt>
                <c:pt idx="104">
                  <c:v>0.73988908327894254</c:v>
                </c:pt>
                <c:pt idx="105">
                  <c:v>0.74387667044714223</c:v>
                </c:pt>
                <c:pt idx="106">
                  <c:v>0.74785156959586707</c:v>
                </c:pt>
                <c:pt idx="107">
                  <c:v>0.75181398929476217</c:v>
                </c:pt>
                <c:pt idx="108">
                  <c:v>0.75576413311426616</c:v>
                </c:pt>
                <c:pt idx="109">
                  <c:v>0.75970219978915843</c:v>
                </c:pt>
                <c:pt idx="110">
                  <c:v>0.76362838337532546</c:v>
                </c:pt>
                <c:pt idx="111">
                  <c:v>0.76754287340008709</c:v>
                </c:pt>
                <c:pt idx="112">
                  <c:v>0.7714458550064015</c:v>
                </c:pt>
                <c:pt idx="113">
                  <c:v>0.7753375090912491</c:v>
                </c:pt>
                <c:pt idx="114">
                  <c:v>0.7792180124384841</c:v>
                </c:pt>
                <c:pt idx="115">
                  <c:v>0.7830875378464135</c:v>
                </c:pt>
                <c:pt idx="116">
                  <c:v>0.78694625425036235</c:v>
                </c:pt>
                <c:pt idx="117">
                  <c:v>0.79079432684046191</c:v>
                </c:pt>
                <c:pt idx="118">
                  <c:v>0.79463191717488368</c:v>
                </c:pt>
                <c:pt idx="119">
                  <c:v>0.79845918328873633</c:v>
                </c:pt>
                <c:pt idx="120">
                  <c:v>0.80227627979882188</c:v>
                </c:pt>
                <c:pt idx="121">
                  <c:v>0.80608335800444342</c:v>
                </c:pt>
                <c:pt idx="122">
                  <c:v>0.80988056598444558</c:v>
                </c:pt>
                <c:pt idx="123">
                  <c:v>0.81366804869065601</c:v>
                </c:pt>
                <c:pt idx="124">
                  <c:v>0.81744594803789083</c:v>
                </c:pt>
                <c:pt idx="125">
                  <c:v>0.82121440299067305</c:v>
                </c:pt>
                <c:pt idx="126">
                  <c:v>0.82497354964681657</c:v>
                </c:pt>
                <c:pt idx="127">
                  <c:v>0.82872352131800453</c:v>
                </c:pt>
                <c:pt idx="128">
                  <c:v>0.83246444860749724</c:v>
                </c:pt>
                <c:pt idx="129">
                  <c:v>0.83619645948509458</c:v>
                </c:pt>
                <c:pt idx="130">
                  <c:v>0.83991967935946377</c:v>
                </c:pt>
                <c:pt idx="131">
                  <c:v>0.84363423114795422</c:v>
                </c:pt>
                <c:pt idx="132">
                  <c:v>0.8473402353439955</c:v>
                </c:pt>
                <c:pt idx="133">
                  <c:v>0.85103781008218549</c:v>
                </c:pt>
                <c:pt idx="134">
                  <c:v>0.85472707120116187</c:v>
                </c:pt>
                <c:pt idx="135">
                  <c:v>0.85840813230435087</c:v>
                </c:pt>
                <c:pt idx="136">
                  <c:v>0.86208110481867606</c:v>
                </c:pt>
                <c:pt idx="137">
                  <c:v>0.86574609805131431</c:v>
                </c:pt>
                <c:pt idx="138">
                  <c:v>0.86940321924457331</c:v>
                </c:pt>
                <c:pt idx="139">
                  <c:v>0.87305257362897026</c:v>
                </c:pt>
                <c:pt idx="140">
                  <c:v>0.87669426447457854</c:v>
                </c:pt>
                <c:pt idx="141">
                  <c:v>0.88032839314071465</c:v>
                </c:pt>
                <c:pt idx="142">
                  <c:v>0.88395505912402772</c:v>
                </c:pt>
                <c:pt idx="143">
                  <c:v>0.88757436010505519</c:v>
                </c:pt>
                <c:pt idx="144">
                  <c:v>0.89118639199330318</c:v>
                </c:pt>
                <c:pt idx="145">
                  <c:v>0.89479124897090712</c:v>
                </c:pt>
                <c:pt idx="146">
                  <c:v>0.89838902353493111</c:v>
                </c:pt>
                <c:pt idx="147">
                  <c:v>0.90197980653834864</c:v>
                </c:pt>
                <c:pt idx="148">
                  <c:v>0.90556368722976632</c:v>
                </c:pt>
                <c:pt idx="149">
                  <c:v>0.90914075329192579</c:v>
                </c:pt>
                <c:pt idx="150">
                  <c:v>0.9127110908790369</c:v>
                </c:pt>
              </c:numCache>
            </c:numRef>
          </c:yVal>
          <c:smooth val="1"/>
          <c:extLst>
            <c:ext xmlns:c16="http://schemas.microsoft.com/office/drawing/2014/chart" uri="{C3380CC4-5D6E-409C-BE32-E72D297353CC}">
              <c16:uniqueId val="{00000001-C391-4527-8BBE-DDCDE94A24A4}"/>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Eff_vs_IOUT!$BU$7:$BU$157</c:f>
              <c:numCache>
                <c:formatCode>General</c:formatCode>
                <c:ptCount val="151"/>
                <c:pt idx="0">
                  <c:v>0</c:v>
                </c:pt>
                <c:pt idx="1">
                  <c:v>1.8898223650461362E-5</c:v>
                </c:pt>
                <c:pt idx="2">
                  <c:v>5.345224838248487E-5</c:v>
                </c:pt>
                <c:pt idx="3">
                  <c:v>9.8198050606196531E-5</c:v>
                </c:pt>
                <c:pt idx="4">
                  <c:v>1.5118578920369087E-4</c:v>
                </c:pt>
                <c:pt idx="5">
                  <c:v>2.1128856368212912E-4</c:v>
                </c:pt>
                <c:pt idx="6">
                  <c:v>2.7774602993176539E-4</c:v>
                </c:pt>
                <c:pt idx="7">
                  <c:v>3.4999999999999994E-4</c:v>
                </c:pt>
                <c:pt idx="8">
                  <c:v>4.2761798705987913E-4</c:v>
                </c:pt>
                <c:pt idx="9">
                  <c:v>5.1025203856245682E-4</c:v>
                </c:pt>
                <c:pt idx="10">
                  <c:v>5.9761430466719653E-4</c:v>
                </c:pt>
                <c:pt idx="11">
                  <c:v>6.8946148758080954E-4</c:v>
                </c:pt>
                <c:pt idx="12">
                  <c:v>7.8558440484957246E-4</c:v>
                </c:pt>
                <c:pt idx="13">
                  <c:v>8.8580068703002083E-4</c:v>
                </c:pt>
                <c:pt idx="14">
                  <c:v>9.899494936611668E-4</c:v>
                </c:pt>
                <c:pt idx="15">
                  <c:v>1.0978875820671001E-3</c:v>
                </c:pt>
                <c:pt idx="16">
                  <c:v>1.2094863136295271E-3</c:v>
                </c:pt>
                <c:pt idx="17">
                  <c:v>1.3246293282057652E-3</c:v>
                </c:pt>
                <c:pt idx="18">
                  <c:v>1.4432107063270915E-3</c:v>
                </c:pt>
                <c:pt idx="19">
                  <c:v>1.5651334949910365E-3</c:v>
                </c:pt>
                <c:pt idx="20">
                  <c:v>1.6903085094570325E-3</c:v>
                </c:pt>
                <c:pt idx="21">
                  <c:v>1.8186533479473208E-3</c:v>
                </c:pt>
                <c:pt idx="22">
                  <c:v>1.9500915729414206E-3</c:v>
                </c:pt>
                <c:pt idx="23">
                  <c:v>2.0845520245024209E-3</c:v>
                </c:pt>
                <c:pt idx="24">
                  <c:v>2.2219682394541231E-3</c:v>
                </c:pt>
                <c:pt idx="25">
                  <c:v>2.3622779563076696E-3</c:v>
                </c:pt>
                <c:pt idx="26">
                  <c:v>2.5054226903145215E-3</c:v>
                </c:pt>
                <c:pt idx="27">
                  <c:v>2.6513473663673077E-3</c:v>
                </c:pt>
                <c:pt idx="28">
                  <c:v>2.7999999999999995E-3</c:v>
                </c:pt>
                <c:pt idx="29">
                  <c:v>2.9513314186748237E-3</c:v>
                </c:pt>
                <c:pt idx="30">
                  <c:v>3.1052950170405939E-3</c:v>
                </c:pt>
                <c:pt idx="31">
                  <c:v>3.261846541016738E-3</c:v>
                </c:pt>
                <c:pt idx="32">
                  <c:v>3.4209438964790317E-3</c:v>
                </c:pt>
                <c:pt idx="33">
                  <c:v>3.5825469790559425E-3</c:v>
                </c:pt>
                <c:pt idx="34">
                  <c:v>3.7466175221315093E-3</c:v>
                </c:pt>
                <c:pt idx="35">
                  <c:v>3.9131189606246312E-3</c:v>
                </c:pt>
                <c:pt idx="36">
                  <c:v>4.0820163084996537E-3</c:v>
                </c:pt>
                <c:pt idx="37">
                  <c:v>4.2532760482782142E-3</c:v>
                </c:pt>
                <c:pt idx="38">
                  <c:v>4.426866031081454E-3</c:v>
                </c:pt>
                <c:pt idx="39">
                  <c:v>4.6027553859462429E-3</c:v>
                </c:pt>
                <c:pt idx="40">
                  <c:v>4.780914437337574E-3</c:v>
                </c:pt>
                <c:pt idx="41">
                  <c:v>4.9613146299285283E-3</c:v>
                </c:pt>
                <c:pt idx="42">
                  <c:v>5.1439284598446744E-3</c:v>
                </c:pt>
                <c:pt idx="43">
                  <c:v>5.3287294116756527E-3</c:v>
                </c:pt>
                <c:pt idx="44">
                  <c:v>5.5156919006464763E-3</c:v>
                </c:pt>
                <c:pt idx="45">
                  <c:v>5.7047912194174875E-3</c:v>
                </c:pt>
                <c:pt idx="46">
                  <c:v>5.896003489047231E-3</c:v>
                </c:pt>
                <c:pt idx="47">
                  <c:v>6.0893056137085828E-3</c:v>
                </c:pt>
                <c:pt idx="48">
                  <c:v>6.284675238796578E-3</c:v>
                </c:pt>
                <c:pt idx="49">
                  <c:v>6.4820907121082467E-3</c:v>
                </c:pt>
                <c:pt idx="50">
                  <c:v>6.681531047810608E-3</c:v>
                </c:pt>
                <c:pt idx="51">
                  <c:v>6.8829758929446466E-3</c:v>
                </c:pt>
                <c:pt idx="52">
                  <c:v>7.0864054962401675E-3</c:v>
                </c:pt>
                <c:pt idx="53">
                  <c:v>7.291800679040613E-3</c:v>
                </c:pt>
                <c:pt idx="54">
                  <c:v>7.4991428081576652E-3</c:v>
                </c:pt>
                <c:pt idx="55">
                  <c:v>7.7084137704940877E-3</c:v>
                </c:pt>
                <c:pt idx="56">
                  <c:v>7.9195959492893309E-3</c:v>
                </c:pt>
                <c:pt idx="57">
                  <c:v>8.1326722018569726E-3</c:v>
                </c:pt>
                <c:pt idx="58">
                  <c:v>8.3476258386955219E-3</c:v>
                </c:pt>
                <c:pt idx="59">
                  <c:v>8.5644406038656654E-3</c:v>
                </c:pt>
                <c:pt idx="60">
                  <c:v>8.7831006565368009E-3</c:v>
                </c:pt>
                <c:pt idx="61">
                  <c:v>9.0035905536148646E-3</c:v>
                </c:pt>
                <c:pt idx="62">
                  <c:v>9.2258952333712767E-3</c:v>
                </c:pt>
                <c:pt idx="63">
                  <c:v>9.4499999999999983E-3</c:v>
                </c:pt>
                <c:pt idx="64">
                  <c:v>9.6758905090362154E-3</c:v>
                </c:pt>
                <c:pt idx="65">
                  <c:v>9.9035527535757169E-3</c:v>
                </c:pt>
                <c:pt idx="66">
                  <c:v>1.0132973051239346E-2</c:v>
                </c:pt>
                <c:pt idx="67">
                  <c:v>1.0364138031831551E-2</c:v>
                </c:pt>
                <c:pt idx="68">
                  <c:v>1.0597034625646122E-2</c:v>
                </c:pt>
                <c:pt idx="69">
                  <c:v>1.0831650052376272E-2</c:v>
                </c:pt>
                <c:pt idx="70">
                  <c:v>1.1067971810589326E-2</c:v>
                </c:pt>
                <c:pt idx="71">
                  <c:v>1.130598766772975E-2</c:v>
                </c:pt>
                <c:pt idx="72">
                  <c:v>1.1545685650616736E-2</c:v>
                </c:pt>
                <c:pt idx="73">
                  <c:v>1.1787054036405488E-2</c:v>
                </c:pt>
                <c:pt idx="74">
                  <c:v>1.2030081343983388E-2</c:v>
                </c:pt>
                <c:pt idx="75">
                  <c:v>1.2274756325774575E-2</c:v>
                </c:pt>
                <c:pt idx="76">
                  <c:v>1.2521067959928292E-2</c:v>
                </c:pt>
                <c:pt idx="77">
                  <c:v>1.2769005442868291E-2</c:v>
                </c:pt>
                <c:pt idx="78">
                  <c:v>1.301855818218197E-2</c:v>
                </c:pt>
                <c:pt idx="79">
                  <c:v>1.3269715789829753E-2</c:v>
                </c:pt>
                <c:pt idx="80">
                  <c:v>1.3522468075656264E-2</c:v>
                </c:pt>
                <c:pt idx="81">
                  <c:v>1.3776805041186332E-2</c:v>
                </c:pt>
                <c:pt idx="82">
                  <c:v>1.4032716873689956E-2</c:v>
                </c:pt>
                <c:pt idx="83">
                  <c:v>1.4290193940501399E-2</c:v>
                </c:pt>
                <c:pt idx="84">
                  <c:v>1.4549226783578565E-2</c:v>
                </c:pt>
                <c:pt idx="85">
                  <c:v>1.4809806114289854E-2</c:v>
                </c:pt>
                <c:pt idx="86">
                  <c:v>1.5071922808416223E-2</c:v>
                </c:pt>
                <c:pt idx="87">
                  <c:v>1.5335567901357386E-2</c:v>
                </c:pt>
                <c:pt idx="88">
                  <c:v>1.5600732583531365E-2</c:v>
                </c:pt>
                <c:pt idx="89">
                  <c:v>1.5867408195957607E-2</c:v>
                </c:pt>
                <c:pt idx="90">
                  <c:v>1.6135586226014319E-2</c:v>
                </c:pt>
                <c:pt idx="91">
                  <c:v>1.6405258303361155E-2</c:v>
                </c:pt>
                <c:pt idx="92">
                  <c:v>1.6676416196019367E-2</c:v>
                </c:pt>
                <c:pt idx="93">
                  <c:v>1.6949051806601369E-2</c:v>
                </c:pt>
                <c:pt idx="94">
                  <c:v>1.7223157168682598E-2</c:v>
                </c:pt>
                <c:pt idx="95">
                  <c:v>1.7498724443308914E-2</c:v>
                </c:pt>
                <c:pt idx="96">
                  <c:v>1.7775745915632985E-2</c:v>
                </c:pt>
                <c:pt idx="97">
                  <c:v>1.8054213991673604E-2</c:v>
                </c:pt>
                <c:pt idx="98">
                  <c:v>1.8334121195192312E-2</c:v>
                </c:pt>
                <c:pt idx="99">
                  <c:v>1.8615460164681852E-2</c:v>
                </c:pt>
                <c:pt idx="100">
                  <c:v>1.8898223650461361E-2</c:v>
                </c:pt>
                <c:pt idx="101">
                  <c:v>1.9182404511873443E-2</c:v>
                </c:pt>
                <c:pt idx="102">
                  <c:v>1.9467995714578759E-2</c:v>
                </c:pt>
                <c:pt idx="103">
                  <c:v>1.975499032794354E-2</c:v>
                </c:pt>
                <c:pt idx="104">
                  <c:v>2.0043381522516172E-2</c:v>
                </c:pt>
                <c:pt idx="105">
                  <c:v>2.0333162567588943E-2</c:v>
                </c:pt>
                <c:pt idx="106">
                  <c:v>2.0624326828841157E-2</c:v>
                </c:pt>
                <c:pt idx="107">
                  <c:v>2.0916867766060412E-2</c:v>
                </c:pt>
                <c:pt idx="108">
                  <c:v>2.1210778930938458E-2</c:v>
                </c:pt>
                <c:pt idx="109">
                  <c:v>2.1506053964938734E-2</c:v>
                </c:pt>
                <c:pt idx="110">
                  <c:v>2.1802686597232529E-2</c:v>
                </c:pt>
                <c:pt idx="111">
                  <c:v>2.2100670642700933E-2</c:v>
                </c:pt>
                <c:pt idx="112">
                  <c:v>2.2399999999999996E-2</c:v>
                </c:pt>
                <c:pt idx="113">
                  <c:v>2.2700668649686458E-2</c:v>
                </c:pt>
                <c:pt idx="114">
                  <c:v>2.3002670652401573E-2</c:v>
                </c:pt>
                <c:pt idx="115">
                  <c:v>2.3306000147111105E-2</c:v>
                </c:pt>
                <c:pt idx="116">
                  <c:v>2.3610651349398586E-2</c:v>
                </c:pt>
                <c:pt idx="117">
                  <c:v>2.3916618549810562E-2</c:v>
                </c:pt>
                <c:pt idx="118">
                  <c:v>2.4223896112251286E-2</c:v>
                </c:pt>
                <c:pt idx="119">
                  <c:v>2.4532478472425071E-2</c:v>
                </c:pt>
                <c:pt idx="120">
                  <c:v>2.4842360136324751E-2</c:v>
                </c:pt>
                <c:pt idx="121">
                  <c:v>2.5153535678764063E-2</c:v>
                </c:pt>
                <c:pt idx="122">
                  <c:v>2.5465999741952846E-2</c:v>
                </c:pt>
                <c:pt idx="123">
                  <c:v>2.5779747034112996E-2</c:v>
                </c:pt>
                <c:pt idx="124">
                  <c:v>2.6094772328133908E-2</c:v>
                </c:pt>
                <c:pt idx="125">
                  <c:v>2.6411070460266143E-2</c:v>
                </c:pt>
                <c:pt idx="126">
                  <c:v>2.6728636328851498E-2</c:v>
                </c:pt>
                <c:pt idx="127">
                  <c:v>2.7047464893088551E-2</c:v>
                </c:pt>
                <c:pt idx="128">
                  <c:v>2.7367551171832264E-2</c:v>
                </c:pt>
                <c:pt idx="129">
                  <c:v>2.7688890242426521E-2</c:v>
                </c:pt>
                <c:pt idx="130">
                  <c:v>2.8011477239568379E-2</c:v>
                </c:pt>
                <c:pt idx="131">
                  <c:v>2.8335307354202859E-2</c:v>
                </c:pt>
                <c:pt idx="132">
                  <c:v>2.8660375832447529E-2</c:v>
                </c:pt>
                <c:pt idx="133">
                  <c:v>2.8986677974545478E-2</c:v>
                </c:pt>
                <c:pt idx="134">
                  <c:v>2.9314209133845935E-2</c:v>
                </c:pt>
                <c:pt idx="135">
                  <c:v>2.9642964715811706E-2</c:v>
                </c:pt>
                <c:pt idx="136">
                  <c:v>2.9972940177052081E-2</c:v>
                </c:pt>
                <c:pt idx="137">
                  <c:v>3.0304131024381103E-2</c:v>
                </c:pt>
                <c:pt idx="138">
                  <c:v>3.0636532813899543E-2</c:v>
                </c:pt>
                <c:pt idx="139">
                  <c:v>3.0970141150100414E-2</c:v>
                </c:pt>
                <c:pt idx="140">
                  <c:v>3.1304951684997064E-2</c:v>
                </c:pt>
                <c:pt idx="141">
                  <c:v>3.1640960117272944E-2</c:v>
                </c:pt>
                <c:pt idx="142">
                  <c:v>3.1978162191452726E-2</c:v>
                </c:pt>
                <c:pt idx="143">
                  <c:v>3.2316553697093742E-2</c:v>
                </c:pt>
                <c:pt idx="144">
                  <c:v>3.2656130467997237E-2</c:v>
                </c:pt>
                <c:pt idx="145">
                  <c:v>3.2996888381438987E-2</c:v>
                </c:pt>
                <c:pt idx="146">
                  <c:v>3.3338823357418342E-2</c:v>
                </c:pt>
                <c:pt idx="147">
                  <c:v>3.3681931357925445E-2</c:v>
                </c:pt>
                <c:pt idx="148">
                  <c:v>3.4026208386225713E-2</c:v>
                </c:pt>
                <c:pt idx="149">
                  <c:v>3.4371650486161663E-2</c:v>
                </c:pt>
                <c:pt idx="150">
                  <c:v>3.471825374147066E-2</c:v>
                </c:pt>
              </c:numCache>
            </c:numRef>
          </c:yVal>
          <c:smooth val="1"/>
          <c:extLst>
            <c:ext xmlns:c16="http://schemas.microsoft.com/office/drawing/2014/chart" uri="{C3380CC4-5D6E-409C-BE32-E72D297353CC}">
              <c16:uniqueId val="{00000002-C391-4527-8BBE-DDCDE94A24A4}"/>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Eff_vs_IOUT!$AY$8:$AY$157</c:f>
              <c:numCache>
                <c:formatCode>General</c:formatCode>
                <c:ptCount val="150"/>
                <c:pt idx="0">
                  <c:v>0.92983333333333329</c:v>
                </c:pt>
                <c:pt idx="1">
                  <c:v>0.9321666666666667</c:v>
                </c:pt>
                <c:pt idx="2">
                  <c:v>0.9345</c:v>
                </c:pt>
                <c:pt idx="3">
                  <c:v>0.9368333333333333</c:v>
                </c:pt>
                <c:pt idx="4">
                  <c:v>0.93916666666666671</c:v>
                </c:pt>
                <c:pt idx="5">
                  <c:v>0.9415</c:v>
                </c:pt>
                <c:pt idx="6">
                  <c:v>0.9438333333333333</c:v>
                </c:pt>
                <c:pt idx="7">
                  <c:v>0.94616666666666671</c:v>
                </c:pt>
                <c:pt idx="8">
                  <c:v>0.94850000000000001</c:v>
                </c:pt>
                <c:pt idx="9">
                  <c:v>0.95083333333333331</c:v>
                </c:pt>
                <c:pt idx="10">
                  <c:v>0.95316666666666661</c:v>
                </c:pt>
                <c:pt idx="11">
                  <c:v>0.95550000000000002</c:v>
                </c:pt>
                <c:pt idx="12">
                  <c:v>0.95783333333333331</c:v>
                </c:pt>
                <c:pt idx="13">
                  <c:v>0.96016666666666661</c:v>
                </c:pt>
                <c:pt idx="14">
                  <c:v>0.96250000000000002</c:v>
                </c:pt>
                <c:pt idx="15">
                  <c:v>0.96483333333333332</c:v>
                </c:pt>
                <c:pt idx="16">
                  <c:v>0.96716666666666662</c:v>
                </c:pt>
                <c:pt idx="17">
                  <c:v>0.96950000000000003</c:v>
                </c:pt>
                <c:pt idx="18">
                  <c:v>0.97183333333333333</c:v>
                </c:pt>
                <c:pt idx="19">
                  <c:v>0.97416666666666663</c:v>
                </c:pt>
                <c:pt idx="20">
                  <c:v>0.97650000000000003</c:v>
                </c:pt>
                <c:pt idx="21">
                  <c:v>0.97883333333333333</c:v>
                </c:pt>
                <c:pt idx="22">
                  <c:v>0.98116666666666663</c:v>
                </c:pt>
                <c:pt idx="23">
                  <c:v>0.98350000000000004</c:v>
                </c:pt>
                <c:pt idx="24">
                  <c:v>0.98583333333333334</c:v>
                </c:pt>
                <c:pt idx="25">
                  <c:v>0.98816666666666664</c:v>
                </c:pt>
                <c:pt idx="26">
                  <c:v>0.99049999999999994</c:v>
                </c:pt>
                <c:pt idx="27">
                  <c:v>0.99283333333333335</c:v>
                </c:pt>
                <c:pt idx="28">
                  <c:v>0.99516666666666664</c:v>
                </c:pt>
                <c:pt idx="29">
                  <c:v>0.99749999999999994</c:v>
                </c:pt>
                <c:pt idx="30">
                  <c:v>0.99983333333333335</c:v>
                </c:pt>
                <c:pt idx="31">
                  <c:v>1.0021666666666667</c:v>
                </c:pt>
                <c:pt idx="32">
                  <c:v>1.0044999999999999</c:v>
                </c:pt>
                <c:pt idx="33">
                  <c:v>1.0068333333333332</c:v>
                </c:pt>
                <c:pt idx="34">
                  <c:v>1.0091666666666668</c:v>
                </c:pt>
                <c:pt idx="35">
                  <c:v>1.0115000000000001</c:v>
                </c:pt>
                <c:pt idx="36">
                  <c:v>1.0138333333333334</c:v>
                </c:pt>
                <c:pt idx="37">
                  <c:v>1.0161666666666667</c:v>
                </c:pt>
                <c:pt idx="38">
                  <c:v>1.0185</c:v>
                </c:pt>
                <c:pt idx="39">
                  <c:v>1.0208333333333333</c:v>
                </c:pt>
                <c:pt idx="40">
                  <c:v>1.0231666666666666</c:v>
                </c:pt>
                <c:pt idx="41">
                  <c:v>1.0255000000000001</c:v>
                </c:pt>
                <c:pt idx="42">
                  <c:v>1.0278333333333334</c:v>
                </c:pt>
                <c:pt idx="43">
                  <c:v>1.0301666666666667</c:v>
                </c:pt>
                <c:pt idx="44">
                  <c:v>1.0325</c:v>
                </c:pt>
                <c:pt idx="45">
                  <c:v>1.0348333333333333</c:v>
                </c:pt>
                <c:pt idx="46">
                  <c:v>1.0371666666666666</c:v>
                </c:pt>
                <c:pt idx="47">
                  <c:v>1.0394999999999999</c:v>
                </c:pt>
                <c:pt idx="48">
                  <c:v>1.0418333333333334</c:v>
                </c:pt>
                <c:pt idx="49">
                  <c:v>1.0441666666666667</c:v>
                </c:pt>
                <c:pt idx="50">
                  <c:v>1.0465</c:v>
                </c:pt>
                <c:pt idx="51">
                  <c:v>1.0488333333333333</c:v>
                </c:pt>
                <c:pt idx="52">
                  <c:v>1.0511666666666666</c:v>
                </c:pt>
                <c:pt idx="53">
                  <c:v>1.0535000000000001</c:v>
                </c:pt>
                <c:pt idx="54">
                  <c:v>1.0558333333333334</c:v>
                </c:pt>
                <c:pt idx="55">
                  <c:v>1.0581666666666667</c:v>
                </c:pt>
                <c:pt idx="56">
                  <c:v>1.0605</c:v>
                </c:pt>
                <c:pt idx="57">
                  <c:v>1.0628333333333333</c:v>
                </c:pt>
                <c:pt idx="58">
                  <c:v>1.0651666666666666</c:v>
                </c:pt>
                <c:pt idx="59">
                  <c:v>1.0674999999999999</c:v>
                </c:pt>
                <c:pt idx="60">
                  <c:v>1.0698333333333334</c:v>
                </c:pt>
                <c:pt idx="61">
                  <c:v>1.0721666666666667</c:v>
                </c:pt>
                <c:pt idx="62">
                  <c:v>1.0745</c:v>
                </c:pt>
                <c:pt idx="63">
                  <c:v>1.0768333333333333</c:v>
                </c:pt>
                <c:pt idx="64">
                  <c:v>1.0791666666666666</c:v>
                </c:pt>
                <c:pt idx="65">
                  <c:v>1.0814999999999999</c:v>
                </c:pt>
                <c:pt idx="66">
                  <c:v>1.0838333333333332</c:v>
                </c:pt>
                <c:pt idx="67">
                  <c:v>1.0861666666666667</c:v>
                </c:pt>
                <c:pt idx="68">
                  <c:v>1.0885</c:v>
                </c:pt>
                <c:pt idx="69">
                  <c:v>1.0908333333333333</c:v>
                </c:pt>
                <c:pt idx="70">
                  <c:v>1.0931666666666666</c:v>
                </c:pt>
                <c:pt idx="71">
                  <c:v>1.0954999999999999</c:v>
                </c:pt>
                <c:pt idx="72">
                  <c:v>1.0978333333333334</c:v>
                </c:pt>
                <c:pt idx="73">
                  <c:v>1.1001666666666667</c:v>
                </c:pt>
                <c:pt idx="74">
                  <c:v>1.1025</c:v>
                </c:pt>
                <c:pt idx="75">
                  <c:v>1.1048333333333333</c:v>
                </c:pt>
                <c:pt idx="76">
                  <c:v>1.1071666666666666</c:v>
                </c:pt>
                <c:pt idx="77">
                  <c:v>1.1094999999999999</c:v>
                </c:pt>
                <c:pt idx="78">
                  <c:v>1.1118333333333332</c:v>
                </c:pt>
                <c:pt idx="79">
                  <c:v>1.1141666666666667</c:v>
                </c:pt>
                <c:pt idx="80">
                  <c:v>1.1165</c:v>
                </c:pt>
                <c:pt idx="81">
                  <c:v>1.1188333333333333</c:v>
                </c:pt>
                <c:pt idx="82">
                  <c:v>1.1211666666666666</c:v>
                </c:pt>
                <c:pt idx="83">
                  <c:v>1.1234999999999999</c:v>
                </c:pt>
                <c:pt idx="84">
                  <c:v>1.1258333333333332</c:v>
                </c:pt>
                <c:pt idx="85">
                  <c:v>1.1281666666666665</c:v>
                </c:pt>
                <c:pt idx="86">
                  <c:v>1.1305000000000001</c:v>
                </c:pt>
                <c:pt idx="87">
                  <c:v>1.1328333333333334</c:v>
                </c:pt>
                <c:pt idx="88">
                  <c:v>1.1351666666666667</c:v>
                </c:pt>
                <c:pt idx="89">
                  <c:v>1.1375</c:v>
                </c:pt>
                <c:pt idx="90">
                  <c:v>1.1398333333333333</c:v>
                </c:pt>
                <c:pt idx="91">
                  <c:v>1.1421666666666666</c:v>
                </c:pt>
                <c:pt idx="92">
                  <c:v>1.1445000000000001</c:v>
                </c:pt>
                <c:pt idx="93">
                  <c:v>1.1468333333333334</c:v>
                </c:pt>
                <c:pt idx="94">
                  <c:v>1.1491666666666667</c:v>
                </c:pt>
                <c:pt idx="95">
                  <c:v>1.1515</c:v>
                </c:pt>
                <c:pt idx="96">
                  <c:v>1.1538333333333333</c:v>
                </c:pt>
                <c:pt idx="97">
                  <c:v>1.1561666666666666</c:v>
                </c:pt>
                <c:pt idx="98">
                  <c:v>1.1585000000000001</c:v>
                </c:pt>
                <c:pt idx="99">
                  <c:v>1.1608333333333334</c:v>
                </c:pt>
                <c:pt idx="100">
                  <c:v>1.1631666666666667</c:v>
                </c:pt>
                <c:pt idx="101">
                  <c:v>1.1655</c:v>
                </c:pt>
                <c:pt idx="102">
                  <c:v>1.1678333333333333</c:v>
                </c:pt>
                <c:pt idx="103">
                  <c:v>1.1701666666666666</c:v>
                </c:pt>
                <c:pt idx="104">
                  <c:v>1.1724999999999999</c:v>
                </c:pt>
                <c:pt idx="105">
                  <c:v>1.1748333333333334</c:v>
                </c:pt>
                <c:pt idx="106">
                  <c:v>1.1771666666666667</c:v>
                </c:pt>
                <c:pt idx="107">
                  <c:v>1.1795</c:v>
                </c:pt>
                <c:pt idx="108">
                  <c:v>1.1818333333333333</c:v>
                </c:pt>
                <c:pt idx="109">
                  <c:v>1.1841666666666666</c:v>
                </c:pt>
                <c:pt idx="110">
                  <c:v>1.1865000000000001</c:v>
                </c:pt>
                <c:pt idx="111">
                  <c:v>1.1888333333333332</c:v>
                </c:pt>
                <c:pt idx="112">
                  <c:v>1.1911666666666667</c:v>
                </c:pt>
                <c:pt idx="113">
                  <c:v>1.1935</c:v>
                </c:pt>
                <c:pt idx="114">
                  <c:v>1.1958333333333333</c:v>
                </c:pt>
                <c:pt idx="115">
                  <c:v>1.1981666666666666</c:v>
                </c:pt>
                <c:pt idx="116">
                  <c:v>1.2004999999999999</c:v>
                </c:pt>
                <c:pt idx="117">
                  <c:v>1.2028333333333334</c:v>
                </c:pt>
                <c:pt idx="118">
                  <c:v>1.2051666666666667</c:v>
                </c:pt>
                <c:pt idx="119">
                  <c:v>1.2075</c:v>
                </c:pt>
                <c:pt idx="120">
                  <c:v>1.2098333333333333</c:v>
                </c:pt>
                <c:pt idx="121">
                  <c:v>1.2121666666666666</c:v>
                </c:pt>
                <c:pt idx="122">
                  <c:v>1.2144999999999999</c:v>
                </c:pt>
                <c:pt idx="123">
                  <c:v>1.2168333333333332</c:v>
                </c:pt>
                <c:pt idx="124">
                  <c:v>1.2191666666666667</c:v>
                </c:pt>
                <c:pt idx="125">
                  <c:v>1.2215</c:v>
                </c:pt>
                <c:pt idx="126">
                  <c:v>1.2238333333333333</c:v>
                </c:pt>
                <c:pt idx="127">
                  <c:v>1.2261666666666666</c:v>
                </c:pt>
                <c:pt idx="128">
                  <c:v>1.2284999999999999</c:v>
                </c:pt>
                <c:pt idx="129">
                  <c:v>1.2308333333333334</c:v>
                </c:pt>
                <c:pt idx="130">
                  <c:v>1.2331666666666665</c:v>
                </c:pt>
                <c:pt idx="131">
                  <c:v>1.2355</c:v>
                </c:pt>
                <c:pt idx="132">
                  <c:v>1.2378333333333333</c:v>
                </c:pt>
                <c:pt idx="133">
                  <c:v>1.2401666666666666</c:v>
                </c:pt>
                <c:pt idx="134">
                  <c:v>1.2424999999999999</c:v>
                </c:pt>
                <c:pt idx="135">
                  <c:v>1.2448333333333332</c:v>
                </c:pt>
                <c:pt idx="136">
                  <c:v>1.2471666666666668</c:v>
                </c:pt>
                <c:pt idx="137">
                  <c:v>1.2495000000000001</c:v>
                </c:pt>
                <c:pt idx="138">
                  <c:v>1.2518333333333334</c:v>
                </c:pt>
                <c:pt idx="139">
                  <c:v>1.2541666666666667</c:v>
                </c:pt>
                <c:pt idx="140">
                  <c:v>1.2565</c:v>
                </c:pt>
                <c:pt idx="141">
                  <c:v>1.2588333333333332</c:v>
                </c:pt>
                <c:pt idx="142">
                  <c:v>1.2611666666666665</c:v>
                </c:pt>
                <c:pt idx="143">
                  <c:v>1.2635000000000001</c:v>
                </c:pt>
                <c:pt idx="144">
                  <c:v>1.2658333333333334</c:v>
                </c:pt>
                <c:pt idx="145">
                  <c:v>1.2681666666666667</c:v>
                </c:pt>
                <c:pt idx="146">
                  <c:v>1.2705</c:v>
                </c:pt>
                <c:pt idx="147">
                  <c:v>1.2728333333333333</c:v>
                </c:pt>
                <c:pt idx="148">
                  <c:v>1.2751666666666666</c:v>
                </c:pt>
                <c:pt idx="149">
                  <c:v>1.2774999999999999</c:v>
                </c:pt>
              </c:numCache>
            </c:numRef>
          </c:yVal>
          <c:smooth val="1"/>
          <c:extLst>
            <c:ext xmlns:c16="http://schemas.microsoft.com/office/drawing/2014/chart" uri="{C3380CC4-5D6E-409C-BE32-E72D297353CC}">
              <c16:uniqueId val="{00000003-C391-4527-8BBE-DDCDE94A24A4}"/>
            </c:ext>
          </c:extLst>
        </c:ser>
        <c:ser>
          <c:idx val="4"/>
          <c:order val="4"/>
          <c:tx>
            <c:v>D2</c:v>
          </c:tx>
          <c:marker>
            <c:symbol val="none"/>
          </c:marker>
          <c:xVal>
            <c:numRef>
              <c:f>Eff_vs_IOUT!$R$8:$R$157</c:f>
              <c:numCache>
                <c:formatCode>General</c:formatCode>
                <c:ptCount val="150"/>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pt idx="14">
                  <c:v>3.75</c:v>
                </c:pt>
                <c:pt idx="15">
                  <c:v>4</c:v>
                </c:pt>
                <c:pt idx="16">
                  <c:v>4.25</c:v>
                </c:pt>
                <c:pt idx="17">
                  <c:v>4.5</c:v>
                </c:pt>
                <c:pt idx="18">
                  <c:v>4.75</c:v>
                </c:pt>
                <c:pt idx="19">
                  <c:v>5</c:v>
                </c:pt>
                <c:pt idx="20">
                  <c:v>5.25</c:v>
                </c:pt>
                <c:pt idx="21">
                  <c:v>5.5</c:v>
                </c:pt>
                <c:pt idx="22">
                  <c:v>5.75</c:v>
                </c:pt>
                <c:pt idx="23">
                  <c:v>6</c:v>
                </c:pt>
                <c:pt idx="24">
                  <c:v>6.25</c:v>
                </c:pt>
                <c:pt idx="25">
                  <c:v>6.5</c:v>
                </c:pt>
                <c:pt idx="26">
                  <c:v>6.75</c:v>
                </c:pt>
                <c:pt idx="27">
                  <c:v>7</c:v>
                </c:pt>
                <c:pt idx="28">
                  <c:v>7.25</c:v>
                </c:pt>
                <c:pt idx="29">
                  <c:v>7.5</c:v>
                </c:pt>
                <c:pt idx="30">
                  <c:v>7.75</c:v>
                </c:pt>
                <c:pt idx="31">
                  <c:v>8</c:v>
                </c:pt>
                <c:pt idx="32">
                  <c:v>8.25</c:v>
                </c:pt>
                <c:pt idx="33">
                  <c:v>8.5</c:v>
                </c:pt>
                <c:pt idx="34">
                  <c:v>8.75</c:v>
                </c:pt>
                <c:pt idx="35">
                  <c:v>9</c:v>
                </c:pt>
                <c:pt idx="36">
                  <c:v>9.25</c:v>
                </c:pt>
                <c:pt idx="37">
                  <c:v>9.5</c:v>
                </c:pt>
                <c:pt idx="38">
                  <c:v>9.75</c:v>
                </c:pt>
                <c:pt idx="39">
                  <c:v>10</c:v>
                </c:pt>
                <c:pt idx="40">
                  <c:v>10.25</c:v>
                </c:pt>
                <c:pt idx="41">
                  <c:v>10.5</c:v>
                </c:pt>
                <c:pt idx="42">
                  <c:v>10.75</c:v>
                </c:pt>
                <c:pt idx="43">
                  <c:v>11</c:v>
                </c:pt>
                <c:pt idx="44">
                  <c:v>11.25</c:v>
                </c:pt>
                <c:pt idx="45">
                  <c:v>11.5</c:v>
                </c:pt>
                <c:pt idx="46">
                  <c:v>11.75</c:v>
                </c:pt>
                <c:pt idx="47">
                  <c:v>12</c:v>
                </c:pt>
                <c:pt idx="48">
                  <c:v>12.25</c:v>
                </c:pt>
                <c:pt idx="49">
                  <c:v>12.5</c:v>
                </c:pt>
                <c:pt idx="50">
                  <c:v>12.75</c:v>
                </c:pt>
                <c:pt idx="51">
                  <c:v>13</c:v>
                </c:pt>
                <c:pt idx="52">
                  <c:v>13.25</c:v>
                </c:pt>
                <c:pt idx="53">
                  <c:v>13.5</c:v>
                </c:pt>
                <c:pt idx="54">
                  <c:v>13.75</c:v>
                </c:pt>
                <c:pt idx="55">
                  <c:v>14</c:v>
                </c:pt>
                <c:pt idx="56">
                  <c:v>14.25</c:v>
                </c:pt>
                <c:pt idx="57">
                  <c:v>14.5</c:v>
                </c:pt>
                <c:pt idx="58">
                  <c:v>14.75</c:v>
                </c:pt>
                <c:pt idx="59">
                  <c:v>15</c:v>
                </c:pt>
                <c:pt idx="60">
                  <c:v>15.25</c:v>
                </c:pt>
                <c:pt idx="61">
                  <c:v>15.5</c:v>
                </c:pt>
                <c:pt idx="62">
                  <c:v>15.75</c:v>
                </c:pt>
                <c:pt idx="63">
                  <c:v>16</c:v>
                </c:pt>
                <c:pt idx="64">
                  <c:v>16.25</c:v>
                </c:pt>
                <c:pt idx="65">
                  <c:v>16.5</c:v>
                </c:pt>
                <c:pt idx="66">
                  <c:v>16.75</c:v>
                </c:pt>
                <c:pt idx="67">
                  <c:v>17</c:v>
                </c:pt>
                <c:pt idx="68">
                  <c:v>17.25</c:v>
                </c:pt>
                <c:pt idx="69">
                  <c:v>17.5</c:v>
                </c:pt>
                <c:pt idx="70">
                  <c:v>17.75</c:v>
                </c:pt>
                <c:pt idx="71">
                  <c:v>18</c:v>
                </c:pt>
                <c:pt idx="72">
                  <c:v>18.25</c:v>
                </c:pt>
                <c:pt idx="73">
                  <c:v>18.5</c:v>
                </c:pt>
                <c:pt idx="74">
                  <c:v>18.75</c:v>
                </c:pt>
                <c:pt idx="75">
                  <c:v>19</c:v>
                </c:pt>
                <c:pt idx="76">
                  <c:v>19.25</c:v>
                </c:pt>
                <c:pt idx="77">
                  <c:v>19.5</c:v>
                </c:pt>
                <c:pt idx="78">
                  <c:v>19.75</c:v>
                </c:pt>
                <c:pt idx="79">
                  <c:v>20</c:v>
                </c:pt>
                <c:pt idx="80">
                  <c:v>20.25</c:v>
                </c:pt>
                <c:pt idx="81">
                  <c:v>20.5</c:v>
                </c:pt>
                <c:pt idx="82">
                  <c:v>20.75</c:v>
                </c:pt>
                <c:pt idx="83">
                  <c:v>21</c:v>
                </c:pt>
                <c:pt idx="84">
                  <c:v>21.25</c:v>
                </c:pt>
                <c:pt idx="85">
                  <c:v>21.5</c:v>
                </c:pt>
                <c:pt idx="86">
                  <c:v>21.75</c:v>
                </c:pt>
                <c:pt idx="87">
                  <c:v>22</c:v>
                </c:pt>
                <c:pt idx="88">
                  <c:v>22.25</c:v>
                </c:pt>
                <c:pt idx="89">
                  <c:v>22.5</c:v>
                </c:pt>
                <c:pt idx="90">
                  <c:v>22.75</c:v>
                </c:pt>
                <c:pt idx="91">
                  <c:v>23</c:v>
                </c:pt>
                <c:pt idx="92">
                  <c:v>23.25</c:v>
                </c:pt>
                <c:pt idx="93">
                  <c:v>23.5</c:v>
                </c:pt>
                <c:pt idx="94">
                  <c:v>23.75</c:v>
                </c:pt>
                <c:pt idx="95">
                  <c:v>24</c:v>
                </c:pt>
                <c:pt idx="96">
                  <c:v>24.25</c:v>
                </c:pt>
                <c:pt idx="97">
                  <c:v>24.5</c:v>
                </c:pt>
                <c:pt idx="98">
                  <c:v>24.75</c:v>
                </c:pt>
                <c:pt idx="99">
                  <c:v>25</c:v>
                </c:pt>
                <c:pt idx="100">
                  <c:v>25.25</c:v>
                </c:pt>
                <c:pt idx="101">
                  <c:v>25.5</c:v>
                </c:pt>
                <c:pt idx="102">
                  <c:v>25.75</c:v>
                </c:pt>
                <c:pt idx="103">
                  <c:v>26</c:v>
                </c:pt>
                <c:pt idx="104">
                  <c:v>26.25</c:v>
                </c:pt>
                <c:pt idx="105">
                  <c:v>26.5</c:v>
                </c:pt>
                <c:pt idx="106">
                  <c:v>26.75</c:v>
                </c:pt>
                <c:pt idx="107">
                  <c:v>27</c:v>
                </c:pt>
                <c:pt idx="108">
                  <c:v>27.25</c:v>
                </c:pt>
                <c:pt idx="109">
                  <c:v>27.5</c:v>
                </c:pt>
                <c:pt idx="110">
                  <c:v>27.75</c:v>
                </c:pt>
                <c:pt idx="111">
                  <c:v>28</c:v>
                </c:pt>
                <c:pt idx="112">
                  <c:v>28.25</c:v>
                </c:pt>
                <c:pt idx="113">
                  <c:v>28.5</c:v>
                </c:pt>
                <c:pt idx="114">
                  <c:v>28.75</c:v>
                </c:pt>
                <c:pt idx="115">
                  <c:v>29</c:v>
                </c:pt>
                <c:pt idx="116">
                  <c:v>29.25</c:v>
                </c:pt>
                <c:pt idx="117">
                  <c:v>29.5</c:v>
                </c:pt>
                <c:pt idx="118">
                  <c:v>29.75</c:v>
                </c:pt>
                <c:pt idx="119">
                  <c:v>30</c:v>
                </c:pt>
                <c:pt idx="120">
                  <c:v>30.25</c:v>
                </c:pt>
                <c:pt idx="121">
                  <c:v>30.5</c:v>
                </c:pt>
                <c:pt idx="122">
                  <c:v>30.75</c:v>
                </c:pt>
                <c:pt idx="123">
                  <c:v>31</c:v>
                </c:pt>
                <c:pt idx="124">
                  <c:v>31.25</c:v>
                </c:pt>
                <c:pt idx="125">
                  <c:v>31.5</c:v>
                </c:pt>
                <c:pt idx="126">
                  <c:v>31.75</c:v>
                </c:pt>
                <c:pt idx="127">
                  <c:v>32</c:v>
                </c:pt>
                <c:pt idx="128">
                  <c:v>32.25</c:v>
                </c:pt>
                <c:pt idx="129">
                  <c:v>32.5</c:v>
                </c:pt>
                <c:pt idx="130">
                  <c:v>32.75</c:v>
                </c:pt>
                <c:pt idx="131">
                  <c:v>33</c:v>
                </c:pt>
                <c:pt idx="132">
                  <c:v>33.25</c:v>
                </c:pt>
                <c:pt idx="133">
                  <c:v>33.5</c:v>
                </c:pt>
                <c:pt idx="134">
                  <c:v>33.75</c:v>
                </c:pt>
                <c:pt idx="135">
                  <c:v>34</c:v>
                </c:pt>
                <c:pt idx="136">
                  <c:v>34.25</c:v>
                </c:pt>
                <c:pt idx="137">
                  <c:v>34.5</c:v>
                </c:pt>
                <c:pt idx="138">
                  <c:v>34.75</c:v>
                </c:pt>
                <c:pt idx="139">
                  <c:v>35</c:v>
                </c:pt>
                <c:pt idx="140">
                  <c:v>35.25</c:v>
                </c:pt>
                <c:pt idx="141">
                  <c:v>35.5</c:v>
                </c:pt>
                <c:pt idx="142">
                  <c:v>35.75</c:v>
                </c:pt>
                <c:pt idx="143">
                  <c:v>36</c:v>
                </c:pt>
                <c:pt idx="144">
                  <c:v>36.25</c:v>
                </c:pt>
                <c:pt idx="145">
                  <c:v>36.5</c:v>
                </c:pt>
                <c:pt idx="146">
                  <c:v>36.75</c:v>
                </c:pt>
                <c:pt idx="147">
                  <c:v>37</c:v>
                </c:pt>
                <c:pt idx="148">
                  <c:v>37.25</c:v>
                </c:pt>
                <c:pt idx="149">
                  <c:v>37.5</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C391-4527-8BBE-DDCDE94A24A4}"/>
            </c:ext>
          </c:extLst>
        </c:ser>
        <c:dLbls>
          <c:showLegendKey val="0"/>
          <c:showVal val="0"/>
          <c:showCatName val="0"/>
          <c:showSerName val="0"/>
          <c:showPercent val="0"/>
          <c:showBubbleSize val="0"/>
        </c:dLbls>
        <c:axId val="582788608"/>
        <c:axId val="582786432"/>
      </c:scatterChart>
      <c:valAx>
        <c:axId val="582782976"/>
        <c:scaling>
          <c:orientation val="minMax"/>
        </c:scaling>
        <c:delete val="0"/>
        <c:axPos val="b"/>
        <c:majorGridlines/>
        <c:numFmt formatCode="General" sourceLinked="1"/>
        <c:majorTickMark val="out"/>
        <c:minorTickMark val="none"/>
        <c:tickLblPos val="nextTo"/>
        <c:crossAx val="582784512"/>
        <c:crosses val="autoZero"/>
        <c:crossBetween val="midCat"/>
      </c:valAx>
      <c:valAx>
        <c:axId val="582784512"/>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2782976"/>
        <c:crosses val="autoZero"/>
        <c:crossBetween val="midCat"/>
      </c:valAx>
      <c:valAx>
        <c:axId val="58278643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2788608"/>
        <c:crosses val="max"/>
        <c:crossBetween val="midCat"/>
      </c:valAx>
      <c:valAx>
        <c:axId val="582788608"/>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582786432"/>
        <c:crosses val="autoZero"/>
        <c:crossBetween val="midCat"/>
      </c:valAx>
    </c:plotArea>
    <c:legend>
      <c:legendPos val="r"/>
      <c:layout>
        <c:manualLayout>
          <c:xMode val="edge"/>
          <c:yMode val="edge"/>
          <c:x val="0.49339941826540429"/>
          <c:y val="6.4862204724409449E-3"/>
          <c:w val="0.42227913565687919"/>
          <c:h val="0.1165233360670469"/>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Eff_vs_IOUT!$BZ$7:$BZ$157</c:f>
              <c:numCache>
                <c:formatCode>General</c:formatCode>
                <c:ptCount val="151"/>
                <c:pt idx="0">
                  <c:v>0</c:v>
                </c:pt>
                <c:pt idx="1">
                  <c:v>18.876580415263494</c:v>
                </c:pt>
                <c:pt idx="2">
                  <c:v>30.9579989421165</c:v>
                </c:pt>
                <c:pt idx="3">
                  <c:v>39.488763681716357</c:v>
                </c:pt>
                <c:pt idx="4">
                  <c:v>45.869495168920224</c:v>
                </c:pt>
                <c:pt idx="5">
                  <c:v>50.838148376447592</c:v>
                </c:pt>
                <c:pt idx="6">
                  <c:v>54.825443896429938</c:v>
                </c:pt>
                <c:pt idx="7">
                  <c:v>58.101189362502815</c:v>
                </c:pt>
                <c:pt idx="8">
                  <c:v>60.843597051015344</c:v>
                </c:pt>
                <c:pt idx="9">
                  <c:v>63.17538463101058</c:v>
                </c:pt>
                <c:pt idx="10">
                  <c:v>65.183955774447909</c:v>
                </c:pt>
                <c:pt idx="11">
                  <c:v>66.933327936740241</c:v>
                </c:pt>
                <c:pt idx="12">
                  <c:v>68.471509434147919</c:v>
                </c:pt>
                <c:pt idx="13">
                  <c:v>69.835237726311135</c:v>
                </c:pt>
                <c:pt idx="14">
                  <c:v>71.053121932662066</c:v>
                </c:pt>
                <c:pt idx="15">
                  <c:v>72.147785279677564</c:v>
                </c:pt>
                <c:pt idx="16">
                  <c:v>73.137361225129553</c:v>
                </c:pt>
                <c:pt idx="17">
                  <c:v>74.036560520587898</c:v>
                </c:pt>
                <c:pt idx="18">
                  <c:v>74.857446631561245</c:v>
                </c:pt>
                <c:pt idx="19">
                  <c:v>75.61000871893367</c:v>
                </c:pt>
                <c:pt idx="20">
                  <c:v>76.302591438763372</c:v>
                </c:pt>
                <c:pt idx="21">
                  <c:v>76.942221746558118</c:v>
                </c:pt>
                <c:pt idx="22">
                  <c:v>77.534860471503279</c:v>
                </c:pt>
                <c:pt idx="23">
                  <c:v>78.085598171210123</c:v>
                </c:pt>
                <c:pt idx="24">
                  <c:v>78.598809189466863</c:v>
                </c:pt>
                <c:pt idx="25">
                  <c:v>79.078273992729834</c:v>
                </c:pt>
                <c:pt idx="26">
                  <c:v>79.527277172093775</c:v>
                </c:pt>
                <c:pt idx="27">
                  <c:v>79.948686591062625</c:v>
                </c:pt>
                <c:pt idx="28">
                  <c:v>80.345017790128466</c:v>
                </c:pt>
                <c:pt idx="29">
                  <c:v>80.718486763704732</c:v>
                </c:pt>
                <c:pt idx="30">
                  <c:v>81.071053493128346</c:v>
                </c:pt>
                <c:pt idx="31">
                  <c:v>81.404458075789464</c:v>
                </c:pt>
                <c:pt idx="32">
                  <c:v>81.72025088262636</c:v>
                </c:pt>
                <c:pt idx="33">
                  <c:v>82.019817867502468</c:v>
                </c:pt>
                <c:pt idx="34">
                  <c:v>82.304401916272226</c:v>
                </c:pt>
                <c:pt idx="35">
                  <c:v>82.575120941926045</c:v>
                </c:pt>
                <c:pt idx="36">
                  <c:v>82.832983291517138</c:v>
                </c:pt>
                <c:pt idx="37">
                  <c:v>83.078900920688241</c:v>
                </c:pt>
                <c:pt idx="38">
                  <c:v>83.313700705209953</c:v>
                </c:pt>
                <c:pt idx="39">
                  <c:v>83.538134190564108</c:v>
                </c:pt>
                <c:pt idx="40">
                  <c:v>83.752886026164646</c:v>
                </c:pt>
                <c:pt idx="41">
                  <c:v>83.958581287214926</c:v>
                </c:pt>
                <c:pt idx="42">
                  <c:v>84.155791852102368</c:v>
                </c:pt>
                <c:pt idx="43">
                  <c:v>84.345041974825193</c:v>
                </c:pt>
                <c:pt idx="44">
                  <c:v>84.526813168842736</c:v>
                </c:pt>
                <c:pt idx="45">
                  <c:v>84.701548499861048</c:v>
                </c:pt>
                <c:pt idx="46">
                  <c:v>84.869656369567167</c:v>
                </c:pt>
                <c:pt idx="47">
                  <c:v>85.03151385954915</c:v>
                </c:pt>
                <c:pt idx="48">
                  <c:v>85.187469694061065</c:v>
                </c:pt>
                <c:pt idx="49">
                  <c:v>85.337846871502109</c:v>
                </c:pt>
                <c:pt idx="50">
                  <c:v>85.482945007144664</c:v>
                </c:pt>
                <c:pt idx="51">
                  <c:v>85.623042423506021</c:v>
                </c:pt>
                <c:pt idx="52">
                  <c:v>85.758398019598332</c:v>
                </c:pt>
                <c:pt idx="53">
                  <c:v>85.889252945942133</c:v>
                </c:pt>
                <c:pt idx="54">
                  <c:v>86.015832108549418</c:v>
                </c:pt>
                <c:pt idx="55">
                  <c:v>86.138345521961043</c:v>
                </c:pt>
                <c:pt idx="56">
                  <c:v>86.256989528767051</c:v>
                </c:pt>
                <c:pt idx="57">
                  <c:v>86.371947900771701</c:v>
                </c:pt>
                <c:pt idx="58">
                  <c:v>86.483392835024929</c:v>
                </c:pt>
                <c:pt idx="59">
                  <c:v>86.591485856277643</c:v>
                </c:pt>
                <c:pt idx="60">
                  <c:v>86.696378635985099</c:v>
                </c:pt>
                <c:pt idx="61">
                  <c:v>86.798213736748622</c:v>
                </c:pt>
                <c:pt idx="62">
                  <c:v>86.89712529001676</c:v>
                </c:pt>
                <c:pt idx="63">
                  <c:v>86.99323961394181</c:v>
                </c:pt>
                <c:pt idx="64">
                  <c:v>87.086675777483691</c:v>
                </c:pt>
                <c:pt idx="65">
                  <c:v>87.177546116153266</c:v>
                </c:pt>
                <c:pt idx="66">
                  <c:v>87.265956704176091</c:v>
                </c:pt>
                <c:pt idx="67">
                  <c:v>87.352007787324894</c:v>
                </c:pt>
                <c:pt idx="68">
                  <c:v>87.435794180200105</c:v>
                </c:pt>
                <c:pt idx="69">
                  <c:v>87.517405631328714</c:v>
                </c:pt>
                <c:pt idx="70">
                  <c:v>87.596927159090015</c:v>
                </c:pt>
                <c:pt idx="71">
                  <c:v>87.674439361159372</c:v>
                </c:pt>
                <c:pt idx="72">
                  <c:v>87.750018699880272</c:v>
                </c:pt>
                <c:pt idx="73">
                  <c:v>87.823737765727202</c:v>
                </c:pt>
                <c:pt idx="74">
                  <c:v>87.895665520802297</c:v>
                </c:pt>
                <c:pt idx="75">
                  <c:v>87.965867524113392</c:v>
                </c:pt>
                <c:pt idx="76">
                  <c:v>88.034406140208731</c:v>
                </c:pt>
                <c:pt idx="77">
                  <c:v>88.10134073258908</c:v>
                </c:pt>
                <c:pt idx="78">
                  <c:v>88.166727843181064</c:v>
                </c:pt>
                <c:pt idx="79">
                  <c:v>88.230621359032767</c:v>
                </c:pt>
                <c:pt idx="80">
                  <c:v>88.293072667283397</c:v>
                </c:pt>
                <c:pt idx="81">
                  <c:v>88.354130799360831</c:v>
                </c:pt>
                <c:pt idx="82">
                  <c:v>88.413842565272887</c:v>
                </c:pt>
                <c:pt idx="83">
                  <c:v>88.472252678779483</c:v>
                </c:pt>
                <c:pt idx="84">
                  <c:v>88.529403874161943</c:v>
                </c:pt>
                <c:pt idx="85">
                  <c:v>88.585337015242189</c:v>
                </c:pt>
                <c:pt idx="86">
                  <c:v>88.640091197246946</c:v>
                </c:pt>
                <c:pt idx="87">
                  <c:v>88.693703842060188</c:v>
                </c:pt>
                <c:pt idx="88">
                  <c:v>88.746210787360823</c:v>
                </c:pt>
                <c:pt idx="89">
                  <c:v>88.797646370099727</c:v>
                </c:pt>
                <c:pt idx="90">
                  <c:v>88.848043504732416</c:v>
                </c:pt>
                <c:pt idx="91">
                  <c:v>88.897433756588782</c:v>
                </c:pt>
                <c:pt idx="92">
                  <c:v>88.94584741072984</c:v>
                </c:pt>
                <c:pt idx="93">
                  <c:v>88.993313536613044</c:v>
                </c:pt>
                <c:pt idx="94">
                  <c:v>89.039860048861598</c:v>
                </c:pt>
                <c:pt idx="95">
                  <c:v>89.085513764409725</c:v>
                </c:pt>
                <c:pt idx="96">
                  <c:v>89.130300456274142</c:v>
                </c:pt>
                <c:pt idx="97">
                  <c:v>89.174244904182586</c:v>
                </c:pt>
                <c:pt idx="98">
                  <c:v>89.217370942272339</c:v>
                </c:pt>
                <c:pt idx="99">
                  <c:v>89.259701504054846</c:v>
                </c:pt>
                <c:pt idx="100">
                  <c:v>89.30125866482868</c:v>
                </c:pt>
                <c:pt idx="101">
                  <c:v>89.34206368170797</c:v>
                </c:pt>
                <c:pt idx="102">
                  <c:v>89.382137031422189</c:v>
                </c:pt>
                <c:pt idx="103">
                  <c:v>89.421498446030938</c:v>
                </c:pt>
                <c:pt idx="104">
                  <c:v>89.460166946687039</c:v>
                </c:pt>
                <c:pt idx="105">
                  <c:v>89.498160875571685</c:v>
                </c:pt>
                <c:pt idx="106">
                  <c:v>89.535497926116363</c:v>
                </c:pt>
                <c:pt idx="107">
                  <c:v>89.572195171618077</c:v>
                </c:pt>
                <c:pt idx="108">
                  <c:v>89.608269092346973</c:v>
                </c:pt>
                <c:pt idx="109">
                  <c:v>89.643735601238532</c:v>
                </c:pt>
                <c:pt idx="110">
                  <c:v>89.678610068255992</c:v>
                </c:pt>
                <c:pt idx="111">
                  <c:v>89.712907343502906</c:v>
                </c:pt>
                <c:pt idx="112">
                  <c:v>89.746641779160058</c:v>
                </c:pt>
                <c:pt idx="113">
                  <c:v>89.77982725031643</c:v>
                </c:pt>
                <c:pt idx="114">
                  <c:v>89.812477174758456</c:v>
                </c:pt>
                <c:pt idx="115">
                  <c:v>89.8446045317786</c:v>
                </c:pt>
                <c:pt idx="116">
                  <c:v>89.876221880059035</c:v>
                </c:pt>
                <c:pt idx="117">
                  <c:v>89.907341374683682</c:v>
                </c:pt>
                <c:pt idx="118">
                  <c:v>89.937974783327661</c:v>
                </c:pt>
                <c:pt idx="119">
                  <c:v>89.968133501670451</c:v>
                </c:pt>
                <c:pt idx="120">
                  <c:v>89.997828568075789</c:v>
                </c:pt>
                <c:pt idx="121">
                  <c:v>90.027070677579061</c:v>
                </c:pt>
                <c:pt idx="122">
                  <c:v>90.055870195219967</c:v>
                </c:pt>
                <c:pt idx="123">
                  <c:v>90.084237168755891</c:v>
                </c:pt>
                <c:pt idx="124">
                  <c:v>90.11218134078976</c:v>
                </c:pt>
                <c:pt idx="125">
                  <c:v>90.139712160343294</c:v>
                </c:pt>
                <c:pt idx="126">
                  <c:v>90.166838793905413</c:v>
                </c:pt>
                <c:pt idx="127">
                  <c:v>90.193570135983165</c:v>
                </c:pt>
                <c:pt idx="128">
                  <c:v>90.219914819181525</c:v>
                </c:pt>
                <c:pt idx="129">
                  <c:v>90.245881223836179</c:v>
                </c:pt>
                <c:pt idx="130">
                  <c:v>90.271477487222455</c:v>
                </c:pt>
                <c:pt idx="131">
                  <c:v>90.296711512362165</c:v>
                </c:pt>
                <c:pt idx="132">
                  <c:v>90.321590976448434</c:v>
                </c:pt>
                <c:pt idx="133">
                  <c:v>90.346123338908328</c:v>
                </c:pt>
                <c:pt idx="134">
                  <c:v>90.370315849120573</c:v>
                </c:pt>
                <c:pt idx="135">
                  <c:v>90.394175553806463</c:v>
                </c:pt>
                <c:pt idx="136">
                  <c:v>90.417709304109096</c:v>
                </c:pt>
                <c:pt idx="137">
                  <c:v>90.440923762376883</c:v>
                </c:pt>
                <c:pt idx="138">
                  <c:v>90.463825408665429</c:v>
                </c:pt>
                <c:pt idx="139">
                  <c:v>90.486420546971303</c:v>
                </c:pt>
                <c:pt idx="140">
                  <c:v>90.50871531121075</c:v>
                </c:pt>
                <c:pt idx="141">
                  <c:v>90.530715670955303</c:v>
                </c:pt>
                <c:pt idx="142">
                  <c:v>90.552427436935858</c:v>
                </c:pt>
                <c:pt idx="143">
                  <c:v>90.57385626632599</c:v>
                </c:pt>
                <c:pt idx="144">
                  <c:v>90.595007667815025</c:v>
                </c:pt>
                <c:pt idx="145">
                  <c:v>90.61588700648025</c:v>
                </c:pt>
                <c:pt idx="146">
                  <c:v>90.636499508467949</c:v>
                </c:pt>
                <c:pt idx="147">
                  <c:v>90.656850265491485</c:v>
                </c:pt>
                <c:pt idx="148">
                  <c:v>90.676944239155048</c:v>
                </c:pt>
                <c:pt idx="149">
                  <c:v>90.696786265111015</c:v>
                </c:pt>
                <c:pt idx="150">
                  <c:v>90.716381057058115</c:v>
                </c:pt>
              </c:numCache>
            </c:numRef>
          </c:yVal>
          <c:smooth val="0"/>
          <c:extLst>
            <c:ext xmlns:c16="http://schemas.microsoft.com/office/drawing/2014/chart" uri="{C3380CC4-5D6E-409C-BE32-E72D297353CC}">
              <c16:uniqueId val="{00000000-A180-432B-A347-F5CCD23FB4B3}"/>
            </c:ext>
          </c:extLst>
        </c:ser>
        <c:dLbls>
          <c:showLegendKey val="0"/>
          <c:showVal val="0"/>
          <c:showCatName val="0"/>
          <c:showSerName val="0"/>
          <c:showPercent val="0"/>
          <c:showBubbleSize val="0"/>
        </c:dLbls>
        <c:axId val="582892544"/>
        <c:axId val="582902528"/>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Eff_vs_IOUT!$AJ$7:$AJ$157</c:f>
              <c:numCache>
                <c:formatCode>General</c:formatCode>
                <c:ptCount val="151"/>
                <c:pt idx="0">
                  <c:v>0</c:v>
                </c:pt>
                <c:pt idx="1">
                  <c:v>6.8139988440205732E-2</c:v>
                </c:pt>
                <c:pt idx="2">
                  <c:v>9.6425075006918312E-2</c:v>
                </c:pt>
                <c:pt idx="3">
                  <c:v>0.11817031017095275</c:v>
                </c:pt>
                <c:pt idx="4">
                  <c:v>0.13653699272205774</c:v>
                </c:pt>
                <c:pt idx="5">
                  <c:v>0.15274878273382678</c:v>
                </c:pt>
                <c:pt idx="6">
                  <c:v>0.16743283414751936</c:v>
                </c:pt>
                <c:pt idx="7">
                  <c:v>0.18096146375160038</c:v>
                </c:pt>
                <c:pt idx="8">
                  <c:v>0.19357710059183841</c:v>
                </c:pt>
                <c:pt idx="9">
                  <c:v>0.20544802868720224</c:v>
                </c:pt>
                <c:pt idx="10">
                  <c:v>0.21669669639011521</c:v>
                </c:pt>
                <c:pt idx="11">
                  <c:v>0.2274154833951802</c:v>
                </c:pt>
                <c:pt idx="12">
                  <c:v>0.23767611383014978</c:v>
                </c:pt>
                <c:pt idx="13">
                  <c:v>0.24753558982200957</c:v>
                </c:pt>
                <c:pt idx="14">
                  <c:v>0.25704009906388309</c:v>
                </c:pt>
                <c:pt idx="15">
                  <c:v>0.26622768261330015</c:v>
                </c:pt>
                <c:pt idx="16">
                  <c:v>0.27513011217728567</c:v>
                </c:pt>
                <c:pt idx="17">
                  <c:v>0.28377424556750691</c:v>
                </c:pt>
                <c:pt idx="18">
                  <c:v>0.29218302733276219</c:v>
                </c:pt>
                <c:pt idx="19">
                  <c:v>0.30037624186676198</c:v>
                </c:pt>
                <c:pt idx="20">
                  <c:v>0.30837108993373052</c:v>
                </c:pt>
                <c:pt idx="21">
                  <c:v>0.3161826367111481</c:v>
                </c:pt>
                <c:pt idx="22">
                  <c:v>0.32382416469376413</c:v>
                </c:pt>
                <c:pt idx="23">
                  <c:v>0.33130745503601544</c:v>
                </c:pt>
                <c:pt idx="24">
                  <c:v>0.33864301430211075</c:v>
                </c:pt>
                <c:pt idx="25">
                  <c:v>0.34584025903395404</c:v>
                </c:pt>
                <c:pt idx="26">
                  <c:v>0.35290766734533252</c:v>
                </c:pt>
                <c:pt idx="27">
                  <c:v>0.35985290446583534</c:v>
                </c:pt>
                <c:pt idx="28">
                  <c:v>0.36668292750320075</c:v>
                </c:pt>
                <c:pt idx="29">
                  <c:v>0.37340407347819238</c:v>
                </c:pt>
                <c:pt idx="30">
                  <c:v>0.38002213378353489</c:v>
                </c:pt>
                <c:pt idx="31">
                  <c:v>0.3865424175400316</c:v>
                </c:pt>
                <c:pt idx="32">
                  <c:v>0.3929698058076912</c:v>
                </c:pt>
                <c:pt idx="33">
                  <c:v>0.39930879821441734</c:v>
                </c:pt>
                <c:pt idx="34">
                  <c:v>0.4055635532588438</c:v>
                </c:pt>
                <c:pt idx="35">
                  <c:v>0.41173792330504178</c:v>
                </c:pt>
                <c:pt idx="36">
                  <c:v>0.41783548509885393</c:v>
                </c:pt>
                <c:pt idx="37">
                  <c:v>0.42385956648659129</c:v>
                </c:pt>
                <c:pt idx="38">
                  <c:v>0.42981326989786145</c:v>
                </c:pt>
                <c:pt idx="39">
                  <c:v>0.43569949305867989</c:v>
                </c:pt>
                <c:pt idx="40">
                  <c:v>0.44152094732370428</c:v>
                </c:pt>
                <c:pt idx="41">
                  <c:v>0.44728017395353842</c:v>
                </c:pt>
                <c:pt idx="42">
                  <c:v>0.45297955861161482</c:v>
                </c:pt>
                <c:pt idx="43">
                  <c:v>0.45862134431286827</c:v>
                </c:pt>
                <c:pt idx="44">
                  <c:v>0.46420764302145939</c:v>
                </c:pt>
                <c:pt idx="45">
                  <c:v>0.4697404460657883</c:v>
                </c:pt>
                <c:pt idx="46">
                  <c:v>0.47522163351483421</c:v>
                </c:pt>
                <c:pt idx="47">
                  <c:v>0.48065298263958339</c:v>
                </c:pt>
                <c:pt idx="48">
                  <c:v>0.48603617556625373</c:v>
                </c:pt>
                <c:pt idx="49">
                  <c:v>0.49137280621363144</c:v>
                </c:pt>
                <c:pt idx="50">
                  <c:v>0.49666438659462753</c:v>
                </c:pt>
                <c:pt idx="51">
                  <c:v>0.50191235255178768</c:v>
                </c:pt>
                <c:pt idx="52">
                  <c:v>0.50711806898762735</c:v>
                </c:pt>
                <c:pt idx="53">
                  <c:v>0.51228283464308211</c:v>
                </c:pt>
                <c:pt idx="54">
                  <c:v>0.51740788647084601</c:v>
                </c:pt>
                <c:pt idx="55">
                  <c:v>0.52249440364475996</c:v>
                </c:pt>
                <c:pt idx="56">
                  <c:v>0.52754351124155807</c:v>
                </c:pt>
                <c:pt idx="57">
                  <c:v>0.53255628362708007</c:v>
                </c:pt>
                <c:pt idx="58">
                  <c:v>0.53753374757540784</c:v>
                </c:pt>
                <c:pt idx="59">
                  <c:v>0.54247688514619841</c:v>
                </c:pt>
                <c:pt idx="60">
                  <c:v>0.5473866363427129</c:v>
                </c:pt>
                <c:pt idx="61">
                  <c:v>0.5522639015706069</c:v>
                </c:pt>
                <c:pt idx="62">
                  <c:v>0.55710954391541712</c:v>
                </c:pt>
                <c:pt idx="63">
                  <c:v>0.56192439125480098</c:v>
                </c:pt>
                <c:pt idx="64">
                  <c:v>0.56670923821993291</c:v>
                </c:pt>
                <c:pt idx="65">
                  <c:v>0.57146484801900255</c:v>
                </c:pt>
                <c:pt idx="66">
                  <c:v>0.57619195413446844</c:v>
                </c:pt>
                <c:pt idx="67">
                  <c:v>0.58089126190457374</c:v>
                </c:pt>
                <c:pt idx="68">
                  <c:v>0.58556344999861221</c:v>
                </c:pt>
                <c:pt idx="69">
                  <c:v>0.59020917179453303</c:v>
                </c:pt>
                <c:pt idx="70">
                  <c:v>0.59482905666665797</c:v>
                </c:pt>
                <c:pt idx="71">
                  <c:v>0.59942371119056803</c:v>
                </c:pt>
                <c:pt idx="72">
                  <c:v>0.60399372027157283</c:v>
                </c:pt>
                <c:pt idx="73">
                  <c:v>0.60853964820259154</c:v>
                </c:pt>
                <c:pt idx="74">
                  <c:v>0.61306203965676587</c:v>
                </c:pt>
                <c:pt idx="75">
                  <c:v>0.61756142061964936</c:v>
                </c:pt>
                <c:pt idx="76">
                  <c:v>0.62203829926540199</c:v>
                </c:pt>
                <c:pt idx="77">
                  <c:v>0.62649316678104394</c:v>
                </c:pt>
                <c:pt idx="78">
                  <c:v>0.63092649814247348</c:v>
                </c:pt>
                <c:pt idx="79">
                  <c:v>0.63533875284565233</c:v>
                </c:pt>
                <c:pt idx="80">
                  <c:v>0.63973037559607671</c:v>
                </c:pt>
                <c:pt idx="81">
                  <c:v>0.64410179695940439</c:v>
                </c:pt>
                <c:pt idx="82">
                  <c:v>0.64845343397587318</c:v>
                </c:pt>
                <c:pt idx="83">
                  <c:v>0.65278569074093995</c:v>
                </c:pt>
                <c:pt idx="84">
                  <c:v>0.65709895895437975</c:v>
                </c:pt>
                <c:pt idx="85">
                  <c:v>0.6613936184399094</c:v>
                </c:pt>
                <c:pt idx="86">
                  <c:v>0.66567003763724431</c:v>
                </c:pt>
                <c:pt idx="87">
                  <c:v>0.6699285740683516</c:v>
                </c:pt>
                <c:pt idx="88">
                  <c:v>0.67416957477953154</c:v>
                </c:pt>
                <c:pt idx="89">
                  <c:v>0.678393376760838</c:v>
                </c:pt>
                <c:pt idx="90">
                  <c:v>0.68260030734424126</c:v>
                </c:pt>
                <c:pt idx="91">
                  <c:v>0.68679068458183024</c:v>
                </c:pt>
                <c:pt idx="92">
                  <c:v>0.69096481760526385</c:v>
                </c:pt>
                <c:pt idx="93">
                  <c:v>0.69512300696759088</c:v>
                </c:pt>
                <c:pt idx="94">
                  <c:v>0.69926554496848559</c:v>
                </c:pt>
                <c:pt idx="95">
                  <c:v>0.70339271596386477</c:v>
                </c:pt>
                <c:pt idx="96">
                  <c:v>0.70750479666079757</c:v>
                </c:pt>
                <c:pt idx="97">
                  <c:v>0.71160205639854612</c:v>
                </c:pt>
                <c:pt idx="98">
                  <c:v>0.71568475741652882</c:v>
                </c:pt>
                <c:pt idx="99">
                  <c:v>0.71975315510993654</c:v>
                </c:pt>
                <c:pt idx="100">
                  <c:v>0.7238074982736924</c:v>
                </c:pt>
                <c:pt idx="101">
                  <c:v>0.7278480293353955</c:v>
                </c:pt>
                <c:pt idx="102">
                  <c:v>0.73187498457784705</c:v>
                </c:pt>
                <c:pt idx="103">
                  <c:v>0.73588859435172738</c:v>
                </c:pt>
                <c:pt idx="104">
                  <c:v>0.73988908327894254</c:v>
                </c:pt>
                <c:pt idx="105">
                  <c:v>0.74387667044714223</c:v>
                </c:pt>
                <c:pt idx="106">
                  <c:v>0.74785156959586707</c:v>
                </c:pt>
                <c:pt idx="107">
                  <c:v>0.75181398929476217</c:v>
                </c:pt>
                <c:pt idx="108">
                  <c:v>0.75576413311426616</c:v>
                </c:pt>
                <c:pt idx="109">
                  <c:v>0.75970219978915843</c:v>
                </c:pt>
                <c:pt idx="110">
                  <c:v>0.76362838337532546</c:v>
                </c:pt>
                <c:pt idx="111">
                  <c:v>0.76754287340008709</c:v>
                </c:pt>
                <c:pt idx="112">
                  <c:v>0.7714458550064015</c:v>
                </c:pt>
                <c:pt idx="113">
                  <c:v>0.7753375090912491</c:v>
                </c:pt>
                <c:pt idx="114">
                  <c:v>0.7792180124384841</c:v>
                </c:pt>
                <c:pt idx="115">
                  <c:v>0.7830875378464135</c:v>
                </c:pt>
                <c:pt idx="116">
                  <c:v>0.78694625425036235</c:v>
                </c:pt>
                <c:pt idx="117">
                  <c:v>0.79079432684046191</c:v>
                </c:pt>
                <c:pt idx="118">
                  <c:v>0.79463191717488368</c:v>
                </c:pt>
                <c:pt idx="119">
                  <c:v>0.79845918328873633</c:v>
                </c:pt>
                <c:pt idx="120">
                  <c:v>0.80227627979882188</c:v>
                </c:pt>
                <c:pt idx="121">
                  <c:v>0.80608335800444342</c:v>
                </c:pt>
                <c:pt idx="122">
                  <c:v>0.80988056598444558</c:v>
                </c:pt>
                <c:pt idx="123">
                  <c:v>0.81366804869065601</c:v>
                </c:pt>
                <c:pt idx="124">
                  <c:v>0.81744594803789083</c:v>
                </c:pt>
                <c:pt idx="125">
                  <c:v>0.82121440299067305</c:v>
                </c:pt>
                <c:pt idx="126">
                  <c:v>0.82497354964681657</c:v>
                </c:pt>
                <c:pt idx="127">
                  <c:v>0.82872352131800453</c:v>
                </c:pt>
                <c:pt idx="128">
                  <c:v>0.83246444860749724</c:v>
                </c:pt>
                <c:pt idx="129">
                  <c:v>0.83619645948509458</c:v>
                </c:pt>
                <c:pt idx="130">
                  <c:v>0.83991967935946377</c:v>
                </c:pt>
                <c:pt idx="131">
                  <c:v>0.84363423114795422</c:v>
                </c:pt>
                <c:pt idx="132">
                  <c:v>0.8473402353439955</c:v>
                </c:pt>
                <c:pt idx="133">
                  <c:v>0.85103781008218549</c:v>
                </c:pt>
                <c:pt idx="134">
                  <c:v>0.85472707120116187</c:v>
                </c:pt>
                <c:pt idx="135">
                  <c:v>0.85840813230435087</c:v>
                </c:pt>
                <c:pt idx="136">
                  <c:v>0.86208110481867606</c:v>
                </c:pt>
                <c:pt idx="137">
                  <c:v>0.86574609805131431</c:v>
                </c:pt>
                <c:pt idx="138">
                  <c:v>0.86940321924457331</c:v>
                </c:pt>
                <c:pt idx="139">
                  <c:v>0.87305257362897026</c:v>
                </c:pt>
                <c:pt idx="140">
                  <c:v>0.87669426447457854</c:v>
                </c:pt>
                <c:pt idx="141">
                  <c:v>0.88032839314071465</c:v>
                </c:pt>
                <c:pt idx="142">
                  <c:v>0.88395505912402772</c:v>
                </c:pt>
                <c:pt idx="143">
                  <c:v>0.88757436010505519</c:v>
                </c:pt>
                <c:pt idx="144">
                  <c:v>0.89118639199330318</c:v>
                </c:pt>
                <c:pt idx="145">
                  <c:v>0.89479124897090712</c:v>
                </c:pt>
                <c:pt idx="146">
                  <c:v>0.89838902353493111</c:v>
                </c:pt>
                <c:pt idx="147">
                  <c:v>0.90197980653834864</c:v>
                </c:pt>
                <c:pt idx="148">
                  <c:v>0.90556368722976632</c:v>
                </c:pt>
                <c:pt idx="149">
                  <c:v>0.90914075329192579</c:v>
                </c:pt>
                <c:pt idx="150">
                  <c:v>0.9127110908790369</c:v>
                </c:pt>
              </c:numCache>
            </c:numRef>
          </c:yVal>
          <c:smooth val="1"/>
          <c:extLst>
            <c:ext xmlns:c16="http://schemas.microsoft.com/office/drawing/2014/chart" uri="{C3380CC4-5D6E-409C-BE32-E72D297353CC}">
              <c16:uniqueId val="{00000001-A180-432B-A347-F5CCD23FB4B3}"/>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Eff_vs_IOUT!$BU$7:$BU$157</c:f>
              <c:numCache>
                <c:formatCode>General</c:formatCode>
                <c:ptCount val="151"/>
                <c:pt idx="0">
                  <c:v>0</c:v>
                </c:pt>
                <c:pt idx="1">
                  <c:v>1.8898223650461362E-5</c:v>
                </c:pt>
                <c:pt idx="2">
                  <c:v>5.345224838248487E-5</c:v>
                </c:pt>
                <c:pt idx="3">
                  <c:v>9.8198050606196531E-5</c:v>
                </c:pt>
                <c:pt idx="4">
                  <c:v>1.5118578920369087E-4</c:v>
                </c:pt>
                <c:pt idx="5">
                  <c:v>2.1128856368212912E-4</c:v>
                </c:pt>
                <c:pt idx="6">
                  <c:v>2.7774602993176539E-4</c:v>
                </c:pt>
                <c:pt idx="7">
                  <c:v>3.4999999999999994E-4</c:v>
                </c:pt>
                <c:pt idx="8">
                  <c:v>4.2761798705987913E-4</c:v>
                </c:pt>
                <c:pt idx="9">
                  <c:v>5.1025203856245682E-4</c:v>
                </c:pt>
                <c:pt idx="10">
                  <c:v>5.9761430466719653E-4</c:v>
                </c:pt>
                <c:pt idx="11">
                  <c:v>6.8946148758080954E-4</c:v>
                </c:pt>
                <c:pt idx="12">
                  <c:v>7.8558440484957246E-4</c:v>
                </c:pt>
                <c:pt idx="13">
                  <c:v>8.8580068703002083E-4</c:v>
                </c:pt>
                <c:pt idx="14">
                  <c:v>9.899494936611668E-4</c:v>
                </c:pt>
                <c:pt idx="15">
                  <c:v>1.0978875820671001E-3</c:v>
                </c:pt>
                <c:pt idx="16">
                  <c:v>1.2094863136295271E-3</c:v>
                </c:pt>
                <c:pt idx="17">
                  <c:v>1.3246293282057652E-3</c:v>
                </c:pt>
                <c:pt idx="18">
                  <c:v>1.4432107063270915E-3</c:v>
                </c:pt>
                <c:pt idx="19">
                  <c:v>1.5651334949910365E-3</c:v>
                </c:pt>
                <c:pt idx="20">
                  <c:v>1.6903085094570325E-3</c:v>
                </c:pt>
                <c:pt idx="21">
                  <c:v>1.8186533479473208E-3</c:v>
                </c:pt>
                <c:pt idx="22">
                  <c:v>1.9500915729414206E-3</c:v>
                </c:pt>
                <c:pt idx="23">
                  <c:v>2.0845520245024209E-3</c:v>
                </c:pt>
                <c:pt idx="24">
                  <c:v>2.2219682394541231E-3</c:v>
                </c:pt>
                <c:pt idx="25">
                  <c:v>2.3622779563076696E-3</c:v>
                </c:pt>
                <c:pt idx="26">
                  <c:v>2.5054226903145215E-3</c:v>
                </c:pt>
                <c:pt idx="27">
                  <c:v>2.6513473663673077E-3</c:v>
                </c:pt>
                <c:pt idx="28">
                  <c:v>2.7999999999999995E-3</c:v>
                </c:pt>
                <c:pt idx="29">
                  <c:v>2.9513314186748237E-3</c:v>
                </c:pt>
                <c:pt idx="30">
                  <c:v>3.1052950170405939E-3</c:v>
                </c:pt>
                <c:pt idx="31">
                  <c:v>3.261846541016738E-3</c:v>
                </c:pt>
                <c:pt idx="32">
                  <c:v>3.4209438964790317E-3</c:v>
                </c:pt>
                <c:pt idx="33">
                  <c:v>3.5825469790559425E-3</c:v>
                </c:pt>
                <c:pt idx="34">
                  <c:v>3.7466175221315093E-3</c:v>
                </c:pt>
                <c:pt idx="35">
                  <c:v>3.9131189606246312E-3</c:v>
                </c:pt>
                <c:pt idx="36">
                  <c:v>4.0820163084996537E-3</c:v>
                </c:pt>
                <c:pt idx="37">
                  <c:v>4.2532760482782142E-3</c:v>
                </c:pt>
                <c:pt idx="38">
                  <c:v>4.426866031081454E-3</c:v>
                </c:pt>
                <c:pt idx="39">
                  <c:v>4.6027553859462429E-3</c:v>
                </c:pt>
                <c:pt idx="40">
                  <c:v>4.780914437337574E-3</c:v>
                </c:pt>
                <c:pt idx="41">
                  <c:v>4.9613146299285283E-3</c:v>
                </c:pt>
                <c:pt idx="42">
                  <c:v>5.1439284598446744E-3</c:v>
                </c:pt>
                <c:pt idx="43">
                  <c:v>5.3287294116756527E-3</c:v>
                </c:pt>
                <c:pt idx="44">
                  <c:v>5.5156919006464763E-3</c:v>
                </c:pt>
                <c:pt idx="45">
                  <c:v>5.7047912194174875E-3</c:v>
                </c:pt>
                <c:pt idx="46">
                  <c:v>5.896003489047231E-3</c:v>
                </c:pt>
                <c:pt idx="47">
                  <c:v>6.0893056137085828E-3</c:v>
                </c:pt>
                <c:pt idx="48">
                  <c:v>6.284675238796578E-3</c:v>
                </c:pt>
                <c:pt idx="49">
                  <c:v>6.4820907121082467E-3</c:v>
                </c:pt>
                <c:pt idx="50">
                  <c:v>6.681531047810608E-3</c:v>
                </c:pt>
                <c:pt idx="51">
                  <c:v>6.8829758929446466E-3</c:v>
                </c:pt>
                <c:pt idx="52">
                  <c:v>7.0864054962401675E-3</c:v>
                </c:pt>
                <c:pt idx="53">
                  <c:v>7.291800679040613E-3</c:v>
                </c:pt>
                <c:pt idx="54">
                  <c:v>7.4991428081576652E-3</c:v>
                </c:pt>
                <c:pt idx="55">
                  <c:v>7.7084137704940877E-3</c:v>
                </c:pt>
                <c:pt idx="56">
                  <c:v>7.9195959492893309E-3</c:v>
                </c:pt>
                <c:pt idx="57">
                  <c:v>8.1326722018569726E-3</c:v>
                </c:pt>
                <c:pt idx="58">
                  <c:v>8.3476258386955219E-3</c:v>
                </c:pt>
                <c:pt idx="59">
                  <c:v>8.5644406038656654E-3</c:v>
                </c:pt>
                <c:pt idx="60">
                  <c:v>8.7831006565368009E-3</c:v>
                </c:pt>
                <c:pt idx="61">
                  <c:v>9.0035905536148646E-3</c:v>
                </c:pt>
                <c:pt idx="62">
                  <c:v>9.2258952333712767E-3</c:v>
                </c:pt>
                <c:pt idx="63">
                  <c:v>9.4499999999999983E-3</c:v>
                </c:pt>
                <c:pt idx="64">
                  <c:v>9.6758905090362154E-3</c:v>
                </c:pt>
                <c:pt idx="65">
                  <c:v>9.9035527535757169E-3</c:v>
                </c:pt>
                <c:pt idx="66">
                  <c:v>1.0132973051239346E-2</c:v>
                </c:pt>
                <c:pt idx="67">
                  <c:v>1.0364138031831551E-2</c:v>
                </c:pt>
                <c:pt idx="68">
                  <c:v>1.0597034625646122E-2</c:v>
                </c:pt>
                <c:pt idx="69">
                  <c:v>1.0831650052376272E-2</c:v>
                </c:pt>
                <c:pt idx="70">
                  <c:v>1.1067971810589326E-2</c:v>
                </c:pt>
                <c:pt idx="71">
                  <c:v>1.130598766772975E-2</c:v>
                </c:pt>
                <c:pt idx="72">
                  <c:v>1.1545685650616736E-2</c:v>
                </c:pt>
                <c:pt idx="73">
                  <c:v>1.1787054036405488E-2</c:v>
                </c:pt>
                <c:pt idx="74">
                  <c:v>1.2030081343983388E-2</c:v>
                </c:pt>
                <c:pt idx="75">
                  <c:v>1.2274756325774575E-2</c:v>
                </c:pt>
                <c:pt idx="76">
                  <c:v>1.2521067959928292E-2</c:v>
                </c:pt>
                <c:pt idx="77">
                  <c:v>1.2769005442868291E-2</c:v>
                </c:pt>
                <c:pt idx="78">
                  <c:v>1.301855818218197E-2</c:v>
                </c:pt>
                <c:pt idx="79">
                  <c:v>1.3269715789829753E-2</c:v>
                </c:pt>
                <c:pt idx="80">
                  <c:v>1.3522468075656264E-2</c:v>
                </c:pt>
                <c:pt idx="81">
                  <c:v>1.3776805041186332E-2</c:v>
                </c:pt>
                <c:pt idx="82">
                  <c:v>1.4032716873689956E-2</c:v>
                </c:pt>
                <c:pt idx="83">
                  <c:v>1.4290193940501399E-2</c:v>
                </c:pt>
                <c:pt idx="84">
                  <c:v>1.4549226783578565E-2</c:v>
                </c:pt>
                <c:pt idx="85">
                  <c:v>1.4809806114289854E-2</c:v>
                </c:pt>
                <c:pt idx="86">
                  <c:v>1.5071922808416223E-2</c:v>
                </c:pt>
                <c:pt idx="87">
                  <c:v>1.5335567901357386E-2</c:v>
                </c:pt>
                <c:pt idx="88">
                  <c:v>1.5600732583531365E-2</c:v>
                </c:pt>
                <c:pt idx="89">
                  <c:v>1.5867408195957607E-2</c:v>
                </c:pt>
                <c:pt idx="90">
                  <c:v>1.6135586226014319E-2</c:v>
                </c:pt>
                <c:pt idx="91">
                  <c:v>1.6405258303361155E-2</c:v>
                </c:pt>
                <c:pt idx="92">
                  <c:v>1.6676416196019367E-2</c:v>
                </c:pt>
                <c:pt idx="93">
                  <c:v>1.6949051806601369E-2</c:v>
                </c:pt>
                <c:pt idx="94">
                  <c:v>1.7223157168682598E-2</c:v>
                </c:pt>
                <c:pt idx="95">
                  <c:v>1.7498724443308914E-2</c:v>
                </c:pt>
                <c:pt idx="96">
                  <c:v>1.7775745915632985E-2</c:v>
                </c:pt>
                <c:pt idx="97">
                  <c:v>1.8054213991673604E-2</c:v>
                </c:pt>
                <c:pt idx="98">
                  <c:v>1.8334121195192312E-2</c:v>
                </c:pt>
                <c:pt idx="99">
                  <c:v>1.8615460164681852E-2</c:v>
                </c:pt>
                <c:pt idx="100">
                  <c:v>1.8898223650461361E-2</c:v>
                </c:pt>
                <c:pt idx="101">
                  <c:v>1.9182404511873443E-2</c:v>
                </c:pt>
                <c:pt idx="102">
                  <c:v>1.9467995714578759E-2</c:v>
                </c:pt>
                <c:pt idx="103">
                  <c:v>1.975499032794354E-2</c:v>
                </c:pt>
                <c:pt idx="104">
                  <c:v>2.0043381522516172E-2</c:v>
                </c:pt>
                <c:pt idx="105">
                  <c:v>2.0333162567588943E-2</c:v>
                </c:pt>
                <c:pt idx="106">
                  <c:v>2.0624326828841157E-2</c:v>
                </c:pt>
                <c:pt idx="107">
                  <c:v>2.0916867766060412E-2</c:v>
                </c:pt>
                <c:pt idx="108">
                  <c:v>2.1210778930938458E-2</c:v>
                </c:pt>
                <c:pt idx="109">
                  <c:v>2.1506053964938734E-2</c:v>
                </c:pt>
                <c:pt idx="110">
                  <c:v>2.1802686597232529E-2</c:v>
                </c:pt>
                <c:pt idx="111">
                  <c:v>2.2100670642700933E-2</c:v>
                </c:pt>
                <c:pt idx="112">
                  <c:v>2.2399999999999996E-2</c:v>
                </c:pt>
                <c:pt idx="113">
                  <c:v>2.2700668649686458E-2</c:v>
                </c:pt>
                <c:pt idx="114">
                  <c:v>2.3002670652401573E-2</c:v>
                </c:pt>
                <c:pt idx="115">
                  <c:v>2.3306000147111105E-2</c:v>
                </c:pt>
                <c:pt idx="116">
                  <c:v>2.3610651349398586E-2</c:v>
                </c:pt>
                <c:pt idx="117">
                  <c:v>2.3916618549810562E-2</c:v>
                </c:pt>
                <c:pt idx="118">
                  <c:v>2.4223896112251286E-2</c:v>
                </c:pt>
                <c:pt idx="119">
                  <c:v>2.4532478472425071E-2</c:v>
                </c:pt>
                <c:pt idx="120">
                  <c:v>2.4842360136324751E-2</c:v>
                </c:pt>
                <c:pt idx="121">
                  <c:v>2.5153535678764063E-2</c:v>
                </c:pt>
                <c:pt idx="122">
                  <c:v>2.5465999741952846E-2</c:v>
                </c:pt>
                <c:pt idx="123">
                  <c:v>2.5779747034112996E-2</c:v>
                </c:pt>
                <c:pt idx="124">
                  <c:v>2.6094772328133908E-2</c:v>
                </c:pt>
                <c:pt idx="125">
                  <c:v>2.6411070460266143E-2</c:v>
                </c:pt>
                <c:pt idx="126">
                  <c:v>2.6728636328851498E-2</c:v>
                </c:pt>
                <c:pt idx="127">
                  <c:v>2.7047464893088551E-2</c:v>
                </c:pt>
                <c:pt idx="128">
                  <c:v>2.7367551171832264E-2</c:v>
                </c:pt>
                <c:pt idx="129">
                  <c:v>2.7688890242426521E-2</c:v>
                </c:pt>
                <c:pt idx="130">
                  <c:v>2.8011477239568379E-2</c:v>
                </c:pt>
                <c:pt idx="131">
                  <c:v>2.8335307354202859E-2</c:v>
                </c:pt>
                <c:pt idx="132">
                  <c:v>2.8660375832447529E-2</c:v>
                </c:pt>
                <c:pt idx="133">
                  <c:v>2.8986677974545478E-2</c:v>
                </c:pt>
                <c:pt idx="134">
                  <c:v>2.9314209133845935E-2</c:v>
                </c:pt>
                <c:pt idx="135">
                  <c:v>2.9642964715811706E-2</c:v>
                </c:pt>
                <c:pt idx="136">
                  <c:v>2.9972940177052081E-2</c:v>
                </c:pt>
                <c:pt idx="137">
                  <c:v>3.0304131024381103E-2</c:v>
                </c:pt>
                <c:pt idx="138">
                  <c:v>3.0636532813899543E-2</c:v>
                </c:pt>
                <c:pt idx="139">
                  <c:v>3.0970141150100414E-2</c:v>
                </c:pt>
                <c:pt idx="140">
                  <c:v>3.1304951684997064E-2</c:v>
                </c:pt>
                <c:pt idx="141">
                  <c:v>3.1640960117272944E-2</c:v>
                </c:pt>
                <c:pt idx="142">
                  <c:v>3.1978162191452726E-2</c:v>
                </c:pt>
                <c:pt idx="143">
                  <c:v>3.2316553697093742E-2</c:v>
                </c:pt>
                <c:pt idx="144">
                  <c:v>3.2656130467997237E-2</c:v>
                </c:pt>
                <c:pt idx="145">
                  <c:v>3.2996888381438987E-2</c:v>
                </c:pt>
                <c:pt idx="146">
                  <c:v>3.3338823357418342E-2</c:v>
                </c:pt>
                <c:pt idx="147">
                  <c:v>3.3681931357925445E-2</c:v>
                </c:pt>
                <c:pt idx="148">
                  <c:v>3.4026208386225713E-2</c:v>
                </c:pt>
                <c:pt idx="149">
                  <c:v>3.4371650486161663E-2</c:v>
                </c:pt>
                <c:pt idx="150">
                  <c:v>3.471825374147066E-2</c:v>
                </c:pt>
              </c:numCache>
            </c:numRef>
          </c:yVal>
          <c:smooth val="1"/>
          <c:extLst>
            <c:ext xmlns:c16="http://schemas.microsoft.com/office/drawing/2014/chart" uri="{C3380CC4-5D6E-409C-BE32-E72D297353CC}">
              <c16:uniqueId val="{00000002-A180-432B-A347-F5CCD23FB4B3}"/>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numCache>
            </c:numRef>
          </c:xVal>
          <c:yVal>
            <c:numRef>
              <c:f>Eff_vs_IOUT!$AY$8:$AY$157</c:f>
              <c:numCache>
                <c:formatCode>General</c:formatCode>
                <c:ptCount val="150"/>
                <c:pt idx="0">
                  <c:v>0.92983333333333329</c:v>
                </c:pt>
                <c:pt idx="1">
                  <c:v>0.9321666666666667</c:v>
                </c:pt>
                <c:pt idx="2">
                  <c:v>0.9345</c:v>
                </c:pt>
                <c:pt idx="3">
                  <c:v>0.9368333333333333</c:v>
                </c:pt>
                <c:pt idx="4">
                  <c:v>0.93916666666666671</c:v>
                </c:pt>
                <c:pt idx="5">
                  <c:v>0.9415</c:v>
                </c:pt>
                <c:pt idx="6">
                  <c:v>0.9438333333333333</c:v>
                </c:pt>
                <c:pt idx="7">
                  <c:v>0.94616666666666671</c:v>
                </c:pt>
                <c:pt idx="8">
                  <c:v>0.94850000000000001</c:v>
                </c:pt>
                <c:pt idx="9">
                  <c:v>0.95083333333333331</c:v>
                </c:pt>
                <c:pt idx="10">
                  <c:v>0.95316666666666661</c:v>
                </c:pt>
                <c:pt idx="11">
                  <c:v>0.95550000000000002</c:v>
                </c:pt>
                <c:pt idx="12">
                  <c:v>0.95783333333333331</c:v>
                </c:pt>
                <c:pt idx="13">
                  <c:v>0.96016666666666661</c:v>
                </c:pt>
                <c:pt idx="14">
                  <c:v>0.96250000000000002</c:v>
                </c:pt>
                <c:pt idx="15">
                  <c:v>0.96483333333333332</c:v>
                </c:pt>
                <c:pt idx="16">
                  <c:v>0.96716666666666662</c:v>
                </c:pt>
                <c:pt idx="17">
                  <c:v>0.96950000000000003</c:v>
                </c:pt>
                <c:pt idx="18">
                  <c:v>0.97183333333333333</c:v>
                </c:pt>
                <c:pt idx="19">
                  <c:v>0.97416666666666663</c:v>
                </c:pt>
                <c:pt idx="20">
                  <c:v>0.97650000000000003</c:v>
                </c:pt>
                <c:pt idx="21">
                  <c:v>0.97883333333333333</c:v>
                </c:pt>
                <c:pt idx="22">
                  <c:v>0.98116666666666663</c:v>
                </c:pt>
                <c:pt idx="23">
                  <c:v>0.98350000000000004</c:v>
                </c:pt>
                <c:pt idx="24">
                  <c:v>0.98583333333333334</c:v>
                </c:pt>
                <c:pt idx="25">
                  <c:v>0.98816666666666664</c:v>
                </c:pt>
                <c:pt idx="26">
                  <c:v>0.99049999999999994</c:v>
                </c:pt>
                <c:pt idx="27">
                  <c:v>0.99283333333333335</c:v>
                </c:pt>
                <c:pt idx="28">
                  <c:v>0.99516666666666664</c:v>
                </c:pt>
                <c:pt idx="29">
                  <c:v>0.99749999999999994</c:v>
                </c:pt>
                <c:pt idx="30">
                  <c:v>0.99983333333333335</c:v>
                </c:pt>
                <c:pt idx="31">
                  <c:v>1.0021666666666667</c:v>
                </c:pt>
                <c:pt idx="32">
                  <c:v>1.0044999999999999</c:v>
                </c:pt>
                <c:pt idx="33">
                  <c:v>1.0068333333333332</c:v>
                </c:pt>
                <c:pt idx="34">
                  <c:v>1.0091666666666668</c:v>
                </c:pt>
                <c:pt idx="35">
                  <c:v>1.0115000000000001</c:v>
                </c:pt>
                <c:pt idx="36">
                  <c:v>1.0138333333333334</c:v>
                </c:pt>
                <c:pt idx="37">
                  <c:v>1.0161666666666667</c:v>
                </c:pt>
                <c:pt idx="38">
                  <c:v>1.0185</c:v>
                </c:pt>
                <c:pt idx="39">
                  <c:v>1.0208333333333333</c:v>
                </c:pt>
                <c:pt idx="40">
                  <c:v>1.0231666666666666</c:v>
                </c:pt>
                <c:pt idx="41">
                  <c:v>1.0255000000000001</c:v>
                </c:pt>
                <c:pt idx="42">
                  <c:v>1.0278333333333334</c:v>
                </c:pt>
                <c:pt idx="43">
                  <c:v>1.0301666666666667</c:v>
                </c:pt>
                <c:pt idx="44">
                  <c:v>1.0325</c:v>
                </c:pt>
                <c:pt idx="45">
                  <c:v>1.0348333333333333</c:v>
                </c:pt>
                <c:pt idx="46">
                  <c:v>1.0371666666666666</c:v>
                </c:pt>
                <c:pt idx="47">
                  <c:v>1.0394999999999999</c:v>
                </c:pt>
                <c:pt idx="48">
                  <c:v>1.0418333333333334</c:v>
                </c:pt>
                <c:pt idx="49">
                  <c:v>1.0441666666666667</c:v>
                </c:pt>
                <c:pt idx="50">
                  <c:v>1.0465</c:v>
                </c:pt>
                <c:pt idx="51">
                  <c:v>1.0488333333333333</c:v>
                </c:pt>
                <c:pt idx="52">
                  <c:v>1.0511666666666666</c:v>
                </c:pt>
                <c:pt idx="53">
                  <c:v>1.0535000000000001</c:v>
                </c:pt>
                <c:pt idx="54">
                  <c:v>1.0558333333333334</c:v>
                </c:pt>
                <c:pt idx="55">
                  <c:v>1.0581666666666667</c:v>
                </c:pt>
                <c:pt idx="56">
                  <c:v>1.0605</c:v>
                </c:pt>
                <c:pt idx="57">
                  <c:v>1.0628333333333333</c:v>
                </c:pt>
                <c:pt idx="58">
                  <c:v>1.0651666666666666</c:v>
                </c:pt>
                <c:pt idx="59">
                  <c:v>1.0674999999999999</c:v>
                </c:pt>
                <c:pt idx="60">
                  <c:v>1.0698333333333334</c:v>
                </c:pt>
                <c:pt idx="61">
                  <c:v>1.0721666666666667</c:v>
                </c:pt>
                <c:pt idx="62">
                  <c:v>1.0745</c:v>
                </c:pt>
                <c:pt idx="63">
                  <c:v>1.0768333333333333</c:v>
                </c:pt>
                <c:pt idx="64">
                  <c:v>1.0791666666666666</c:v>
                </c:pt>
                <c:pt idx="65">
                  <c:v>1.0814999999999999</c:v>
                </c:pt>
                <c:pt idx="66">
                  <c:v>1.0838333333333332</c:v>
                </c:pt>
                <c:pt idx="67">
                  <c:v>1.0861666666666667</c:v>
                </c:pt>
                <c:pt idx="68">
                  <c:v>1.0885</c:v>
                </c:pt>
                <c:pt idx="69">
                  <c:v>1.0908333333333333</c:v>
                </c:pt>
                <c:pt idx="70">
                  <c:v>1.0931666666666666</c:v>
                </c:pt>
                <c:pt idx="71">
                  <c:v>1.0954999999999999</c:v>
                </c:pt>
                <c:pt idx="72">
                  <c:v>1.0978333333333334</c:v>
                </c:pt>
                <c:pt idx="73">
                  <c:v>1.1001666666666667</c:v>
                </c:pt>
                <c:pt idx="74">
                  <c:v>1.1025</c:v>
                </c:pt>
                <c:pt idx="75">
                  <c:v>1.1048333333333333</c:v>
                </c:pt>
                <c:pt idx="76">
                  <c:v>1.1071666666666666</c:v>
                </c:pt>
                <c:pt idx="77">
                  <c:v>1.1094999999999999</c:v>
                </c:pt>
                <c:pt idx="78">
                  <c:v>1.1118333333333332</c:v>
                </c:pt>
                <c:pt idx="79">
                  <c:v>1.1141666666666667</c:v>
                </c:pt>
                <c:pt idx="80">
                  <c:v>1.1165</c:v>
                </c:pt>
                <c:pt idx="81">
                  <c:v>1.1188333333333333</c:v>
                </c:pt>
                <c:pt idx="82">
                  <c:v>1.1211666666666666</c:v>
                </c:pt>
                <c:pt idx="83">
                  <c:v>1.1234999999999999</c:v>
                </c:pt>
                <c:pt idx="84">
                  <c:v>1.1258333333333332</c:v>
                </c:pt>
                <c:pt idx="85">
                  <c:v>1.1281666666666665</c:v>
                </c:pt>
                <c:pt idx="86">
                  <c:v>1.1305000000000001</c:v>
                </c:pt>
                <c:pt idx="87">
                  <c:v>1.1328333333333334</c:v>
                </c:pt>
                <c:pt idx="88">
                  <c:v>1.1351666666666667</c:v>
                </c:pt>
                <c:pt idx="89">
                  <c:v>1.1375</c:v>
                </c:pt>
                <c:pt idx="90">
                  <c:v>1.1398333333333333</c:v>
                </c:pt>
                <c:pt idx="91">
                  <c:v>1.1421666666666666</c:v>
                </c:pt>
                <c:pt idx="92">
                  <c:v>1.1445000000000001</c:v>
                </c:pt>
                <c:pt idx="93">
                  <c:v>1.1468333333333334</c:v>
                </c:pt>
                <c:pt idx="94">
                  <c:v>1.1491666666666667</c:v>
                </c:pt>
                <c:pt idx="95">
                  <c:v>1.1515</c:v>
                </c:pt>
                <c:pt idx="96">
                  <c:v>1.1538333333333333</c:v>
                </c:pt>
                <c:pt idx="97">
                  <c:v>1.1561666666666666</c:v>
                </c:pt>
                <c:pt idx="98">
                  <c:v>1.1585000000000001</c:v>
                </c:pt>
                <c:pt idx="99">
                  <c:v>1.1608333333333334</c:v>
                </c:pt>
                <c:pt idx="100">
                  <c:v>1.1631666666666667</c:v>
                </c:pt>
                <c:pt idx="101">
                  <c:v>1.1655</c:v>
                </c:pt>
                <c:pt idx="102">
                  <c:v>1.1678333333333333</c:v>
                </c:pt>
                <c:pt idx="103">
                  <c:v>1.1701666666666666</c:v>
                </c:pt>
                <c:pt idx="104">
                  <c:v>1.1724999999999999</c:v>
                </c:pt>
                <c:pt idx="105">
                  <c:v>1.1748333333333334</c:v>
                </c:pt>
                <c:pt idx="106">
                  <c:v>1.1771666666666667</c:v>
                </c:pt>
                <c:pt idx="107">
                  <c:v>1.1795</c:v>
                </c:pt>
                <c:pt idx="108">
                  <c:v>1.1818333333333333</c:v>
                </c:pt>
                <c:pt idx="109">
                  <c:v>1.1841666666666666</c:v>
                </c:pt>
                <c:pt idx="110">
                  <c:v>1.1865000000000001</c:v>
                </c:pt>
                <c:pt idx="111">
                  <c:v>1.1888333333333332</c:v>
                </c:pt>
                <c:pt idx="112">
                  <c:v>1.1911666666666667</c:v>
                </c:pt>
                <c:pt idx="113">
                  <c:v>1.1935</c:v>
                </c:pt>
                <c:pt idx="114">
                  <c:v>1.1958333333333333</c:v>
                </c:pt>
                <c:pt idx="115">
                  <c:v>1.1981666666666666</c:v>
                </c:pt>
                <c:pt idx="116">
                  <c:v>1.2004999999999999</c:v>
                </c:pt>
                <c:pt idx="117">
                  <c:v>1.2028333333333334</c:v>
                </c:pt>
                <c:pt idx="118">
                  <c:v>1.2051666666666667</c:v>
                </c:pt>
                <c:pt idx="119">
                  <c:v>1.2075</c:v>
                </c:pt>
                <c:pt idx="120">
                  <c:v>1.2098333333333333</c:v>
                </c:pt>
                <c:pt idx="121">
                  <c:v>1.2121666666666666</c:v>
                </c:pt>
                <c:pt idx="122">
                  <c:v>1.2144999999999999</c:v>
                </c:pt>
                <c:pt idx="123">
                  <c:v>1.2168333333333332</c:v>
                </c:pt>
                <c:pt idx="124">
                  <c:v>1.2191666666666667</c:v>
                </c:pt>
                <c:pt idx="125">
                  <c:v>1.2215</c:v>
                </c:pt>
                <c:pt idx="126">
                  <c:v>1.2238333333333333</c:v>
                </c:pt>
                <c:pt idx="127">
                  <c:v>1.2261666666666666</c:v>
                </c:pt>
                <c:pt idx="128">
                  <c:v>1.2284999999999999</c:v>
                </c:pt>
                <c:pt idx="129">
                  <c:v>1.2308333333333334</c:v>
                </c:pt>
                <c:pt idx="130">
                  <c:v>1.2331666666666665</c:v>
                </c:pt>
                <c:pt idx="131">
                  <c:v>1.2355</c:v>
                </c:pt>
                <c:pt idx="132">
                  <c:v>1.2378333333333333</c:v>
                </c:pt>
                <c:pt idx="133">
                  <c:v>1.2401666666666666</c:v>
                </c:pt>
                <c:pt idx="134">
                  <c:v>1.2424999999999999</c:v>
                </c:pt>
                <c:pt idx="135">
                  <c:v>1.2448333333333332</c:v>
                </c:pt>
                <c:pt idx="136">
                  <c:v>1.2471666666666668</c:v>
                </c:pt>
                <c:pt idx="137">
                  <c:v>1.2495000000000001</c:v>
                </c:pt>
                <c:pt idx="138">
                  <c:v>1.2518333333333334</c:v>
                </c:pt>
                <c:pt idx="139">
                  <c:v>1.2541666666666667</c:v>
                </c:pt>
                <c:pt idx="140">
                  <c:v>1.2565</c:v>
                </c:pt>
                <c:pt idx="141">
                  <c:v>1.2588333333333332</c:v>
                </c:pt>
                <c:pt idx="142">
                  <c:v>1.2611666666666665</c:v>
                </c:pt>
                <c:pt idx="143">
                  <c:v>1.2635000000000001</c:v>
                </c:pt>
                <c:pt idx="144">
                  <c:v>1.2658333333333334</c:v>
                </c:pt>
                <c:pt idx="145">
                  <c:v>1.2681666666666667</c:v>
                </c:pt>
                <c:pt idx="146">
                  <c:v>1.2705</c:v>
                </c:pt>
                <c:pt idx="147">
                  <c:v>1.2728333333333333</c:v>
                </c:pt>
                <c:pt idx="148">
                  <c:v>1.2751666666666666</c:v>
                </c:pt>
                <c:pt idx="149">
                  <c:v>1.2774999999999999</c:v>
                </c:pt>
              </c:numCache>
            </c:numRef>
          </c:yVal>
          <c:smooth val="1"/>
          <c:extLst>
            <c:ext xmlns:c16="http://schemas.microsoft.com/office/drawing/2014/chart" uri="{C3380CC4-5D6E-409C-BE32-E72D297353CC}">
              <c16:uniqueId val="{00000003-A180-432B-A347-F5CCD23FB4B3}"/>
            </c:ext>
          </c:extLst>
        </c:ser>
        <c:ser>
          <c:idx val="4"/>
          <c:order val="4"/>
          <c:tx>
            <c:v>D2</c:v>
          </c:tx>
          <c:marker>
            <c:symbol val="none"/>
          </c:marker>
          <c:xVal>
            <c:numRef>
              <c:f>Eff_vs_IOUT!$R$8:$R$157</c:f>
              <c:numCache>
                <c:formatCode>General</c:formatCode>
                <c:ptCount val="150"/>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pt idx="14">
                  <c:v>3.75</c:v>
                </c:pt>
                <c:pt idx="15">
                  <c:v>4</c:v>
                </c:pt>
                <c:pt idx="16">
                  <c:v>4.25</c:v>
                </c:pt>
                <c:pt idx="17">
                  <c:v>4.5</c:v>
                </c:pt>
                <c:pt idx="18">
                  <c:v>4.75</c:v>
                </c:pt>
                <c:pt idx="19">
                  <c:v>5</c:v>
                </c:pt>
                <c:pt idx="20">
                  <c:v>5.25</c:v>
                </c:pt>
                <c:pt idx="21">
                  <c:v>5.5</c:v>
                </c:pt>
                <c:pt idx="22">
                  <c:v>5.75</c:v>
                </c:pt>
                <c:pt idx="23">
                  <c:v>6</c:v>
                </c:pt>
                <c:pt idx="24">
                  <c:v>6.25</c:v>
                </c:pt>
                <c:pt idx="25">
                  <c:v>6.5</c:v>
                </c:pt>
                <c:pt idx="26">
                  <c:v>6.75</c:v>
                </c:pt>
                <c:pt idx="27">
                  <c:v>7</c:v>
                </c:pt>
                <c:pt idx="28">
                  <c:v>7.25</c:v>
                </c:pt>
                <c:pt idx="29">
                  <c:v>7.5</c:v>
                </c:pt>
                <c:pt idx="30">
                  <c:v>7.75</c:v>
                </c:pt>
                <c:pt idx="31">
                  <c:v>8</c:v>
                </c:pt>
                <c:pt idx="32">
                  <c:v>8.25</c:v>
                </c:pt>
                <c:pt idx="33">
                  <c:v>8.5</c:v>
                </c:pt>
                <c:pt idx="34">
                  <c:v>8.75</c:v>
                </c:pt>
                <c:pt idx="35">
                  <c:v>9</c:v>
                </c:pt>
                <c:pt idx="36">
                  <c:v>9.25</c:v>
                </c:pt>
                <c:pt idx="37">
                  <c:v>9.5</c:v>
                </c:pt>
                <c:pt idx="38">
                  <c:v>9.75</c:v>
                </c:pt>
                <c:pt idx="39">
                  <c:v>10</c:v>
                </c:pt>
                <c:pt idx="40">
                  <c:v>10.25</c:v>
                </c:pt>
                <c:pt idx="41">
                  <c:v>10.5</c:v>
                </c:pt>
                <c:pt idx="42">
                  <c:v>10.75</c:v>
                </c:pt>
                <c:pt idx="43">
                  <c:v>11</c:v>
                </c:pt>
                <c:pt idx="44">
                  <c:v>11.25</c:v>
                </c:pt>
                <c:pt idx="45">
                  <c:v>11.5</c:v>
                </c:pt>
                <c:pt idx="46">
                  <c:v>11.75</c:v>
                </c:pt>
                <c:pt idx="47">
                  <c:v>12</c:v>
                </c:pt>
                <c:pt idx="48">
                  <c:v>12.25</c:v>
                </c:pt>
                <c:pt idx="49">
                  <c:v>12.5</c:v>
                </c:pt>
                <c:pt idx="50">
                  <c:v>12.75</c:v>
                </c:pt>
                <c:pt idx="51">
                  <c:v>13</c:v>
                </c:pt>
                <c:pt idx="52">
                  <c:v>13.25</c:v>
                </c:pt>
                <c:pt idx="53">
                  <c:v>13.5</c:v>
                </c:pt>
                <c:pt idx="54">
                  <c:v>13.75</c:v>
                </c:pt>
                <c:pt idx="55">
                  <c:v>14</c:v>
                </c:pt>
                <c:pt idx="56">
                  <c:v>14.25</c:v>
                </c:pt>
                <c:pt idx="57">
                  <c:v>14.5</c:v>
                </c:pt>
                <c:pt idx="58">
                  <c:v>14.75</c:v>
                </c:pt>
                <c:pt idx="59">
                  <c:v>15</c:v>
                </c:pt>
                <c:pt idx="60">
                  <c:v>15.25</c:v>
                </c:pt>
                <c:pt idx="61">
                  <c:v>15.5</c:v>
                </c:pt>
                <c:pt idx="62">
                  <c:v>15.75</c:v>
                </c:pt>
                <c:pt idx="63">
                  <c:v>16</c:v>
                </c:pt>
                <c:pt idx="64">
                  <c:v>16.25</c:v>
                </c:pt>
                <c:pt idx="65">
                  <c:v>16.5</c:v>
                </c:pt>
                <c:pt idx="66">
                  <c:v>16.75</c:v>
                </c:pt>
                <c:pt idx="67">
                  <c:v>17</c:v>
                </c:pt>
                <c:pt idx="68">
                  <c:v>17.25</c:v>
                </c:pt>
                <c:pt idx="69">
                  <c:v>17.5</c:v>
                </c:pt>
                <c:pt idx="70">
                  <c:v>17.75</c:v>
                </c:pt>
                <c:pt idx="71">
                  <c:v>18</c:v>
                </c:pt>
                <c:pt idx="72">
                  <c:v>18.25</c:v>
                </c:pt>
                <c:pt idx="73">
                  <c:v>18.5</c:v>
                </c:pt>
                <c:pt idx="74">
                  <c:v>18.75</c:v>
                </c:pt>
                <c:pt idx="75">
                  <c:v>19</c:v>
                </c:pt>
                <c:pt idx="76">
                  <c:v>19.25</c:v>
                </c:pt>
                <c:pt idx="77">
                  <c:v>19.5</c:v>
                </c:pt>
                <c:pt idx="78">
                  <c:v>19.75</c:v>
                </c:pt>
                <c:pt idx="79">
                  <c:v>20</c:v>
                </c:pt>
                <c:pt idx="80">
                  <c:v>20.25</c:v>
                </c:pt>
                <c:pt idx="81">
                  <c:v>20.5</c:v>
                </c:pt>
                <c:pt idx="82">
                  <c:v>20.75</c:v>
                </c:pt>
                <c:pt idx="83">
                  <c:v>21</c:v>
                </c:pt>
                <c:pt idx="84">
                  <c:v>21.25</c:v>
                </c:pt>
                <c:pt idx="85">
                  <c:v>21.5</c:v>
                </c:pt>
                <c:pt idx="86">
                  <c:v>21.75</c:v>
                </c:pt>
                <c:pt idx="87">
                  <c:v>22</c:v>
                </c:pt>
                <c:pt idx="88">
                  <c:v>22.25</c:v>
                </c:pt>
                <c:pt idx="89">
                  <c:v>22.5</c:v>
                </c:pt>
                <c:pt idx="90">
                  <c:v>22.75</c:v>
                </c:pt>
                <c:pt idx="91">
                  <c:v>23</c:v>
                </c:pt>
                <c:pt idx="92">
                  <c:v>23.25</c:v>
                </c:pt>
                <c:pt idx="93">
                  <c:v>23.5</c:v>
                </c:pt>
                <c:pt idx="94">
                  <c:v>23.75</c:v>
                </c:pt>
                <c:pt idx="95">
                  <c:v>24</c:v>
                </c:pt>
                <c:pt idx="96">
                  <c:v>24.25</c:v>
                </c:pt>
                <c:pt idx="97">
                  <c:v>24.5</c:v>
                </c:pt>
                <c:pt idx="98">
                  <c:v>24.75</c:v>
                </c:pt>
                <c:pt idx="99">
                  <c:v>25</c:v>
                </c:pt>
                <c:pt idx="100">
                  <c:v>25.25</c:v>
                </c:pt>
                <c:pt idx="101">
                  <c:v>25.5</c:v>
                </c:pt>
                <c:pt idx="102">
                  <c:v>25.75</c:v>
                </c:pt>
                <c:pt idx="103">
                  <c:v>26</c:v>
                </c:pt>
                <c:pt idx="104">
                  <c:v>26.25</c:v>
                </c:pt>
                <c:pt idx="105">
                  <c:v>26.5</c:v>
                </c:pt>
                <c:pt idx="106">
                  <c:v>26.75</c:v>
                </c:pt>
                <c:pt idx="107">
                  <c:v>27</c:v>
                </c:pt>
                <c:pt idx="108">
                  <c:v>27.25</c:v>
                </c:pt>
                <c:pt idx="109">
                  <c:v>27.5</c:v>
                </c:pt>
                <c:pt idx="110">
                  <c:v>27.75</c:v>
                </c:pt>
                <c:pt idx="111">
                  <c:v>28</c:v>
                </c:pt>
                <c:pt idx="112">
                  <c:v>28.25</c:v>
                </c:pt>
                <c:pt idx="113">
                  <c:v>28.5</c:v>
                </c:pt>
                <c:pt idx="114">
                  <c:v>28.75</c:v>
                </c:pt>
                <c:pt idx="115">
                  <c:v>29</c:v>
                </c:pt>
                <c:pt idx="116">
                  <c:v>29.25</c:v>
                </c:pt>
                <c:pt idx="117">
                  <c:v>29.5</c:v>
                </c:pt>
                <c:pt idx="118">
                  <c:v>29.75</c:v>
                </c:pt>
                <c:pt idx="119">
                  <c:v>30</c:v>
                </c:pt>
                <c:pt idx="120">
                  <c:v>30.25</c:v>
                </c:pt>
                <c:pt idx="121">
                  <c:v>30.5</c:v>
                </c:pt>
                <c:pt idx="122">
                  <c:v>30.75</c:v>
                </c:pt>
                <c:pt idx="123">
                  <c:v>31</c:v>
                </c:pt>
                <c:pt idx="124">
                  <c:v>31.25</c:v>
                </c:pt>
                <c:pt idx="125">
                  <c:v>31.5</c:v>
                </c:pt>
                <c:pt idx="126">
                  <c:v>31.75</c:v>
                </c:pt>
                <c:pt idx="127">
                  <c:v>32</c:v>
                </c:pt>
                <c:pt idx="128">
                  <c:v>32.25</c:v>
                </c:pt>
                <c:pt idx="129">
                  <c:v>32.5</c:v>
                </c:pt>
                <c:pt idx="130">
                  <c:v>32.75</c:v>
                </c:pt>
                <c:pt idx="131">
                  <c:v>33</c:v>
                </c:pt>
                <c:pt idx="132">
                  <c:v>33.25</c:v>
                </c:pt>
                <c:pt idx="133">
                  <c:v>33.5</c:v>
                </c:pt>
                <c:pt idx="134">
                  <c:v>33.75</c:v>
                </c:pt>
                <c:pt idx="135">
                  <c:v>34</c:v>
                </c:pt>
                <c:pt idx="136">
                  <c:v>34.25</c:v>
                </c:pt>
                <c:pt idx="137">
                  <c:v>34.5</c:v>
                </c:pt>
                <c:pt idx="138">
                  <c:v>34.75</c:v>
                </c:pt>
                <c:pt idx="139">
                  <c:v>35</c:v>
                </c:pt>
                <c:pt idx="140">
                  <c:v>35.25</c:v>
                </c:pt>
                <c:pt idx="141">
                  <c:v>35.5</c:v>
                </c:pt>
                <c:pt idx="142">
                  <c:v>35.75</c:v>
                </c:pt>
                <c:pt idx="143">
                  <c:v>36</c:v>
                </c:pt>
                <c:pt idx="144">
                  <c:v>36.25</c:v>
                </c:pt>
                <c:pt idx="145">
                  <c:v>36.5</c:v>
                </c:pt>
                <c:pt idx="146">
                  <c:v>36.75</c:v>
                </c:pt>
                <c:pt idx="147">
                  <c:v>37</c:v>
                </c:pt>
                <c:pt idx="148">
                  <c:v>37.25</c:v>
                </c:pt>
                <c:pt idx="149">
                  <c:v>37.5</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A180-432B-A347-F5CCD23FB4B3}"/>
            </c:ext>
          </c:extLst>
        </c:ser>
        <c:ser>
          <c:idx val="5"/>
          <c:order val="5"/>
          <c:tx>
            <c:v>D3</c:v>
          </c:tx>
          <c:marker>
            <c:symbol val="none"/>
          </c:marker>
          <c:xVal>
            <c:numRef>
              <c:f>Eff_vs_IOUT!$R$8:$R$157</c:f>
              <c:numCache>
                <c:formatCode>General</c:formatCode>
                <c:ptCount val="150"/>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pt idx="14">
                  <c:v>3.75</c:v>
                </c:pt>
                <c:pt idx="15">
                  <c:v>4</c:v>
                </c:pt>
                <c:pt idx="16">
                  <c:v>4.25</c:v>
                </c:pt>
                <c:pt idx="17">
                  <c:v>4.5</c:v>
                </c:pt>
                <c:pt idx="18">
                  <c:v>4.75</c:v>
                </c:pt>
                <c:pt idx="19">
                  <c:v>5</c:v>
                </c:pt>
                <c:pt idx="20">
                  <c:v>5.25</c:v>
                </c:pt>
                <c:pt idx="21">
                  <c:v>5.5</c:v>
                </c:pt>
                <c:pt idx="22">
                  <c:v>5.75</c:v>
                </c:pt>
                <c:pt idx="23">
                  <c:v>6</c:v>
                </c:pt>
                <c:pt idx="24">
                  <c:v>6.25</c:v>
                </c:pt>
                <c:pt idx="25">
                  <c:v>6.5</c:v>
                </c:pt>
                <c:pt idx="26">
                  <c:v>6.75</c:v>
                </c:pt>
                <c:pt idx="27">
                  <c:v>7</c:v>
                </c:pt>
                <c:pt idx="28">
                  <c:v>7.25</c:v>
                </c:pt>
                <c:pt idx="29">
                  <c:v>7.5</c:v>
                </c:pt>
                <c:pt idx="30">
                  <c:v>7.75</c:v>
                </c:pt>
                <c:pt idx="31">
                  <c:v>8</c:v>
                </c:pt>
                <c:pt idx="32">
                  <c:v>8.25</c:v>
                </c:pt>
                <c:pt idx="33">
                  <c:v>8.5</c:v>
                </c:pt>
                <c:pt idx="34">
                  <c:v>8.75</c:v>
                </c:pt>
                <c:pt idx="35">
                  <c:v>9</c:v>
                </c:pt>
                <c:pt idx="36">
                  <c:v>9.25</c:v>
                </c:pt>
                <c:pt idx="37">
                  <c:v>9.5</c:v>
                </c:pt>
                <c:pt idx="38">
                  <c:v>9.75</c:v>
                </c:pt>
                <c:pt idx="39">
                  <c:v>10</c:v>
                </c:pt>
                <c:pt idx="40">
                  <c:v>10.25</c:v>
                </c:pt>
                <c:pt idx="41">
                  <c:v>10.5</c:v>
                </c:pt>
                <c:pt idx="42">
                  <c:v>10.75</c:v>
                </c:pt>
                <c:pt idx="43">
                  <c:v>11</c:v>
                </c:pt>
                <c:pt idx="44">
                  <c:v>11.25</c:v>
                </c:pt>
                <c:pt idx="45">
                  <c:v>11.5</c:v>
                </c:pt>
                <c:pt idx="46">
                  <c:v>11.75</c:v>
                </c:pt>
                <c:pt idx="47">
                  <c:v>12</c:v>
                </c:pt>
                <c:pt idx="48">
                  <c:v>12.25</c:v>
                </c:pt>
                <c:pt idx="49">
                  <c:v>12.5</c:v>
                </c:pt>
                <c:pt idx="50">
                  <c:v>12.75</c:v>
                </c:pt>
                <c:pt idx="51">
                  <c:v>13</c:v>
                </c:pt>
                <c:pt idx="52">
                  <c:v>13.25</c:v>
                </c:pt>
                <c:pt idx="53">
                  <c:v>13.5</c:v>
                </c:pt>
                <c:pt idx="54">
                  <c:v>13.75</c:v>
                </c:pt>
                <c:pt idx="55">
                  <c:v>14</c:v>
                </c:pt>
                <c:pt idx="56">
                  <c:v>14.25</c:v>
                </c:pt>
                <c:pt idx="57">
                  <c:v>14.5</c:v>
                </c:pt>
                <c:pt idx="58">
                  <c:v>14.75</c:v>
                </c:pt>
                <c:pt idx="59">
                  <c:v>15</c:v>
                </c:pt>
                <c:pt idx="60">
                  <c:v>15.25</c:v>
                </c:pt>
                <c:pt idx="61">
                  <c:v>15.5</c:v>
                </c:pt>
                <c:pt idx="62">
                  <c:v>15.75</c:v>
                </c:pt>
                <c:pt idx="63">
                  <c:v>16</c:v>
                </c:pt>
                <c:pt idx="64">
                  <c:v>16.25</c:v>
                </c:pt>
                <c:pt idx="65">
                  <c:v>16.5</c:v>
                </c:pt>
                <c:pt idx="66">
                  <c:v>16.75</c:v>
                </c:pt>
                <c:pt idx="67">
                  <c:v>17</c:v>
                </c:pt>
                <c:pt idx="68">
                  <c:v>17.25</c:v>
                </c:pt>
                <c:pt idx="69">
                  <c:v>17.5</c:v>
                </c:pt>
                <c:pt idx="70">
                  <c:v>17.75</c:v>
                </c:pt>
                <c:pt idx="71">
                  <c:v>18</c:v>
                </c:pt>
                <c:pt idx="72">
                  <c:v>18.25</c:v>
                </c:pt>
                <c:pt idx="73">
                  <c:v>18.5</c:v>
                </c:pt>
                <c:pt idx="74">
                  <c:v>18.75</c:v>
                </c:pt>
                <c:pt idx="75">
                  <c:v>19</c:v>
                </c:pt>
                <c:pt idx="76">
                  <c:v>19.25</c:v>
                </c:pt>
                <c:pt idx="77">
                  <c:v>19.5</c:v>
                </c:pt>
                <c:pt idx="78">
                  <c:v>19.75</c:v>
                </c:pt>
                <c:pt idx="79">
                  <c:v>20</c:v>
                </c:pt>
                <c:pt idx="80">
                  <c:v>20.25</c:v>
                </c:pt>
                <c:pt idx="81">
                  <c:v>20.5</c:v>
                </c:pt>
                <c:pt idx="82">
                  <c:v>20.75</c:v>
                </c:pt>
                <c:pt idx="83">
                  <c:v>21</c:v>
                </c:pt>
                <c:pt idx="84">
                  <c:v>21.25</c:v>
                </c:pt>
                <c:pt idx="85">
                  <c:v>21.5</c:v>
                </c:pt>
                <c:pt idx="86">
                  <c:v>21.75</c:v>
                </c:pt>
                <c:pt idx="87">
                  <c:v>22</c:v>
                </c:pt>
                <c:pt idx="88">
                  <c:v>22.25</c:v>
                </c:pt>
                <c:pt idx="89">
                  <c:v>22.5</c:v>
                </c:pt>
                <c:pt idx="90">
                  <c:v>22.75</c:v>
                </c:pt>
                <c:pt idx="91">
                  <c:v>23</c:v>
                </c:pt>
                <c:pt idx="92">
                  <c:v>23.25</c:v>
                </c:pt>
                <c:pt idx="93">
                  <c:v>23.5</c:v>
                </c:pt>
                <c:pt idx="94">
                  <c:v>23.75</c:v>
                </c:pt>
                <c:pt idx="95">
                  <c:v>24</c:v>
                </c:pt>
                <c:pt idx="96">
                  <c:v>24.25</c:v>
                </c:pt>
                <c:pt idx="97">
                  <c:v>24.5</c:v>
                </c:pt>
                <c:pt idx="98">
                  <c:v>24.75</c:v>
                </c:pt>
                <c:pt idx="99">
                  <c:v>25</c:v>
                </c:pt>
                <c:pt idx="100">
                  <c:v>25.25</c:v>
                </c:pt>
                <c:pt idx="101">
                  <c:v>25.5</c:v>
                </c:pt>
                <c:pt idx="102">
                  <c:v>25.75</c:v>
                </c:pt>
                <c:pt idx="103">
                  <c:v>26</c:v>
                </c:pt>
                <c:pt idx="104">
                  <c:v>26.25</c:v>
                </c:pt>
                <c:pt idx="105">
                  <c:v>26.5</c:v>
                </c:pt>
                <c:pt idx="106">
                  <c:v>26.75</c:v>
                </c:pt>
                <c:pt idx="107">
                  <c:v>27</c:v>
                </c:pt>
                <c:pt idx="108">
                  <c:v>27.25</c:v>
                </c:pt>
                <c:pt idx="109">
                  <c:v>27.5</c:v>
                </c:pt>
                <c:pt idx="110">
                  <c:v>27.75</c:v>
                </c:pt>
                <c:pt idx="111">
                  <c:v>28</c:v>
                </c:pt>
                <c:pt idx="112">
                  <c:v>28.25</c:v>
                </c:pt>
                <c:pt idx="113">
                  <c:v>28.5</c:v>
                </c:pt>
                <c:pt idx="114">
                  <c:v>28.75</c:v>
                </c:pt>
                <c:pt idx="115">
                  <c:v>29</c:v>
                </c:pt>
                <c:pt idx="116">
                  <c:v>29.25</c:v>
                </c:pt>
                <c:pt idx="117">
                  <c:v>29.5</c:v>
                </c:pt>
                <c:pt idx="118">
                  <c:v>29.75</c:v>
                </c:pt>
                <c:pt idx="119">
                  <c:v>30</c:v>
                </c:pt>
                <c:pt idx="120">
                  <c:v>30.25</c:v>
                </c:pt>
                <c:pt idx="121">
                  <c:v>30.5</c:v>
                </c:pt>
                <c:pt idx="122">
                  <c:v>30.75</c:v>
                </c:pt>
                <c:pt idx="123">
                  <c:v>31</c:v>
                </c:pt>
                <c:pt idx="124">
                  <c:v>31.25</c:v>
                </c:pt>
                <c:pt idx="125">
                  <c:v>31.5</c:v>
                </c:pt>
                <c:pt idx="126">
                  <c:v>31.75</c:v>
                </c:pt>
                <c:pt idx="127">
                  <c:v>32</c:v>
                </c:pt>
                <c:pt idx="128">
                  <c:v>32.25</c:v>
                </c:pt>
                <c:pt idx="129">
                  <c:v>32.5</c:v>
                </c:pt>
                <c:pt idx="130">
                  <c:v>32.75</c:v>
                </c:pt>
                <c:pt idx="131">
                  <c:v>33</c:v>
                </c:pt>
                <c:pt idx="132">
                  <c:v>33.25</c:v>
                </c:pt>
                <c:pt idx="133">
                  <c:v>33.5</c:v>
                </c:pt>
                <c:pt idx="134">
                  <c:v>33.75</c:v>
                </c:pt>
                <c:pt idx="135">
                  <c:v>34</c:v>
                </c:pt>
                <c:pt idx="136">
                  <c:v>34.25</c:v>
                </c:pt>
                <c:pt idx="137">
                  <c:v>34.5</c:v>
                </c:pt>
                <c:pt idx="138">
                  <c:v>34.75</c:v>
                </c:pt>
                <c:pt idx="139">
                  <c:v>35</c:v>
                </c:pt>
                <c:pt idx="140">
                  <c:v>35.25</c:v>
                </c:pt>
                <c:pt idx="141">
                  <c:v>35.5</c:v>
                </c:pt>
                <c:pt idx="142">
                  <c:v>35.75</c:v>
                </c:pt>
                <c:pt idx="143">
                  <c:v>36</c:v>
                </c:pt>
                <c:pt idx="144">
                  <c:v>36.25</c:v>
                </c:pt>
                <c:pt idx="145">
                  <c:v>36.5</c:v>
                </c:pt>
                <c:pt idx="146">
                  <c:v>36.75</c:v>
                </c:pt>
                <c:pt idx="147">
                  <c:v>37</c:v>
                </c:pt>
                <c:pt idx="148">
                  <c:v>37.25</c:v>
                </c:pt>
                <c:pt idx="149">
                  <c:v>37.5</c:v>
                </c:pt>
              </c:numCache>
            </c:numRef>
          </c:xVal>
          <c:yVal>
            <c:numRef>
              <c:f>Eff_vs_IOUT!$BT$8:$BT$157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5-A180-432B-A347-F5CCD23FB4B3}"/>
            </c:ext>
          </c:extLst>
        </c:ser>
        <c:dLbls>
          <c:showLegendKey val="0"/>
          <c:showVal val="0"/>
          <c:showCatName val="0"/>
          <c:showSerName val="0"/>
          <c:showPercent val="0"/>
          <c:showBubbleSize val="0"/>
        </c:dLbls>
        <c:axId val="582914816"/>
        <c:axId val="582904448"/>
      </c:scatterChart>
      <c:valAx>
        <c:axId val="582892544"/>
        <c:scaling>
          <c:orientation val="minMax"/>
        </c:scaling>
        <c:delete val="0"/>
        <c:axPos val="b"/>
        <c:majorGridlines/>
        <c:numFmt formatCode="General" sourceLinked="1"/>
        <c:majorTickMark val="out"/>
        <c:minorTickMark val="none"/>
        <c:tickLblPos val="nextTo"/>
        <c:crossAx val="582902528"/>
        <c:crosses val="autoZero"/>
        <c:crossBetween val="midCat"/>
      </c:valAx>
      <c:valAx>
        <c:axId val="582902528"/>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2892544"/>
        <c:crosses val="autoZero"/>
        <c:crossBetween val="midCat"/>
      </c:valAx>
      <c:valAx>
        <c:axId val="58290444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2914816"/>
        <c:crosses val="max"/>
        <c:crossBetween val="midCat"/>
      </c:valAx>
      <c:valAx>
        <c:axId val="582914816"/>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582904448"/>
        <c:crosses val="autoZero"/>
        <c:crossBetween val="midCat"/>
      </c:valAx>
    </c:plotArea>
    <c:legend>
      <c:legendPos val="r"/>
      <c:layout>
        <c:manualLayout>
          <c:xMode val="edge"/>
          <c:yMode val="edge"/>
          <c:x val="0.49723111871774606"/>
          <c:y val="6.4861313959085187E-3"/>
          <c:w val="0.41972466868865133"/>
          <c:h val="0.12461147870492213"/>
        </c:manualLayout>
      </c:layout>
      <c:overlay val="1"/>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2" fmlaRange="$1:$1048576" noThreeD="1" sel="0" val="0"/>
</file>

<file path=xl/ctrlProps/ctrlProp2.xml><?xml version="1.0" encoding="utf-8"?>
<formControlPr xmlns="http://schemas.microsoft.com/office/spreadsheetml/2009/9/main" objectType="Spin" dx="20" fmlaLink="$H$8" max="45" noThreeD="1" page="10" val="45"/>
</file>

<file path=xl/ctrlProps/ctrlProp3.xml><?xml version="1.0" encoding="utf-8"?>
<formControlPr xmlns="http://schemas.microsoft.com/office/spreadsheetml/2009/9/main" objectType="Drop" dropLines="2" dropStyle="combo" dx="20" fmlaLink="Variable_Management!$B$175" fmlaRange="Lists!$I$2:$I$3" noThreeD="1" sel="1" val="0"/>
</file>

<file path=xl/ctrlProps/ctrlProp4.xml><?xml version="1.0" encoding="utf-8"?>
<formControlPr xmlns="http://schemas.microsoft.com/office/spreadsheetml/2009/9/main" objectType="Drop" dropLines="3" dropStyle="combo" dx="20" fmlaLink="Variable_Management!$B$13" fmlaRange="Lists!$L$2:$L$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7.gif"/><Relationship Id="rId1" Type="http://schemas.openxmlformats.org/officeDocument/2006/relationships/hyperlink" Target="http://www.ti.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chart" Target="../charts/chart4.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16.emf"/></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18.emf"/><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114300</xdr:colOff>
          <xdr:row>17</xdr:row>
          <xdr:rowOff>22860</xdr:rowOff>
        </xdr:from>
        <xdr:to>
          <xdr:col>25</xdr:col>
          <xdr:colOff>411480</xdr:colOff>
          <xdr:row>18</xdr:row>
          <xdr:rowOff>175260</xdr:rowOff>
        </xdr:to>
        <xdr:sp macro="" textlink="">
          <xdr:nvSpPr>
            <xdr:cNvPr id="1652" name="Drop Down 628" hidden="1">
              <a:extLst>
                <a:ext uri="{63B3BB69-23CF-44E3-9099-C40C66FF867C}">
                  <a14:compatExt spid="_x0000_s1652"/>
                </a:ext>
                <a:ext uri="{FF2B5EF4-FFF2-40B4-BE49-F238E27FC236}">
                  <a16:creationId xmlns:a16="http://schemas.microsoft.com/office/drawing/2014/main" id="{00000000-0008-0000-00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17872</xdr:colOff>
          <xdr:row>57</xdr:row>
          <xdr:rowOff>241089</xdr:rowOff>
        </xdr:from>
        <xdr:to>
          <xdr:col>30</xdr:col>
          <xdr:colOff>586398</xdr:colOff>
          <xdr:row>84</xdr:row>
          <xdr:rowOff>185458</xdr:rowOff>
        </xdr:to>
        <xdr:pic>
          <xdr:nvPicPr>
            <xdr:cNvPr id="91" name="Picture 90">
              <a:extLst>
                <a:ext uri="{FF2B5EF4-FFF2-40B4-BE49-F238E27FC236}">
                  <a16:creationId xmlns:a16="http://schemas.microsoft.com/office/drawing/2014/main" id="{00000000-0008-0000-0000-00005B000000}"/>
                </a:ext>
              </a:extLst>
            </xdr:cNvPr>
            <xdr:cNvPicPr>
              <a:picLocks noChangeAspect="1" noChangeArrowheads="1"/>
              <a:extLst>
                <a:ext uri="{84589F7E-364E-4C9E-8A38-B11213B215E9}">
                  <a14:cameraTool cellRange="LoopLookup" spid="_x0000_s1941"/>
                </a:ext>
              </a:extLst>
            </xdr:cNvPicPr>
          </xdr:nvPicPr>
          <xdr:blipFill>
            <a:blip xmlns:r="http://schemas.openxmlformats.org/officeDocument/2006/relationships" r:embed="rId1"/>
            <a:srcRect/>
            <a:stretch>
              <a:fillRect/>
            </a:stretch>
          </xdr:blipFill>
          <xdr:spPr bwMode="auto">
            <a:xfrm>
              <a:off x="5237572" y="12937914"/>
              <a:ext cx="11979476" cy="586891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131952</xdr:colOff>
          <xdr:row>89</xdr:row>
          <xdr:rowOff>282846</xdr:rowOff>
        </xdr:from>
        <xdr:to>
          <xdr:col>30</xdr:col>
          <xdr:colOff>132404</xdr:colOff>
          <xdr:row>119</xdr:row>
          <xdr:rowOff>153490</xdr:rowOff>
        </xdr:to>
        <xdr:pic>
          <xdr:nvPicPr>
            <xdr:cNvPr id="27" name="Picture 8888">
              <a:extLst>
                <a:ext uri="{FF2B5EF4-FFF2-40B4-BE49-F238E27FC236}">
                  <a16:creationId xmlns:a16="http://schemas.microsoft.com/office/drawing/2014/main" id="{00000000-0008-0000-0000-00001B000000}"/>
                </a:ext>
              </a:extLst>
            </xdr:cNvPr>
            <xdr:cNvPicPr>
              <a:picLocks noChangeAspect="1" noChangeArrowheads="1"/>
              <a:extLst>
                <a:ext uri="{84589F7E-364E-4C9E-8A38-B11213B215E9}">
                  <a14:cameraTool cellRange="display_eff" spid="_x0000_s1942"/>
                </a:ext>
              </a:extLst>
            </xdr:cNvPicPr>
          </xdr:nvPicPr>
          <xdr:blipFill>
            <a:blip xmlns:r="http://schemas.openxmlformats.org/officeDocument/2006/relationships" r:embed="rId2"/>
            <a:srcRect/>
            <a:stretch>
              <a:fillRect/>
            </a:stretch>
          </xdr:blipFill>
          <xdr:spPr bwMode="auto">
            <a:xfrm>
              <a:off x="5376305" y="19834309"/>
              <a:ext cx="11441658" cy="619916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58</xdr:row>
          <xdr:rowOff>7620</xdr:rowOff>
        </xdr:from>
        <xdr:to>
          <xdr:col>9</xdr:col>
          <xdr:colOff>0</xdr:colOff>
          <xdr:row>59</xdr:row>
          <xdr:rowOff>99060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14</xdr:col>
      <xdr:colOff>112060</xdr:colOff>
      <xdr:row>57</xdr:row>
      <xdr:rowOff>125987</xdr:rowOff>
    </xdr:from>
    <xdr:to>
      <xdr:col>16</xdr:col>
      <xdr:colOff>381002</xdr:colOff>
      <xdr:row>59</xdr:row>
      <xdr:rowOff>76044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278472" y="12474869"/>
          <a:ext cx="784412" cy="4207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12</xdr:col>
      <xdr:colOff>6735</xdr:colOff>
      <xdr:row>90</xdr:row>
      <xdr:rowOff>145675</xdr:rowOff>
    </xdr:from>
    <xdr:to>
      <xdr:col>13</xdr:col>
      <xdr:colOff>598405</xdr:colOff>
      <xdr:row>93</xdr:row>
      <xdr:rowOff>67234</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887147" y="19655116"/>
          <a:ext cx="2014817" cy="5154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12</xdr:col>
      <xdr:colOff>657935</xdr:colOff>
      <xdr:row>90</xdr:row>
      <xdr:rowOff>145674</xdr:rowOff>
    </xdr:from>
    <xdr:to>
      <xdr:col>13</xdr:col>
      <xdr:colOff>320862</xdr:colOff>
      <xdr:row>93</xdr:row>
      <xdr:rowOff>67234</xdr:rowOff>
    </xdr:to>
    <xdr:sp macro="" textlink="VIN_nom">
      <xdr:nvSpPr>
        <xdr:cNvPr id="10" name="TextBox 9">
          <a:extLst>
            <a:ext uri="{FF2B5EF4-FFF2-40B4-BE49-F238E27FC236}">
              <a16:creationId xmlns:a16="http://schemas.microsoft.com/office/drawing/2014/main" id="{00000000-0008-0000-0000-00000A000000}"/>
            </a:ext>
          </a:extLst>
        </xdr:cNvPr>
        <xdr:cNvSpPr txBox="1"/>
      </xdr:nvSpPr>
      <xdr:spPr>
        <a:xfrm>
          <a:off x="7538347" y="19655115"/>
          <a:ext cx="1086074" cy="5154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50</a:t>
          </a:fld>
          <a:endParaRPr lang="en-US" sz="2400"/>
        </a:p>
      </xdr:txBody>
    </xdr:sp>
    <xdr:clientData/>
  </xdr:twoCellAnchor>
  <xdr:twoCellAnchor>
    <xdr:from>
      <xdr:col>12</xdr:col>
      <xdr:colOff>1077104</xdr:colOff>
      <xdr:row>90</xdr:row>
      <xdr:rowOff>145675</xdr:rowOff>
    </xdr:from>
    <xdr:to>
      <xdr:col>13</xdr:col>
      <xdr:colOff>495293</xdr:colOff>
      <xdr:row>93</xdr:row>
      <xdr:rowOff>67234</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7957516" y="19655116"/>
          <a:ext cx="841336" cy="5154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mc:AlternateContent xmlns:mc="http://schemas.openxmlformats.org/markup-compatibility/2006">
    <mc:Choice xmlns:a14="http://schemas.microsoft.com/office/drawing/2010/main" Requires="a14">
      <xdr:twoCellAnchor editAs="oneCell">
        <xdr:from>
          <xdr:col>7</xdr:col>
          <xdr:colOff>7620</xdr:colOff>
          <xdr:row>11</xdr:row>
          <xdr:rowOff>0</xdr:rowOff>
        </xdr:from>
        <xdr:to>
          <xdr:col>9</xdr:col>
          <xdr:colOff>7620</xdr:colOff>
          <xdr:row>12</xdr:row>
          <xdr:rowOff>106680</xdr:rowOff>
        </xdr:to>
        <xdr:sp macro="" textlink="">
          <xdr:nvSpPr>
            <xdr:cNvPr id="1064" name="Drop Dow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61602</xdr:colOff>
          <xdr:row>4</xdr:row>
          <xdr:rowOff>179294</xdr:rowOff>
        </xdr:from>
        <xdr:to>
          <xdr:col>30</xdr:col>
          <xdr:colOff>526675</xdr:colOff>
          <xdr:row>36</xdr:row>
          <xdr:rowOff>48969</xdr:rowOff>
        </xdr:to>
        <xdr:pic>
          <xdr:nvPicPr>
            <xdr:cNvPr id="15" name="Picture 14">
              <a:extLst>
                <a:ext uri="{FF2B5EF4-FFF2-40B4-BE49-F238E27FC236}">
                  <a16:creationId xmlns:a16="http://schemas.microsoft.com/office/drawing/2014/main" id="{00000000-0008-0000-0000-00000F000000}"/>
                </a:ext>
              </a:extLst>
            </xdr:cNvPr>
            <xdr:cNvPicPr>
              <a:picLocks noChangeAspect="1"/>
              <a:extLst>
                <a:ext uri="{84589F7E-364E-4C9E-8A38-B11213B215E9}">
                  <a14:cameraTool cellRange="display_Sch" spid="_x0000_s1943"/>
                </a:ext>
              </a:extLst>
            </xdr:cNvPicPr>
          </xdr:nvPicPr>
          <xdr:blipFill rotWithShape="1">
            <a:blip xmlns:r="http://schemas.openxmlformats.org/officeDocument/2006/relationships" r:embed="rId3"/>
            <a:srcRect/>
            <a:stretch>
              <a:fillRect/>
            </a:stretch>
          </xdr:blipFill>
          <xdr:spPr>
            <a:xfrm>
              <a:off x="9485749" y="1333500"/>
              <a:ext cx="7726485" cy="6740001"/>
            </a:xfrm>
            <a:prstGeom prst="rect">
              <a:avLst/>
            </a:prstGeom>
          </xdr:spPr>
        </xdr:pic>
        <xdr:clientData/>
      </xdr:twoCellAnchor>
    </mc:Choice>
    <mc:Fallback/>
  </mc:AlternateContent>
  <xdr:twoCellAnchor>
    <xdr:from>
      <xdr:col>16</xdr:col>
      <xdr:colOff>205633</xdr:colOff>
      <xdr:row>57</xdr:row>
      <xdr:rowOff>140414</xdr:rowOff>
    </xdr:from>
    <xdr:to>
      <xdr:col>18</xdr:col>
      <xdr:colOff>285750</xdr:colOff>
      <xdr:row>59</xdr:row>
      <xdr:rowOff>64839</xdr:rowOff>
    </xdr:to>
    <xdr:sp macro="" textlink="VIN_nom">
      <xdr:nvSpPr>
        <xdr:cNvPr id="3" name="TextBox 2">
          <a:extLst>
            <a:ext uri="{FF2B5EF4-FFF2-40B4-BE49-F238E27FC236}">
              <a16:creationId xmlns:a16="http://schemas.microsoft.com/office/drawing/2014/main" id="{00000000-0008-0000-0000-000003000000}"/>
            </a:ext>
          </a:extLst>
        </xdr:cNvPr>
        <xdr:cNvSpPr txBox="1"/>
      </xdr:nvSpPr>
      <xdr:spPr>
        <a:xfrm>
          <a:off x="9854458" y="12589589"/>
          <a:ext cx="689717" cy="400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50</a:t>
          </a:fld>
          <a:endParaRPr lang="en-US" sz="2400"/>
        </a:p>
      </xdr:txBody>
    </xdr:sp>
    <xdr:clientData/>
  </xdr:twoCellAnchor>
  <mc:AlternateContent xmlns:mc="http://schemas.openxmlformats.org/markup-compatibility/2006">
    <mc:Choice xmlns:a14="http://schemas.microsoft.com/office/drawing/2010/main" Requires="a14">
      <xdr:twoCellAnchor editAs="oneCell">
        <xdr:from>
          <xdr:col>7</xdr:col>
          <xdr:colOff>7620</xdr:colOff>
          <xdr:row>9</xdr:row>
          <xdr:rowOff>30480</xdr:rowOff>
        </xdr:from>
        <xdr:to>
          <xdr:col>9</xdr:col>
          <xdr:colOff>0</xdr:colOff>
          <xdr:row>10</xdr:row>
          <xdr:rowOff>68580</xdr:rowOff>
        </xdr:to>
        <xdr:sp macro="" textlink="">
          <xdr:nvSpPr>
            <xdr:cNvPr id="1157" name="Drop Down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19</xdr:col>
      <xdr:colOff>0</xdr:colOff>
      <xdr:row>47</xdr:row>
      <xdr:rowOff>0</xdr:rowOff>
    </xdr:from>
    <xdr:to>
      <xdr:col>41</xdr:col>
      <xdr:colOff>447675</xdr:colOff>
      <xdr:row>73</xdr:row>
      <xdr:rowOff>97734</xdr:rowOff>
    </xdr:to>
    <xdr:sp macro="" textlink="">
      <xdr:nvSpPr>
        <xdr:cNvPr id="1296" name="AutoShape 272">
          <a:extLst>
            <a:ext uri="{FF2B5EF4-FFF2-40B4-BE49-F238E27FC236}">
              <a16:creationId xmlns:a16="http://schemas.microsoft.com/office/drawing/2014/main" id="{00000000-0008-0000-0000-000010050000}"/>
            </a:ext>
          </a:extLst>
        </xdr:cNvPr>
        <xdr:cNvSpPr>
          <a:spLocks noChangeAspect="1" noChangeArrowheads="1"/>
        </xdr:cNvSpPr>
      </xdr:nvSpPr>
      <xdr:spPr bwMode="auto">
        <a:xfrm>
          <a:off x="11325225" y="14592300"/>
          <a:ext cx="11887200" cy="5857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126980</xdr:colOff>
      <xdr:row>57</xdr:row>
      <xdr:rowOff>142186</xdr:rowOff>
    </xdr:from>
    <xdr:to>
      <xdr:col>18</xdr:col>
      <xdr:colOff>389655</xdr:colOff>
      <xdr:row>59</xdr:row>
      <xdr:rowOff>56993</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10385405" y="12591361"/>
          <a:ext cx="262675" cy="3910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algn="l"/>
          <a:r>
            <a:rPr lang="en-US" sz="2400"/>
            <a:t>V</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5</xdr:col>
          <xdr:colOff>6713220</xdr:colOff>
          <xdr:row>5</xdr:row>
          <xdr:rowOff>4732020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3</xdr:col>
          <xdr:colOff>6713220</xdr:colOff>
          <xdr:row>5</xdr:row>
          <xdr:rowOff>4732020</xdr:rowOff>
        </xdr:to>
        <xdr:sp macro="" textlink="">
          <xdr:nvSpPr>
            <xdr:cNvPr id="21506" name="Object 2" hidden="1">
              <a:extLst>
                <a:ext uri="{63B3BB69-23CF-44E3-9099-C40C66FF867C}">
                  <a14:compatExt spid="_x0000_s21506"/>
                </a:ext>
                <a:ext uri="{FF2B5EF4-FFF2-40B4-BE49-F238E27FC236}">
                  <a16:creationId xmlns:a16="http://schemas.microsoft.com/office/drawing/2014/main" id="{00000000-0008-0000-0A00-000002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6713220</xdr:colOff>
          <xdr:row>5</xdr:row>
          <xdr:rowOff>4732020</xdr:rowOff>
        </xdr:to>
        <xdr:sp macro="" textlink="">
          <xdr:nvSpPr>
            <xdr:cNvPr id="21507" name="Object 3" hidden="1">
              <a:extLst>
                <a:ext uri="{63B3BB69-23CF-44E3-9099-C40C66FF867C}">
                  <a14:compatExt spid="_x0000_s21507"/>
                </a:ext>
                <a:ext uri="{FF2B5EF4-FFF2-40B4-BE49-F238E27FC236}">
                  <a16:creationId xmlns:a16="http://schemas.microsoft.com/office/drawing/2014/main" id="{00000000-0008-0000-0A00-000003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6469380</xdr:colOff>
          <xdr:row>3</xdr:row>
          <xdr:rowOff>4442460</xdr:rowOff>
        </xdr:to>
        <xdr:sp macro="" textlink="">
          <xdr:nvSpPr>
            <xdr:cNvPr id="21508" name="Object 4" hidden="1">
              <a:extLst>
                <a:ext uri="{63B3BB69-23CF-44E3-9099-C40C66FF867C}">
                  <a14:compatExt spid="_x0000_s21508"/>
                </a:ext>
                <a:ext uri="{FF2B5EF4-FFF2-40B4-BE49-F238E27FC236}">
                  <a16:creationId xmlns:a16="http://schemas.microsoft.com/office/drawing/2014/main" id="{00000000-0008-0000-0A00-000004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3</xdr:col>
          <xdr:colOff>6469380</xdr:colOff>
          <xdr:row>3</xdr:row>
          <xdr:rowOff>4442460</xdr:rowOff>
        </xdr:to>
        <xdr:sp macro="" textlink="">
          <xdr:nvSpPr>
            <xdr:cNvPr id="21509" name="Object 5" hidden="1">
              <a:extLst>
                <a:ext uri="{63B3BB69-23CF-44E3-9099-C40C66FF867C}">
                  <a14:compatExt spid="_x0000_s21509"/>
                </a:ext>
                <a:ext uri="{FF2B5EF4-FFF2-40B4-BE49-F238E27FC236}">
                  <a16:creationId xmlns:a16="http://schemas.microsoft.com/office/drawing/2014/main" id="{00000000-0008-0000-0A00-000005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0</xdr:rowOff>
        </xdr:from>
        <xdr:to>
          <xdr:col>5</xdr:col>
          <xdr:colOff>6469380</xdr:colOff>
          <xdr:row>3</xdr:row>
          <xdr:rowOff>4442460</xdr:rowOff>
        </xdr:to>
        <xdr:sp macro="" textlink="">
          <xdr:nvSpPr>
            <xdr:cNvPr id="21510" name="Object 6" hidden="1">
              <a:extLst>
                <a:ext uri="{63B3BB69-23CF-44E3-9099-C40C66FF867C}">
                  <a14:compatExt spid="_x0000_s21510"/>
                </a:ext>
                <a:ext uri="{FF2B5EF4-FFF2-40B4-BE49-F238E27FC236}">
                  <a16:creationId xmlns:a16="http://schemas.microsoft.com/office/drawing/2014/main" id="{00000000-0008-0000-0A00-000006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592455</xdr:colOff>
      <xdr:row>2</xdr:row>
      <xdr:rowOff>83771</xdr:rowOff>
    </xdr:to>
    <xdr:pic>
      <xdr:nvPicPr>
        <xdr:cNvPr id="2" name="Picture 1" descr="ti logo">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06955" cy="302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100-00000400000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2021</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086227"/>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95247" y="1114423"/>
          <a:ext cx="11229977" cy="40862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latin typeface="Arial" panose="020B0604020202020204" pitchFamily="34" charset="0"/>
              <a:cs typeface="Arial" panose="020B0604020202020204" pitchFamily="34" charset="0"/>
            </a:rPr>
            <a:t>LICENSE INFORMATION:</a:t>
          </a:r>
        </a:p>
        <a:p>
          <a:r>
            <a:rPr lang="en-US" sz="900">
              <a:solidFill>
                <a:schemeClr val="tx1"/>
              </a:solidFill>
              <a:effectLst/>
              <a:latin typeface="Arial" panose="020B0604020202020204" pitchFamily="34" charset="0"/>
              <a:ea typeface="+mn-ea"/>
              <a:cs typeface="Arial" panose="020B0604020202020204" pitchFamily="34" charset="0"/>
            </a:rPr>
            <a:t>Copyright (c) 2021 Texas Instruments Incorporated</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All rights reserved not granted herein.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Limited License.  </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r>
            <a:rPr lang="en-US" sz="900">
              <a:solidFill>
                <a:schemeClr val="tx1"/>
              </a:solidFill>
              <a:effectLst/>
              <a:latin typeface="Arial" panose="020B0604020202020204" pitchFamily="34" charset="0"/>
              <a:ea typeface="+mn-ea"/>
              <a:cs typeface="Arial" panose="020B0604020202020204" pitchFamily="34" charset="0"/>
            </a:rPr>
            <a:t>*	Any redistribution and use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endParaRPr lang="en-US" sz="900">
            <a:solidFill>
              <a:schemeClr val="tx1"/>
            </a:solidFill>
            <a:effectLst/>
            <a:latin typeface="Arial" panose="020B0604020202020204" pitchFamily="34" charset="0"/>
            <a:ea typeface="+mn-ea"/>
            <a:cs typeface="Arial" panose="020B0604020202020204" pitchFamily="34" charset="0"/>
          </a:endParaRPr>
        </a:p>
        <a:p>
          <a:r>
            <a:rPr lang="en-US" sz="900">
              <a:solidFill>
                <a:schemeClr val="tx1"/>
              </a:solidFill>
              <a:effectLst/>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lang="en-US" sz="1000" b="1">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latin typeface="Arial" panose="020B0604020202020204" pitchFamily="34" charset="0"/>
              <a:cs typeface="Arial" panose="020B0604020202020204" pitchFamily="34" charset="0"/>
            </a:rPr>
            <a:t>DISCLAMER:</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anose="020B0604020202020204" pitchFamily="34" charset="0"/>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oneCellAnchor>
    <xdr:from>
      <xdr:col>0</xdr:col>
      <xdr:colOff>95247</xdr:colOff>
      <xdr:row>29</xdr:row>
      <xdr:rowOff>47623</xdr:rowOff>
    </xdr:from>
    <xdr:ext cx="11229977" cy="809627"/>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95247" y="5276848"/>
          <a:ext cx="11229977" cy="809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152400</xdr:rowOff>
    </xdr:from>
    <xdr:to>
      <xdr:col>1</xdr:col>
      <xdr:colOff>592455</xdr:colOff>
      <xdr:row>2</xdr:row>
      <xdr:rowOff>93296</xdr:rowOff>
    </xdr:to>
    <xdr:pic>
      <xdr:nvPicPr>
        <xdr:cNvPr id="7" name="Picture 6" descr="ti logo">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06955" cy="302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914525" y="114300"/>
          <a:ext cx="3752850" cy="381708"/>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ysClr val="windowText" lastClr="000000"/>
              </a:solidFill>
              <a:effectLst/>
              <a:uLnTx/>
              <a:uFillTx/>
              <a:latin typeface="Arial Black" panose="020B0A04020102020204" pitchFamily="34" charset="0"/>
              <a:ea typeface="+mn-ea"/>
              <a:cs typeface="+mn-cs"/>
            </a:rPr>
            <a:t>About this tool...</a:t>
          </a:r>
        </a:p>
      </xdr:txBody>
    </xdr:sp>
    <xdr:clientData/>
  </xdr:oneCellAnchor>
  <xdr:oneCellAnchor>
    <xdr:from>
      <xdr:col>3</xdr:col>
      <xdr:colOff>323850</xdr:colOff>
      <xdr:row>1</xdr:row>
      <xdr:rowOff>28575</xdr:rowOff>
    </xdr:from>
    <xdr:ext cx="4719497" cy="254557"/>
    <xdr:sp macro="" textlink="">
      <xdr:nvSpPr>
        <xdr:cNvPr id="9" name="TextBox 8">
          <a:hlinkClick xmlns:r="http://schemas.openxmlformats.org/officeDocument/2006/relationships" r:id="rId3"/>
          <a:extLst>
            <a:ext uri="{FF2B5EF4-FFF2-40B4-BE49-F238E27FC236}">
              <a16:creationId xmlns:a16="http://schemas.microsoft.com/office/drawing/2014/main" id="{00000000-0008-0000-0100-000009000000}"/>
            </a:ext>
          </a:extLst>
        </xdr:cNvPr>
        <xdr:cNvSpPr txBox="1"/>
      </xdr:nvSpPr>
      <xdr:spPr>
        <a:xfrm>
          <a:off x="6419850" y="209550"/>
          <a:ext cx="4719497" cy="25455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hlinkClick xmlns:r="http://schemas.openxmlformats.org/officeDocument/2006/relationships" r:id=""/>
            </a:rPr>
            <a:t>© Copyright 2021</a:t>
          </a:r>
          <a:r>
            <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Texas Instruments Incorporated. All rights reserved.</a:t>
          </a:r>
        </a:p>
      </xdr:txBody>
    </xdr:sp>
    <xdr:clientData/>
  </xdr:oneCellAnchor>
  <xdr:oneCellAnchor>
    <xdr:from>
      <xdr:col>0</xdr:col>
      <xdr:colOff>95247</xdr:colOff>
      <xdr:row>6</xdr:row>
      <xdr:rowOff>47623</xdr:rowOff>
    </xdr:from>
    <xdr:ext cx="11229977" cy="4086227"/>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95247" y="1114423"/>
          <a:ext cx="11229977" cy="4086227"/>
        </a:xfrm>
        <a:prstGeom prst="rect">
          <a:avLst/>
        </a:prstGeom>
        <a:solidFill>
          <a:sysClr val="window" lastClr="FFFFFF">
            <a:lumMod val="85000"/>
          </a:sysClr>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LICENSE INFORMATION: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Copyright (c) 2021 Texas Instruments Incorporated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All rights reserved not granted herein.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Limited License.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Any redistribution and use are licensed by TI for use only with TI Devices.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DISCLAMER: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oneCellAnchor>
    <xdr:from>
      <xdr:col>0</xdr:col>
      <xdr:colOff>95247</xdr:colOff>
      <xdr:row>29</xdr:row>
      <xdr:rowOff>47623</xdr:rowOff>
    </xdr:from>
    <xdr:ext cx="11229977" cy="809627"/>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95247" y="5276848"/>
          <a:ext cx="11229977" cy="809627"/>
        </a:xfrm>
        <a:prstGeom prst="rect">
          <a:avLst/>
        </a:prstGeom>
        <a:solidFill>
          <a:sysClr val="window" lastClr="FFFFFF">
            <a:lumMod val="95000"/>
          </a:sysClr>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rPr>
            <a:t>IMPORTANT:   </a:t>
          </a:r>
          <a:endParaRPr kumimoji="0" lang="en-US" sz="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1.  Do not delete this worksheet!</a:t>
          </a:r>
          <a:endParaRPr kumimoji="0" lang="en-US" sz="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2.  Redistributions must retain the above copyright and the following disclaimer.</a:t>
          </a:r>
          <a:endParaRPr kumimoji="0" lang="en-US" sz="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xdr:colOff>
          <xdr:row>129</xdr:row>
          <xdr:rowOff>137160</xdr:rowOff>
        </xdr:from>
        <xdr:to>
          <xdr:col>13</xdr:col>
          <xdr:colOff>160020</xdr:colOff>
          <xdr:row>132</xdr:row>
          <xdr:rowOff>22860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842683</xdr:colOff>
      <xdr:row>242</xdr:row>
      <xdr:rowOff>17930</xdr:rowOff>
    </xdr:from>
    <xdr:to>
      <xdr:col>14</xdr:col>
      <xdr:colOff>475130</xdr:colOff>
      <xdr:row>250</xdr:row>
      <xdr:rowOff>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798424" y="23523389"/>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votlage range</a:t>
          </a:r>
          <a:endParaRPr lang="en-US" sz="1100"/>
        </a:p>
      </xdr:txBody>
    </xdr:sp>
    <xdr:clientData/>
  </xdr:twoCellAnchor>
  <xdr:twoCellAnchor editAs="oneCell">
    <xdr:from>
      <xdr:col>8</xdr:col>
      <xdr:colOff>842683</xdr:colOff>
      <xdr:row>50</xdr:row>
      <xdr:rowOff>62753</xdr:rowOff>
    </xdr:from>
    <xdr:to>
      <xdr:col>12</xdr:col>
      <xdr:colOff>447547</xdr:colOff>
      <xdr:row>53</xdr:row>
      <xdr:rowOff>88800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9798424" y="6553200"/>
          <a:ext cx="2392888" cy="563929"/>
        </a:xfrm>
        <a:prstGeom prst="rect">
          <a:avLst/>
        </a:prstGeom>
      </xdr:spPr>
    </xdr:pic>
    <xdr:clientData/>
  </xdr:twoCellAnchor>
  <xdr:twoCellAnchor editAs="oneCell">
    <xdr:from>
      <xdr:col>9</xdr:col>
      <xdr:colOff>0</xdr:colOff>
      <xdr:row>62</xdr:row>
      <xdr:rowOff>0</xdr:rowOff>
    </xdr:from>
    <xdr:to>
      <xdr:col>14</xdr:col>
      <xdr:colOff>721</xdr:colOff>
      <xdr:row>66</xdr:row>
      <xdr:rowOff>31893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9816353" y="7395882"/>
          <a:ext cx="3147333" cy="784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252153</xdr:colOff>
      <xdr:row>49</xdr:row>
      <xdr:rowOff>50916</xdr:rowOff>
    </xdr:from>
    <xdr:to>
      <xdr:col>38</xdr:col>
      <xdr:colOff>290945</xdr:colOff>
      <xdr:row>73</xdr:row>
      <xdr:rowOff>24247</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1036494</xdr:colOff>
      <xdr:row>20</xdr:row>
      <xdr:rowOff>65809</xdr:rowOff>
    </xdr:from>
    <xdr:to>
      <xdr:col>33</xdr:col>
      <xdr:colOff>315191</xdr:colOff>
      <xdr:row>49</xdr:row>
      <xdr:rowOff>1</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32</xdr:col>
      <xdr:colOff>186690</xdr:colOff>
      <xdr:row>39</xdr:row>
      <xdr:rowOff>167640</xdr:rowOff>
    </xdr:from>
    <xdr:to>
      <xdr:col>34</xdr:col>
      <xdr:colOff>515247</xdr:colOff>
      <xdr:row>45</xdr:row>
      <xdr:rowOff>69934</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34</xdr:col>
      <xdr:colOff>247650</xdr:colOff>
      <xdr:row>40</xdr:row>
      <xdr:rowOff>60960</xdr:rowOff>
    </xdr:from>
    <xdr:to>
      <xdr:col>38</xdr:col>
      <xdr:colOff>567929</xdr:colOff>
      <xdr:row>44</xdr:row>
      <xdr:rowOff>129612</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31</xdr:col>
      <xdr:colOff>30480</xdr:colOff>
      <xdr:row>49</xdr:row>
      <xdr:rowOff>64770</xdr:rowOff>
    </xdr:from>
    <xdr:to>
      <xdr:col>42</xdr:col>
      <xdr:colOff>144780</xdr:colOff>
      <xdr:row>73</xdr:row>
      <xdr:rowOff>38100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21</xdr:row>
      <xdr:rowOff>121920</xdr:rowOff>
    </xdr:from>
    <xdr:to>
      <xdr:col>26</xdr:col>
      <xdr:colOff>45720</xdr:colOff>
      <xdr:row>45</xdr:row>
      <xdr:rowOff>80010</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22</xdr:row>
      <xdr:rowOff>147917</xdr:rowOff>
    </xdr:from>
    <xdr:to>
      <xdr:col>13</xdr:col>
      <xdr:colOff>397584</xdr:colOff>
      <xdr:row>49</xdr:row>
      <xdr:rowOff>125762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13</xdr:col>
      <xdr:colOff>397584</xdr:colOff>
      <xdr:row>79</xdr:row>
      <xdr:rowOff>157954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82</xdr:row>
      <xdr:rowOff>0</xdr:rowOff>
    </xdr:from>
    <xdr:to>
      <xdr:col>13</xdr:col>
      <xdr:colOff>397584</xdr:colOff>
      <xdr:row>108</xdr:row>
      <xdr:rowOff>157953</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548640</xdr:colOff>
      <xdr:row>10</xdr:row>
      <xdr:rowOff>0</xdr:rowOff>
    </xdr:from>
    <xdr:to>
      <xdr:col>12</xdr:col>
      <xdr:colOff>449580</xdr:colOff>
      <xdr:row>12</xdr:row>
      <xdr:rowOff>123546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269480" y="1638300"/>
          <a:ext cx="2948940" cy="489306"/>
        </a:xfrm>
        <a:prstGeom prst="rect">
          <a:avLst/>
        </a:prstGeom>
      </xdr:spPr>
    </xdr:pic>
    <xdr:clientData/>
  </xdr:twoCellAnchor>
  <xdr:twoCellAnchor editAs="oneCell">
    <xdr:from>
      <xdr:col>8</xdr:col>
      <xdr:colOff>7620</xdr:colOff>
      <xdr:row>14</xdr:row>
      <xdr:rowOff>132742</xdr:rowOff>
    </xdr:from>
    <xdr:to>
      <xdr:col>13</xdr:col>
      <xdr:colOff>350520</xdr:colOff>
      <xdr:row>18</xdr:row>
      <xdr:rowOff>76286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338060" y="2502562"/>
          <a:ext cx="3390900" cy="675064"/>
        </a:xfrm>
        <a:prstGeom prst="rect">
          <a:avLst/>
        </a:prstGeom>
      </xdr:spPr>
    </xdr:pic>
    <xdr:clientData/>
  </xdr:twoCellAnchor>
  <xdr:twoCellAnchor editAs="oneCell">
    <xdr:from>
      <xdr:col>9</xdr:col>
      <xdr:colOff>129540</xdr:colOff>
      <xdr:row>24</xdr:row>
      <xdr:rowOff>0</xdr:rowOff>
    </xdr:from>
    <xdr:to>
      <xdr:col>13</xdr:col>
      <xdr:colOff>76200</xdr:colOff>
      <xdr:row>32</xdr:row>
      <xdr:rowOff>45369</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9580" y="4198620"/>
          <a:ext cx="2385060" cy="152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625927</xdr:colOff>
      <xdr:row>2</xdr:row>
      <xdr:rowOff>0</xdr:rowOff>
    </xdr:from>
    <xdr:to>
      <xdr:col>2</xdr:col>
      <xdr:colOff>9701892</xdr:colOff>
      <xdr:row>3</xdr:row>
      <xdr:rowOff>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31103</xdr:colOff>
      <xdr:row>5</xdr:row>
      <xdr:rowOff>23328</xdr:rowOff>
    </xdr:from>
    <xdr:to>
      <xdr:col>3</xdr:col>
      <xdr:colOff>0</xdr:colOff>
      <xdr:row>5</xdr:row>
      <xdr:rowOff>4803322</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625927</xdr:colOff>
      <xdr:row>8</xdr:row>
      <xdr:rowOff>0</xdr:rowOff>
    </xdr:from>
    <xdr:to>
      <xdr:col>2</xdr:col>
      <xdr:colOff>9701893</xdr:colOff>
      <xdr:row>8</xdr:row>
      <xdr:rowOff>4789714</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9</xdr:col>
          <xdr:colOff>0</xdr:colOff>
          <xdr:row>2</xdr:row>
          <xdr:rowOff>0</xdr:rowOff>
        </xdr:from>
        <xdr:to>
          <xdr:col>27</xdr:col>
          <xdr:colOff>311243</xdr:colOff>
          <xdr:row>5</xdr:row>
          <xdr:rowOff>681746</xdr:rowOff>
        </xdr:to>
        <xdr:pic>
          <xdr:nvPicPr>
            <xdr:cNvPr id="7" name="Picture 8888">
              <a:extLst>
                <a:ext uri="{FF2B5EF4-FFF2-40B4-BE49-F238E27FC236}">
                  <a16:creationId xmlns:a16="http://schemas.microsoft.com/office/drawing/2014/main" id="{00000000-0008-0000-0700-000007000000}"/>
                </a:ext>
              </a:extLst>
            </xdr:cNvPr>
            <xdr:cNvPicPr>
              <a:picLocks noChangeAspect="1" noChangeArrowheads="1"/>
              <a:extLst>
                <a:ext uri="{84589F7E-364E-4C9E-8A38-B11213B215E9}">
                  <a14:cameraTool cellRange="display_eff" spid="_x0000_s16560"/>
                </a:ext>
              </a:extLst>
            </xdr:cNvPicPr>
          </xdr:nvPicPr>
          <xdr:blipFill>
            <a:blip xmlns:r="http://schemas.openxmlformats.org/officeDocument/2006/relationships" r:embed="rId4"/>
            <a:srcRect/>
            <a:stretch>
              <a:fillRect/>
            </a:stretch>
          </xdr:blipFill>
          <xdr:spPr bwMode="auto">
            <a:xfrm>
              <a:off x="15543244" y="365449"/>
              <a:ext cx="12067815" cy="587578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281750</xdr:colOff>
      <xdr:row>1</xdr:row>
      <xdr:rowOff>134469</xdr:rowOff>
    </xdr:from>
    <xdr:to>
      <xdr:col>1</xdr:col>
      <xdr:colOff>10245380</xdr:colOff>
      <xdr:row>2</xdr:row>
      <xdr:rowOff>4738487</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76840</xdr:colOff>
          <xdr:row>2</xdr:row>
          <xdr:rowOff>384202</xdr:rowOff>
        </xdr:from>
        <xdr:to>
          <xdr:col>12</xdr:col>
          <xdr:colOff>593884</xdr:colOff>
          <xdr:row>2</xdr:row>
          <xdr:rowOff>2971159</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a:extLst>
                <a:ext uri="{84589F7E-364E-4C9E-8A38-B11213B215E9}">
                  <a14:cameraTool cellRange="LoopLookup" spid="_x0000_s18614"/>
                </a:ext>
              </a:extLst>
            </xdr:cNvPicPr>
          </xdr:nvPicPr>
          <xdr:blipFill>
            <a:blip xmlns:r="http://schemas.openxmlformats.org/officeDocument/2006/relationships" r:embed="rId2"/>
            <a:srcRect/>
            <a:stretch>
              <a:fillRect/>
            </a:stretch>
          </xdr:blipFill>
          <xdr:spPr bwMode="auto">
            <a:xfrm>
              <a:off x="13690386" y="749194"/>
              <a:ext cx="6164809" cy="258695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0</xdr:colOff>
      <xdr:row>3</xdr:row>
      <xdr:rowOff>0</xdr:rowOff>
    </xdr:from>
    <xdr:to>
      <xdr:col>1</xdr:col>
      <xdr:colOff>10808874</xdr:colOff>
      <xdr:row>3</xdr:row>
      <xdr:rowOff>4386303</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24.emf"/><Relationship Id="rId3" Type="http://schemas.openxmlformats.org/officeDocument/2006/relationships/vmlDrawing" Target="../drawings/vmlDrawing8.vml"/><Relationship Id="rId7" Type="http://schemas.openxmlformats.org/officeDocument/2006/relationships/image" Target="../media/image21.emf"/><Relationship Id="rId12" Type="http://schemas.openxmlformats.org/officeDocument/2006/relationships/package" Target="../embeddings/Microsoft_Visio_Drawing4.vsdx"/><Relationship Id="rId2" Type="http://schemas.openxmlformats.org/officeDocument/2006/relationships/drawing" Target="../drawings/drawing10.xml"/><Relationship Id="rId1" Type="http://schemas.openxmlformats.org/officeDocument/2006/relationships/printerSettings" Target="../printerSettings/printerSettings8.bin"/><Relationship Id="rId6" Type="http://schemas.openxmlformats.org/officeDocument/2006/relationships/package" Target="../embeddings/Microsoft_Visio_Drawing1.vsd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2.emf"/><Relationship Id="rId14" Type="http://schemas.openxmlformats.org/officeDocument/2006/relationships/package" Target="../embeddings/Microsoft_Visio_Drawing5.vsd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F123"/>
  <sheetViews>
    <sheetView tabSelected="1" topLeftCell="A22" zoomScale="80" zoomScaleNormal="80" workbookViewId="0">
      <selection activeCell="H35" sqref="H35"/>
    </sheetView>
  </sheetViews>
  <sheetFormatPr defaultColWidth="8.88671875" defaultRowHeight="14.4" x14ac:dyDescent="0.3"/>
  <cols>
    <col min="1" max="6" width="8.88671875" style="79" customWidth="1"/>
    <col min="7" max="7" width="8.88671875" style="125" customWidth="1"/>
    <col min="8" max="8" width="12" style="79" bestFit="1" customWidth="1"/>
    <col min="9" max="9" width="4.33203125" style="79" customWidth="1"/>
    <col min="10" max="10" width="2.6640625" style="79" customWidth="1"/>
    <col min="11" max="11" width="6" style="79" customWidth="1"/>
    <col min="12" max="12" width="15.88671875" style="79" customWidth="1"/>
    <col min="13" max="13" width="21.33203125" style="79" customWidth="1"/>
    <col min="14" max="14" width="12.88671875" style="79" customWidth="1"/>
    <col min="15" max="16" width="3.88671875" style="79" customWidth="1"/>
    <col min="17" max="17" width="6.109375" style="79" customWidth="1"/>
    <col min="18" max="18" width="3" style="79" customWidth="1"/>
    <col min="19" max="19" width="14.33203125" style="79" customWidth="1"/>
    <col min="20" max="20" width="14.109375" style="79" customWidth="1"/>
    <col min="21" max="21" width="4.109375" style="79" customWidth="1"/>
    <col min="22" max="22" width="9.6640625" style="79" customWidth="1"/>
    <col min="23" max="23" width="4.6640625" style="79" customWidth="1"/>
    <col min="24" max="24" width="3" style="79" customWidth="1"/>
    <col min="25" max="25" width="7.33203125" style="79" hidden="1" customWidth="1"/>
    <col min="26" max="26" width="7.33203125" style="79" customWidth="1"/>
    <col min="27" max="27" width="13.6640625" style="79" customWidth="1"/>
    <col min="28" max="28" width="10.88671875" style="79" customWidth="1"/>
    <col min="29" max="29" width="4.88671875" style="79" customWidth="1"/>
    <col min="30" max="31" width="8.88671875" style="79" customWidth="1"/>
    <col min="32" max="32" width="1.6640625" style="126" customWidth="1"/>
    <col min="33" max="16384" width="8.88671875" style="79"/>
  </cols>
  <sheetData>
    <row r="1" spans="1:32" ht="46.95" customHeight="1" x14ac:dyDescent="0.3">
      <c r="A1" s="75"/>
      <c r="B1" s="75"/>
      <c r="C1" s="75"/>
      <c r="D1" s="75"/>
      <c r="E1" s="76" t="s">
        <v>670</v>
      </c>
      <c r="F1" s="75"/>
      <c r="G1" s="77"/>
      <c r="H1" s="75"/>
      <c r="I1" s="75"/>
      <c r="J1" s="75"/>
      <c r="K1" s="75"/>
      <c r="L1" s="75"/>
      <c r="M1" s="75"/>
      <c r="N1" s="75"/>
      <c r="O1" s="75"/>
      <c r="P1" s="75"/>
      <c r="Q1" s="75"/>
      <c r="R1" s="75"/>
      <c r="S1" s="75"/>
      <c r="T1" s="75"/>
      <c r="U1" s="75"/>
      <c r="V1" s="75"/>
      <c r="W1" s="75"/>
      <c r="X1" s="75"/>
      <c r="Y1" s="75"/>
      <c r="Z1" s="75"/>
      <c r="AA1" s="75"/>
      <c r="AB1" s="75"/>
      <c r="AC1" s="75"/>
      <c r="AD1" s="75"/>
      <c r="AE1" s="75"/>
      <c r="AF1" s="78"/>
    </row>
    <row r="2" spans="1:32" x14ac:dyDescent="0.3">
      <c r="A2" s="80"/>
      <c r="B2" s="80"/>
      <c r="C2" s="80"/>
      <c r="D2" s="80"/>
      <c r="E2" s="80"/>
      <c r="F2" s="80"/>
      <c r="G2" s="81"/>
      <c r="H2" s="80"/>
      <c r="I2" s="80"/>
      <c r="J2" s="80"/>
      <c r="K2" s="80"/>
      <c r="L2" s="80"/>
      <c r="M2" s="80"/>
      <c r="N2" s="80"/>
      <c r="O2" s="80"/>
      <c r="P2" s="80"/>
      <c r="Q2" s="80"/>
      <c r="R2" s="80"/>
      <c r="S2" s="80"/>
      <c r="T2" s="80"/>
      <c r="U2" s="80"/>
      <c r="V2" s="80"/>
      <c r="W2" s="80"/>
      <c r="X2" s="80"/>
      <c r="Y2" s="80"/>
      <c r="Z2" s="80"/>
      <c r="AA2" s="80"/>
      <c r="AB2" s="80"/>
      <c r="AC2" s="80"/>
      <c r="AD2" s="80"/>
      <c r="AE2" s="80"/>
      <c r="AF2" s="78"/>
    </row>
    <row r="3" spans="1:32" x14ac:dyDescent="0.3">
      <c r="A3" s="82" t="s">
        <v>1</v>
      </c>
      <c r="B3" s="80"/>
      <c r="C3" s="80"/>
      <c r="D3" s="80"/>
      <c r="E3" s="83"/>
      <c r="F3" s="84" t="s">
        <v>2</v>
      </c>
      <c r="G3" s="81"/>
      <c r="H3" s="80"/>
      <c r="I3" s="80"/>
      <c r="J3" s="80"/>
      <c r="K3" s="80"/>
      <c r="L3" s="80"/>
      <c r="M3" s="80"/>
      <c r="N3" s="80"/>
      <c r="O3" s="80"/>
      <c r="P3" s="219" t="s">
        <v>0</v>
      </c>
      <c r="Q3" s="219"/>
      <c r="R3" s="219"/>
      <c r="S3" s="80"/>
      <c r="T3" s="80"/>
      <c r="U3" s="80"/>
      <c r="V3" s="80"/>
      <c r="W3" s="80"/>
      <c r="X3" s="80"/>
      <c r="Y3" s="80"/>
      <c r="Z3" s="80"/>
      <c r="AA3" s="80"/>
      <c r="AB3" s="80"/>
      <c r="AC3" s="80"/>
      <c r="AD3" s="80"/>
      <c r="AE3" s="80"/>
      <c r="AF3" s="78"/>
    </row>
    <row r="4" spans="1:32" s="88" customFormat="1" x14ac:dyDescent="0.3">
      <c r="A4" s="85"/>
      <c r="B4" s="85"/>
      <c r="C4" s="85"/>
      <c r="D4" s="85"/>
      <c r="E4" s="85"/>
      <c r="F4" s="85"/>
      <c r="G4" s="86"/>
      <c r="H4" s="85"/>
      <c r="I4" s="85"/>
      <c r="J4" s="85"/>
      <c r="K4" s="85"/>
      <c r="L4" s="85"/>
      <c r="M4" s="85"/>
      <c r="N4" s="85"/>
      <c r="O4" s="85"/>
      <c r="P4" s="85"/>
      <c r="Q4" s="85"/>
      <c r="R4" s="85"/>
      <c r="S4" s="85"/>
      <c r="T4" s="85"/>
      <c r="U4" s="85"/>
      <c r="V4" s="85"/>
      <c r="W4" s="85"/>
      <c r="X4" s="85"/>
      <c r="Y4" s="85"/>
      <c r="Z4" s="85"/>
      <c r="AA4" s="85"/>
      <c r="AB4" s="85"/>
      <c r="AC4" s="85"/>
      <c r="AD4" s="85"/>
      <c r="AE4" s="85"/>
      <c r="AF4" s="87"/>
    </row>
    <row r="5" spans="1:32" x14ac:dyDescent="0.3">
      <c r="A5" s="89"/>
      <c r="B5" s="89"/>
      <c r="C5" s="89"/>
      <c r="D5" s="89"/>
      <c r="E5" s="89"/>
      <c r="F5" s="89"/>
      <c r="G5" s="90"/>
      <c r="H5" s="89"/>
      <c r="I5" s="89"/>
      <c r="J5" s="89"/>
      <c r="K5" s="89"/>
      <c r="L5" s="89"/>
      <c r="M5" s="89"/>
      <c r="N5" s="89"/>
      <c r="O5" s="89"/>
      <c r="P5" s="90" t="s">
        <v>706</v>
      </c>
      <c r="Q5" s="218" t="s">
        <v>710</v>
      </c>
      <c r="R5" s="89"/>
      <c r="S5" s="89"/>
      <c r="T5" s="89"/>
      <c r="U5" s="89"/>
      <c r="V5" s="89"/>
      <c r="W5" s="89"/>
      <c r="X5" s="89"/>
      <c r="Y5" s="89"/>
      <c r="Z5" s="89"/>
      <c r="AA5" s="89"/>
      <c r="AB5" s="89"/>
      <c r="AC5" s="89"/>
      <c r="AD5" s="89" t="s">
        <v>3</v>
      </c>
      <c r="AE5" s="195" t="s">
        <v>698</v>
      </c>
      <c r="AF5" s="78"/>
    </row>
    <row r="6" spans="1:32" ht="18.600000000000001" thickBot="1" x14ac:dyDescent="0.4">
      <c r="A6" s="196" t="s">
        <v>4</v>
      </c>
      <c r="B6" s="89"/>
      <c r="C6" s="89"/>
      <c r="D6" s="89"/>
      <c r="E6" s="89"/>
      <c r="F6" s="89"/>
      <c r="G6" s="90"/>
      <c r="H6" s="89"/>
      <c r="I6" s="89"/>
      <c r="J6" s="89"/>
      <c r="K6" s="89"/>
      <c r="L6" s="89"/>
      <c r="M6" s="185" t="s">
        <v>644</v>
      </c>
      <c r="N6" s="183"/>
      <c r="O6" s="183"/>
      <c r="P6" s="89"/>
      <c r="Q6" s="89"/>
      <c r="R6" s="89"/>
      <c r="S6" s="89"/>
      <c r="T6" s="89"/>
      <c r="U6" s="89"/>
      <c r="V6" s="89"/>
      <c r="W6" s="89"/>
      <c r="X6" s="89"/>
      <c r="Y6" s="89"/>
      <c r="Z6" s="89"/>
      <c r="AA6" s="89"/>
      <c r="AB6" s="89"/>
      <c r="AC6" s="89"/>
      <c r="AD6" s="89"/>
      <c r="AE6" s="89"/>
      <c r="AF6" s="78"/>
    </row>
    <row r="7" spans="1:32" ht="15" x14ac:dyDescent="0.35">
      <c r="A7" s="92"/>
      <c r="B7" s="93"/>
      <c r="C7" s="93"/>
      <c r="D7" s="93"/>
      <c r="E7" s="93"/>
      <c r="F7" s="93"/>
      <c r="G7" s="94" t="s">
        <v>5</v>
      </c>
      <c r="H7" s="128">
        <v>45</v>
      </c>
      <c r="I7" s="149" t="s">
        <v>11</v>
      </c>
      <c r="J7" s="89"/>
      <c r="K7" s="89"/>
      <c r="L7" s="193"/>
      <c r="M7" s="94" t="s">
        <v>8</v>
      </c>
      <c r="N7" s="128">
        <v>150</v>
      </c>
      <c r="O7" s="95" t="s">
        <v>11</v>
      </c>
      <c r="P7" s="89"/>
      <c r="Q7" s="89"/>
      <c r="R7" s="91"/>
      <c r="S7" s="89"/>
      <c r="T7" s="89"/>
      <c r="U7" s="89"/>
      <c r="V7" s="89"/>
      <c r="W7" s="89"/>
      <c r="X7" s="89"/>
      <c r="Y7" s="89"/>
      <c r="Z7" s="89"/>
      <c r="AA7" s="89"/>
      <c r="AB7" s="89"/>
      <c r="AC7" s="89"/>
      <c r="AD7" s="89"/>
      <c r="AE7" s="89"/>
      <c r="AF7" s="78"/>
    </row>
    <row r="8" spans="1:32" ht="15" x14ac:dyDescent="0.35">
      <c r="A8" s="96"/>
      <c r="B8" s="89"/>
      <c r="C8" s="89"/>
      <c r="D8" s="89"/>
      <c r="E8" s="89"/>
      <c r="F8" s="89"/>
      <c r="G8" s="97" t="s">
        <v>6</v>
      </c>
      <c r="H8" s="129">
        <v>50</v>
      </c>
      <c r="I8" s="131" t="s">
        <v>11</v>
      </c>
      <c r="J8" s="89"/>
      <c r="K8" s="89"/>
      <c r="L8" s="96"/>
      <c r="M8" s="97" t="s">
        <v>9</v>
      </c>
      <c r="N8" s="129">
        <v>0.25</v>
      </c>
      <c r="O8" s="98" t="s">
        <v>12</v>
      </c>
      <c r="P8" s="89"/>
      <c r="Q8" s="89"/>
      <c r="R8" s="91"/>
      <c r="S8" s="89"/>
      <c r="T8" s="89"/>
      <c r="U8" s="89"/>
      <c r="V8" s="89"/>
      <c r="W8" s="89"/>
      <c r="X8" s="89"/>
      <c r="Y8" s="89"/>
      <c r="Z8" s="89"/>
      <c r="AA8" s="89"/>
      <c r="AB8" s="89"/>
      <c r="AC8" s="89"/>
      <c r="AD8" s="89"/>
      <c r="AE8" s="89"/>
      <c r="AF8" s="78"/>
    </row>
    <row r="9" spans="1:32" ht="15.6" x14ac:dyDescent="0.35">
      <c r="A9" s="96"/>
      <c r="B9" s="89"/>
      <c r="C9" s="89"/>
      <c r="D9" s="89"/>
      <c r="E9" s="89"/>
      <c r="F9" s="89"/>
      <c r="G9" s="97" t="s">
        <v>7</v>
      </c>
      <c r="H9" s="129">
        <v>55</v>
      </c>
      <c r="I9" s="131" t="s">
        <v>11</v>
      </c>
      <c r="J9" s="89"/>
      <c r="K9" s="89"/>
      <c r="L9" s="96"/>
      <c r="M9" s="90" t="s">
        <v>678</v>
      </c>
      <c r="N9" s="130">
        <f>Variable_Management!B53</f>
        <v>1.1111111111111112</v>
      </c>
      <c r="O9" s="98"/>
      <c r="P9" s="89"/>
      <c r="Q9" s="89"/>
      <c r="R9" s="91"/>
      <c r="S9" s="89"/>
      <c r="T9" s="89"/>
      <c r="U9" s="89"/>
      <c r="V9" s="89"/>
      <c r="W9" s="89"/>
      <c r="X9" s="89"/>
      <c r="Y9" s="89"/>
      <c r="Z9" s="89"/>
      <c r="AA9" s="89"/>
      <c r="AB9" s="89"/>
      <c r="AC9" s="89"/>
      <c r="AD9" s="89"/>
      <c r="AE9" s="89"/>
      <c r="AF9" s="78"/>
    </row>
    <row r="10" spans="1:32" ht="15.6" x14ac:dyDescent="0.35">
      <c r="A10" s="96"/>
      <c r="B10" s="89"/>
      <c r="C10" s="89"/>
      <c r="D10" s="89"/>
      <c r="E10" s="89"/>
      <c r="F10" s="89"/>
      <c r="G10" s="97" t="s">
        <v>642</v>
      </c>
      <c r="H10" s="131"/>
      <c r="I10" s="131"/>
      <c r="J10" s="89"/>
      <c r="K10" s="89"/>
      <c r="L10" s="96"/>
      <c r="M10" s="90" t="s">
        <v>677</v>
      </c>
      <c r="N10" s="129">
        <v>4.42</v>
      </c>
      <c r="O10" s="98"/>
      <c r="P10" s="89"/>
      <c r="Q10" s="89"/>
      <c r="R10" s="91"/>
      <c r="S10" s="89"/>
      <c r="T10" s="89"/>
      <c r="U10" s="89"/>
      <c r="V10" s="89"/>
      <c r="W10" s="89"/>
      <c r="X10" s="89"/>
      <c r="Y10" s="89"/>
      <c r="Z10" s="89"/>
      <c r="AA10" s="89"/>
      <c r="AB10" s="89"/>
      <c r="AC10" s="89"/>
      <c r="AD10" s="89"/>
      <c r="AE10" s="89"/>
      <c r="AF10" s="78"/>
    </row>
    <row r="11" spans="1:32" ht="16.2" thickBot="1" x14ac:dyDescent="0.4">
      <c r="A11" s="96"/>
      <c r="B11" s="89"/>
      <c r="C11" s="89"/>
      <c r="D11" s="89"/>
      <c r="E11" s="89"/>
      <c r="F11" s="89"/>
      <c r="G11" s="97"/>
      <c r="H11" s="131"/>
      <c r="I11" s="131"/>
      <c r="J11" s="89"/>
      <c r="K11" s="89"/>
      <c r="L11" s="102"/>
      <c r="M11" s="105" t="s">
        <v>676</v>
      </c>
      <c r="N11" s="134">
        <v>0.52</v>
      </c>
      <c r="O11" s="101" t="s">
        <v>81</v>
      </c>
      <c r="P11" s="89"/>
      <c r="Q11" s="89"/>
      <c r="R11" s="91"/>
      <c r="S11" s="89"/>
      <c r="T11" s="89"/>
      <c r="U11" s="89"/>
      <c r="V11" s="89"/>
      <c r="W11" s="89"/>
      <c r="X11" s="89"/>
      <c r="Y11" s="89"/>
      <c r="Z11" s="89"/>
      <c r="AA11" s="89"/>
      <c r="AB11" s="89"/>
      <c r="AC11" s="89"/>
      <c r="AD11" s="89"/>
      <c r="AE11" s="89"/>
      <c r="AF11" s="78"/>
    </row>
    <row r="12" spans="1:32" x14ac:dyDescent="0.3">
      <c r="A12" s="96"/>
      <c r="B12" s="89"/>
      <c r="C12" s="89"/>
      <c r="D12" s="89"/>
      <c r="E12" s="89"/>
      <c r="F12" s="89"/>
      <c r="G12" s="181" t="s">
        <v>513</v>
      </c>
      <c r="H12" s="131"/>
      <c r="I12" s="131"/>
      <c r="J12" s="89"/>
      <c r="K12" s="89"/>
      <c r="L12" s="89"/>
      <c r="M12" s="89"/>
      <c r="N12" s="89"/>
      <c r="O12" s="89"/>
      <c r="P12" s="89"/>
      <c r="Q12" s="89"/>
      <c r="R12" s="91"/>
      <c r="S12" s="89"/>
      <c r="T12" s="89"/>
      <c r="U12" s="89"/>
      <c r="V12" s="89"/>
      <c r="W12" s="89"/>
      <c r="X12" s="89"/>
      <c r="Y12" s="89"/>
      <c r="Z12" s="89"/>
      <c r="AA12" s="89"/>
      <c r="AB12" s="89"/>
      <c r="AC12" s="89"/>
      <c r="AD12" s="89"/>
      <c r="AE12" s="89"/>
      <c r="AF12" s="78"/>
    </row>
    <row r="13" spans="1:32" ht="16.2" thickBot="1" x14ac:dyDescent="0.35">
      <c r="A13" s="96"/>
      <c r="B13" s="89"/>
      <c r="C13" s="89"/>
      <c r="D13" s="89"/>
      <c r="E13" s="89"/>
      <c r="F13" s="89"/>
      <c r="G13" s="97"/>
      <c r="H13" s="155"/>
      <c r="I13" s="131"/>
      <c r="J13" s="89"/>
      <c r="K13" s="89"/>
      <c r="L13" s="89"/>
      <c r="M13" s="185" t="s">
        <v>643</v>
      </c>
      <c r="N13" s="183"/>
      <c r="O13" s="183"/>
      <c r="P13" s="89"/>
      <c r="Q13" s="89"/>
      <c r="R13" s="91"/>
      <c r="S13" s="89"/>
      <c r="T13" s="89"/>
      <c r="U13" s="89"/>
      <c r="V13" s="89"/>
      <c r="W13" s="89"/>
      <c r="X13" s="89"/>
      <c r="Y13" s="89"/>
      <c r="Z13" s="89"/>
      <c r="AA13" s="89"/>
      <c r="AB13" s="89"/>
      <c r="AC13" s="89"/>
      <c r="AD13" s="89"/>
      <c r="AE13" s="89"/>
      <c r="AF13" s="78"/>
    </row>
    <row r="14" spans="1:32" ht="15" x14ac:dyDescent="0.35">
      <c r="A14" s="96"/>
      <c r="B14" s="89"/>
      <c r="C14" s="89"/>
      <c r="D14" s="89"/>
      <c r="E14" s="89"/>
      <c r="F14" s="89"/>
      <c r="G14" s="97" t="s">
        <v>10</v>
      </c>
      <c r="H14" s="128">
        <v>250</v>
      </c>
      <c r="I14" s="149" t="s">
        <v>13</v>
      </c>
      <c r="J14" s="89"/>
      <c r="K14" s="89"/>
      <c r="L14" s="92"/>
      <c r="M14" s="94" t="s">
        <v>640</v>
      </c>
      <c r="N14" s="128">
        <v>10</v>
      </c>
      <c r="O14" s="95" t="s">
        <v>11</v>
      </c>
      <c r="P14" s="89"/>
      <c r="Q14" s="89"/>
      <c r="R14" s="91"/>
      <c r="S14" s="89"/>
      <c r="T14" s="89"/>
      <c r="U14" s="89"/>
      <c r="V14" s="89"/>
      <c r="W14" s="89"/>
      <c r="X14" s="89"/>
      <c r="Y14" s="89"/>
      <c r="Z14" s="89"/>
      <c r="AA14" s="89"/>
      <c r="AB14" s="89"/>
      <c r="AC14" s="89"/>
      <c r="AD14" s="89"/>
      <c r="AE14" s="89"/>
      <c r="AF14" s="78"/>
    </row>
    <row r="15" spans="1:32" ht="15.6" thickBot="1" x14ac:dyDescent="0.4">
      <c r="A15" s="96"/>
      <c r="B15" s="89"/>
      <c r="C15" s="89"/>
      <c r="D15" s="89"/>
      <c r="E15" s="89"/>
      <c r="F15" s="89"/>
      <c r="G15" s="97" t="s">
        <v>67</v>
      </c>
      <c r="H15" s="133">
        <f>RT/1000</f>
        <v>87.444999999999993</v>
      </c>
      <c r="I15" s="143" t="s">
        <v>68</v>
      </c>
      <c r="J15" s="89"/>
      <c r="K15" s="89"/>
      <c r="L15" s="96"/>
      <c r="M15" s="97" t="s">
        <v>639</v>
      </c>
      <c r="N15" s="129">
        <v>0.02</v>
      </c>
      <c r="O15" s="98" t="s">
        <v>12</v>
      </c>
      <c r="P15" s="89"/>
      <c r="Q15" s="89"/>
      <c r="R15" s="91"/>
      <c r="S15" s="89"/>
      <c r="T15" s="89"/>
      <c r="U15" s="89"/>
      <c r="V15" s="89"/>
      <c r="W15" s="89"/>
      <c r="X15" s="89"/>
      <c r="Y15" s="89"/>
      <c r="Z15" s="89"/>
      <c r="AA15" s="89"/>
      <c r="AB15" s="89"/>
      <c r="AC15" s="89"/>
      <c r="AD15" s="89"/>
      <c r="AE15" s="89"/>
      <c r="AF15" s="78"/>
    </row>
    <row r="16" spans="1:32" ht="16.2" thickBot="1" x14ac:dyDescent="0.4">
      <c r="A16" s="96"/>
      <c r="B16" s="89"/>
      <c r="C16" s="89"/>
      <c r="D16" s="89"/>
      <c r="E16" s="89"/>
      <c r="F16" s="89"/>
      <c r="G16" s="97"/>
      <c r="H16" s="155"/>
      <c r="I16" s="131"/>
      <c r="J16" s="89"/>
      <c r="K16" s="89"/>
      <c r="L16" s="96"/>
      <c r="M16" s="90" t="s">
        <v>638</v>
      </c>
      <c r="N16" s="130">
        <f>Variable_Management!B63</f>
        <v>0</v>
      </c>
      <c r="O16" s="98"/>
      <c r="P16" s="89"/>
      <c r="Q16" s="89"/>
      <c r="R16" s="91"/>
      <c r="S16" s="89"/>
      <c r="T16" s="89"/>
      <c r="U16" s="89"/>
      <c r="V16" s="89"/>
      <c r="W16" s="89"/>
      <c r="X16" s="89"/>
      <c r="Y16" s="89"/>
      <c r="Z16" s="89"/>
      <c r="AA16" s="89"/>
      <c r="AB16" s="89"/>
      <c r="AC16" s="89"/>
      <c r="AD16" s="89"/>
      <c r="AE16" s="89"/>
      <c r="AF16" s="78"/>
    </row>
    <row r="17" spans="1:32" ht="15.6" x14ac:dyDescent="0.35">
      <c r="A17" s="96"/>
      <c r="B17" s="89"/>
      <c r="C17" s="89"/>
      <c r="D17" s="89"/>
      <c r="E17" s="89"/>
      <c r="F17" s="89"/>
      <c r="G17" s="90" t="s">
        <v>445</v>
      </c>
      <c r="H17" s="128">
        <v>75</v>
      </c>
      <c r="I17" s="149" t="s">
        <v>14</v>
      </c>
      <c r="J17" s="89"/>
      <c r="K17" s="89"/>
      <c r="L17" s="96"/>
      <c r="M17" s="90" t="s">
        <v>641</v>
      </c>
      <c r="N17" s="129">
        <v>0.6</v>
      </c>
      <c r="O17" s="98"/>
      <c r="P17" s="89"/>
      <c r="Q17" s="89"/>
      <c r="R17" s="91"/>
      <c r="S17" s="89"/>
      <c r="T17" s="89"/>
      <c r="U17" s="89"/>
      <c r="V17" s="89"/>
      <c r="W17" s="89"/>
      <c r="X17" s="89"/>
      <c r="Y17" s="89"/>
      <c r="Z17" s="89"/>
      <c r="AA17" s="89"/>
      <c r="AB17" s="89"/>
      <c r="AC17" s="89"/>
      <c r="AD17" s="89"/>
      <c r="AE17" s="89"/>
      <c r="AF17" s="78"/>
    </row>
    <row r="18" spans="1:32" ht="15.6" x14ac:dyDescent="0.35">
      <c r="A18" s="96"/>
      <c r="B18" s="89"/>
      <c r="C18" s="89"/>
      <c r="D18" s="89"/>
      <c r="E18" s="89"/>
      <c r="F18" s="89"/>
      <c r="G18" s="90" t="s">
        <v>472</v>
      </c>
      <c r="H18" s="167">
        <f>Variable_Management!B57*100</f>
        <v>42.992261392949267</v>
      </c>
      <c r="I18" s="131" t="s">
        <v>14</v>
      </c>
      <c r="J18" s="89"/>
      <c r="K18" s="89"/>
      <c r="L18" s="96"/>
      <c r="M18" s="90" t="s">
        <v>603</v>
      </c>
      <c r="N18" s="129">
        <v>12</v>
      </c>
      <c r="O18" s="98" t="s">
        <v>81</v>
      </c>
      <c r="P18" s="89"/>
      <c r="Q18" s="89"/>
      <c r="R18" s="91"/>
      <c r="S18" s="89"/>
      <c r="T18" s="89"/>
      <c r="U18" s="89"/>
      <c r="V18" s="89"/>
      <c r="W18" s="89"/>
      <c r="X18" s="89"/>
      <c r="Y18" s="89"/>
      <c r="Z18" s="89"/>
      <c r="AA18" s="89"/>
      <c r="AB18" s="89"/>
      <c r="AC18" s="89"/>
      <c r="AD18" s="89"/>
      <c r="AE18" s="89"/>
      <c r="AF18" s="78"/>
    </row>
    <row r="19" spans="1:32" ht="16.2" thickBot="1" x14ac:dyDescent="0.4">
      <c r="A19" s="102"/>
      <c r="B19" s="100"/>
      <c r="C19" s="100"/>
      <c r="D19" s="100"/>
      <c r="E19" s="100"/>
      <c r="F19" s="100"/>
      <c r="G19" s="103" t="s">
        <v>15</v>
      </c>
      <c r="H19" s="143">
        <f>POUT_Total</f>
        <v>37.5</v>
      </c>
      <c r="I19" s="143" t="s">
        <v>36</v>
      </c>
      <c r="J19" s="89"/>
      <c r="K19" s="89"/>
      <c r="L19" s="102"/>
      <c r="M19" s="105" t="s">
        <v>467</v>
      </c>
      <c r="N19" s="133">
        <f>Variable_Management!B65</f>
        <v>0</v>
      </c>
      <c r="O19" s="101" t="s">
        <v>11</v>
      </c>
      <c r="P19" s="89"/>
      <c r="Q19" s="89"/>
      <c r="R19" s="91"/>
      <c r="S19" s="89"/>
      <c r="T19" s="89"/>
      <c r="U19" s="89"/>
      <c r="V19" s="89"/>
      <c r="W19" s="89"/>
      <c r="X19" s="89"/>
      <c r="Y19" s="89"/>
      <c r="Z19" s="89"/>
      <c r="AA19" s="89"/>
      <c r="AB19" s="89"/>
      <c r="AC19" s="89"/>
      <c r="AD19" s="89"/>
      <c r="AE19" s="89"/>
      <c r="AF19" s="78"/>
    </row>
    <row r="20" spans="1:32" x14ac:dyDescent="0.3">
      <c r="A20" s="89"/>
      <c r="B20" s="89"/>
      <c r="C20" s="89"/>
      <c r="D20" s="89"/>
      <c r="E20" s="89"/>
      <c r="F20" s="89"/>
      <c r="G20" s="90"/>
      <c r="H20" s="89"/>
      <c r="I20" s="89"/>
      <c r="J20" s="89"/>
      <c r="K20" s="89"/>
      <c r="L20" s="89"/>
      <c r="M20" s="89"/>
      <c r="N20" s="89"/>
      <c r="O20" s="89"/>
      <c r="P20" s="89"/>
      <c r="Q20" s="89"/>
      <c r="R20" s="91"/>
      <c r="S20" s="89"/>
      <c r="T20" s="89"/>
      <c r="U20" s="89"/>
      <c r="V20" s="89"/>
      <c r="W20" s="89"/>
      <c r="X20" s="89"/>
      <c r="Y20" s="89"/>
      <c r="Z20" s="89"/>
      <c r="AA20" s="89"/>
      <c r="AB20" s="89"/>
      <c r="AC20" s="89"/>
      <c r="AD20" s="89"/>
      <c r="AE20" s="89"/>
      <c r="AF20" s="78"/>
    </row>
    <row r="21" spans="1:32" ht="18.600000000000001" thickBot="1" x14ac:dyDescent="0.4">
      <c r="A21" s="196" t="s">
        <v>438</v>
      </c>
      <c r="B21" s="99"/>
      <c r="C21" s="99"/>
      <c r="D21" s="99"/>
      <c r="E21" s="99"/>
      <c r="F21" s="89"/>
      <c r="G21" s="90"/>
      <c r="H21" s="89"/>
      <c r="I21" s="89"/>
      <c r="J21" s="89"/>
      <c r="K21" s="89"/>
      <c r="L21" s="89"/>
      <c r="M21" s="185" t="s">
        <v>645</v>
      </c>
      <c r="N21" s="112"/>
      <c r="O21" s="89"/>
      <c r="P21" s="89"/>
      <c r="Q21" s="89"/>
      <c r="R21" s="91"/>
      <c r="S21" s="89"/>
      <c r="T21" s="89"/>
      <c r="U21" s="89"/>
      <c r="V21" s="89"/>
      <c r="W21" s="89"/>
      <c r="X21" s="89"/>
      <c r="Y21" s="89"/>
      <c r="Z21" s="89"/>
      <c r="AA21" s="89"/>
      <c r="AB21" s="89"/>
      <c r="AC21" s="89"/>
      <c r="AD21" s="89"/>
      <c r="AE21" s="89"/>
      <c r="AF21" s="78"/>
    </row>
    <row r="22" spans="1:32" ht="15" x14ac:dyDescent="0.35">
      <c r="A22" s="184"/>
      <c r="B22" s="166"/>
      <c r="C22" s="166"/>
      <c r="D22" s="166"/>
      <c r="E22" s="166"/>
      <c r="F22" s="93"/>
      <c r="G22" s="94" t="s">
        <v>412</v>
      </c>
      <c r="H22" s="128">
        <v>60</v>
      </c>
      <c r="I22" s="95" t="s">
        <v>14</v>
      </c>
      <c r="J22" s="89"/>
      <c r="K22" s="89"/>
      <c r="L22" s="92"/>
      <c r="M22" s="94" t="s">
        <v>8</v>
      </c>
      <c r="N22" s="128">
        <v>-7</v>
      </c>
      <c r="O22" s="95" t="s">
        <v>11</v>
      </c>
      <c r="P22" s="89"/>
      <c r="Q22" s="89"/>
      <c r="R22" s="91"/>
      <c r="S22" s="89"/>
      <c r="T22" s="89"/>
      <c r="U22" s="89"/>
      <c r="V22" s="89"/>
      <c r="W22" s="89"/>
      <c r="X22" s="89"/>
      <c r="Y22" s="89"/>
      <c r="Z22" s="89"/>
      <c r="AA22" s="89"/>
      <c r="AB22" s="89"/>
      <c r="AC22" s="89"/>
      <c r="AD22" s="89"/>
      <c r="AE22" s="89"/>
      <c r="AF22" s="78"/>
    </row>
    <row r="23" spans="1:32" ht="15" x14ac:dyDescent="0.35">
      <c r="A23" s="96"/>
      <c r="B23" s="89"/>
      <c r="C23" s="89"/>
      <c r="D23" s="89"/>
      <c r="E23" s="89"/>
      <c r="F23" s="89"/>
      <c r="G23" s="97" t="s">
        <v>439</v>
      </c>
      <c r="H23" s="167">
        <f>Variable_Management!B75*(10^6)</f>
        <v>78.303158898270667</v>
      </c>
      <c r="I23" s="98" t="s">
        <v>79</v>
      </c>
      <c r="J23" s="89"/>
      <c r="K23" s="89"/>
      <c r="L23" s="96"/>
      <c r="M23" s="97" t="s">
        <v>9</v>
      </c>
      <c r="N23" s="129">
        <v>1</v>
      </c>
      <c r="O23" s="98" t="s">
        <v>12</v>
      </c>
      <c r="P23" s="89"/>
      <c r="Q23" s="89"/>
      <c r="R23" s="91"/>
      <c r="S23" s="89"/>
      <c r="T23" s="89"/>
      <c r="U23" s="89"/>
      <c r="V23" s="89"/>
      <c r="W23" s="89"/>
      <c r="X23" s="89"/>
      <c r="Y23" s="89"/>
      <c r="Z23" s="89"/>
      <c r="AA23" s="89"/>
      <c r="AB23" s="89"/>
      <c r="AC23" s="89"/>
      <c r="AD23" s="89"/>
      <c r="AE23" s="89"/>
      <c r="AF23" s="78"/>
    </row>
    <row r="24" spans="1:32" ht="15.6" x14ac:dyDescent="0.35">
      <c r="A24" s="96"/>
      <c r="B24" s="89"/>
      <c r="C24" s="89"/>
      <c r="D24" s="89"/>
      <c r="E24" s="89"/>
      <c r="F24" s="89"/>
      <c r="G24" s="97" t="s">
        <v>440</v>
      </c>
      <c r="H24" s="129">
        <v>14</v>
      </c>
      <c r="I24" s="98" t="s">
        <v>79</v>
      </c>
      <c r="J24" s="89"/>
      <c r="K24" s="89"/>
      <c r="L24" s="96"/>
      <c r="M24" s="90" t="s">
        <v>461</v>
      </c>
      <c r="N24" s="130">
        <f>Variable_Management!B68</f>
        <v>0</v>
      </c>
      <c r="O24" s="98"/>
      <c r="P24" s="89"/>
      <c r="Q24" s="89"/>
      <c r="R24" s="91"/>
      <c r="S24" s="89"/>
      <c r="T24" s="89"/>
      <c r="U24" s="89"/>
      <c r="V24" s="89"/>
      <c r="W24" s="89"/>
      <c r="X24" s="89"/>
      <c r="Y24" s="89"/>
      <c r="Z24" s="89"/>
      <c r="AA24" s="89"/>
      <c r="AB24" s="89"/>
      <c r="AC24" s="89"/>
      <c r="AD24" s="89"/>
      <c r="AE24" s="89"/>
      <c r="AF24" s="78"/>
    </row>
    <row r="25" spans="1:32" ht="15.6" x14ac:dyDescent="0.35">
      <c r="A25" s="96"/>
      <c r="B25" s="89"/>
      <c r="C25" s="89"/>
      <c r="D25" s="89"/>
      <c r="E25" s="89"/>
      <c r="F25" s="89"/>
      <c r="G25" s="97" t="s">
        <v>697</v>
      </c>
      <c r="H25" s="129">
        <v>20</v>
      </c>
      <c r="I25" s="98" t="s">
        <v>81</v>
      </c>
      <c r="J25" s="89"/>
      <c r="K25" s="89"/>
      <c r="L25" s="96"/>
      <c r="M25" s="90" t="s">
        <v>462</v>
      </c>
      <c r="N25" s="129">
        <v>0.42</v>
      </c>
      <c r="O25" s="98"/>
      <c r="P25" s="89"/>
      <c r="Q25" s="89"/>
      <c r="R25" s="91"/>
      <c r="S25" s="89"/>
      <c r="T25" s="89"/>
      <c r="U25" s="89"/>
      <c r="V25" s="89"/>
      <c r="W25" s="89"/>
      <c r="X25" s="89"/>
      <c r="Y25" s="89"/>
      <c r="Z25" s="89"/>
      <c r="AA25" s="89"/>
      <c r="AB25" s="89"/>
      <c r="AC25" s="89"/>
      <c r="AD25" s="89"/>
      <c r="AE25" s="89"/>
      <c r="AF25" s="78"/>
    </row>
    <row r="26" spans="1:32" ht="15.6" thickBot="1" x14ac:dyDescent="0.4">
      <c r="A26" s="102"/>
      <c r="B26" s="100"/>
      <c r="C26" s="100"/>
      <c r="D26" s="100"/>
      <c r="E26" s="100"/>
      <c r="F26" s="100"/>
      <c r="G26" s="103" t="s">
        <v>672</v>
      </c>
      <c r="H26" s="168">
        <f>ILp_VINmin</f>
        <v>4.7021215657372153</v>
      </c>
      <c r="I26" s="101" t="s">
        <v>12</v>
      </c>
      <c r="J26" s="89"/>
      <c r="K26" s="89"/>
      <c r="L26" s="96"/>
      <c r="M26" s="90" t="s">
        <v>603</v>
      </c>
      <c r="N26" s="129">
        <v>100</v>
      </c>
      <c r="O26" s="98" t="s">
        <v>81</v>
      </c>
      <c r="P26" s="89"/>
      <c r="Q26" s="89"/>
      <c r="R26" s="91"/>
      <c r="S26" s="89"/>
      <c r="T26" s="89"/>
      <c r="U26" s="89"/>
      <c r="V26" s="89"/>
      <c r="W26" s="89"/>
      <c r="X26" s="89"/>
      <c r="Y26" s="89"/>
      <c r="Z26" s="89"/>
      <c r="AA26" s="89"/>
      <c r="AB26" s="89"/>
      <c r="AC26" s="89"/>
      <c r="AD26" s="89"/>
      <c r="AE26" s="89"/>
      <c r="AF26" s="78"/>
    </row>
    <row r="27" spans="1:32" ht="16.2" thickBot="1" x14ac:dyDescent="0.4">
      <c r="A27" s="89"/>
      <c r="B27" s="89"/>
      <c r="C27" s="89"/>
      <c r="D27" s="89"/>
      <c r="E27" s="89"/>
      <c r="F27" s="89"/>
      <c r="G27" s="90"/>
      <c r="H27" s="89"/>
      <c r="I27" s="89"/>
      <c r="J27" s="89"/>
      <c r="K27" s="89"/>
      <c r="L27" s="102"/>
      <c r="M27" s="105" t="s">
        <v>467</v>
      </c>
      <c r="N27" s="133">
        <f>Variable_Management!B70</f>
        <v>0</v>
      </c>
      <c r="O27" s="101" t="s">
        <v>11</v>
      </c>
      <c r="P27" s="89"/>
      <c r="Q27" s="89"/>
      <c r="R27" s="91"/>
      <c r="S27" s="89"/>
      <c r="T27" s="89"/>
      <c r="U27" s="89"/>
      <c r="V27" s="89"/>
      <c r="W27" s="89"/>
      <c r="X27" s="89"/>
      <c r="Y27" s="89"/>
      <c r="Z27" s="89"/>
      <c r="AA27" s="89"/>
      <c r="AB27" s="89"/>
      <c r="AC27" s="89"/>
      <c r="AD27" s="89"/>
      <c r="AE27" s="89"/>
      <c r="AF27" s="78"/>
    </row>
    <row r="28" spans="1:32" x14ac:dyDescent="0.3">
      <c r="A28" s="89"/>
      <c r="B28" s="89"/>
      <c r="C28" s="89"/>
      <c r="D28" s="89"/>
      <c r="E28" s="89"/>
      <c r="F28" s="89"/>
      <c r="G28" s="90"/>
      <c r="H28" s="89"/>
      <c r="I28" s="89"/>
      <c r="J28" s="89"/>
      <c r="K28" s="89"/>
      <c r="L28" s="89"/>
      <c r="M28" s="90"/>
      <c r="N28" s="148"/>
      <c r="O28" s="89"/>
      <c r="P28" s="89"/>
      <c r="Q28" s="89"/>
      <c r="R28" s="91"/>
      <c r="S28" s="89"/>
      <c r="T28" s="89"/>
      <c r="U28" s="89"/>
      <c r="V28" s="89"/>
      <c r="W28" s="89"/>
      <c r="X28" s="89"/>
      <c r="Y28" s="89"/>
      <c r="Z28" s="89"/>
      <c r="AA28" s="89"/>
      <c r="AB28" s="89"/>
      <c r="AC28" s="89"/>
      <c r="AD28" s="89"/>
      <c r="AE28" s="89"/>
      <c r="AF28" s="78"/>
    </row>
    <row r="29" spans="1:32" ht="18.600000000000001" thickBot="1" x14ac:dyDescent="0.4">
      <c r="A29" s="196" t="s">
        <v>97</v>
      </c>
      <c r="B29" s="89"/>
      <c r="C29" s="89"/>
      <c r="D29" s="89"/>
      <c r="E29" s="89"/>
      <c r="F29" s="89"/>
      <c r="G29" s="90"/>
      <c r="H29" s="89"/>
      <c r="I29" s="89"/>
      <c r="J29" s="89"/>
      <c r="K29" s="89"/>
      <c r="L29" s="89"/>
      <c r="M29" s="89"/>
      <c r="N29" s="89"/>
      <c r="O29" s="89"/>
      <c r="P29" s="89"/>
      <c r="Q29" s="89"/>
      <c r="R29" s="91"/>
      <c r="S29" s="89"/>
      <c r="T29" s="89"/>
      <c r="U29" s="89"/>
      <c r="V29" s="89"/>
      <c r="W29" s="89"/>
      <c r="X29" s="89"/>
      <c r="Y29" s="89"/>
      <c r="Z29" s="89"/>
      <c r="AA29" s="89"/>
      <c r="AB29" s="89"/>
      <c r="AC29" s="89"/>
      <c r="AD29" s="89"/>
      <c r="AE29" s="89"/>
      <c r="AF29" s="78"/>
    </row>
    <row r="30" spans="1:32" x14ac:dyDescent="0.3">
      <c r="A30" s="92"/>
      <c r="B30" s="93"/>
      <c r="C30" s="93"/>
      <c r="D30" s="93"/>
      <c r="E30" s="93"/>
      <c r="F30" s="93"/>
      <c r="G30" s="201" t="s">
        <v>413</v>
      </c>
      <c r="H30" s="128">
        <v>30</v>
      </c>
      <c r="I30" s="95" t="s">
        <v>14</v>
      </c>
      <c r="J30" s="89"/>
      <c r="K30" s="89"/>
      <c r="L30" s="89"/>
      <c r="M30" s="89"/>
      <c r="N30" s="89"/>
      <c r="O30" s="89"/>
      <c r="P30" s="89"/>
      <c r="Q30" s="89"/>
      <c r="R30" s="89"/>
      <c r="S30" s="89"/>
      <c r="T30" s="89"/>
      <c r="U30" s="89"/>
      <c r="V30" s="89"/>
      <c r="W30" s="89"/>
      <c r="X30" s="89"/>
      <c r="Y30" s="89"/>
      <c r="Z30" s="89"/>
      <c r="AA30" s="89"/>
      <c r="AB30" s="89"/>
      <c r="AC30" s="89"/>
      <c r="AD30" s="89"/>
      <c r="AE30" s="89"/>
      <c r="AF30" s="78"/>
    </row>
    <row r="31" spans="1:32" ht="15.6" x14ac:dyDescent="0.35">
      <c r="A31" s="96"/>
      <c r="B31" s="89"/>
      <c r="C31" s="89"/>
      <c r="D31" s="89"/>
      <c r="E31" s="89"/>
      <c r="F31" s="89"/>
      <c r="G31" s="90" t="s">
        <v>158</v>
      </c>
      <c r="H31" s="130">
        <f>Ipk_selected</f>
        <v>6.1127580354583797</v>
      </c>
      <c r="I31" s="98" t="s">
        <v>12</v>
      </c>
      <c r="J31" s="89"/>
      <c r="K31" s="89"/>
      <c r="L31" s="89"/>
      <c r="M31" s="89"/>
      <c r="N31" s="89"/>
      <c r="O31" s="89"/>
      <c r="P31" s="89"/>
      <c r="Q31" s="89"/>
      <c r="R31" s="89"/>
      <c r="S31" s="89"/>
      <c r="T31" s="89"/>
      <c r="U31" s="89"/>
      <c r="V31" s="89"/>
      <c r="W31" s="89"/>
      <c r="X31" s="89"/>
      <c r="Y31" s="89"/>
      <c r="Z31" s="89"/>
      <c r="AA31" s="89"/>
      <c r="AB31" s="89"/>
      <c r="AC31" s="89"/>
      <c r="AD31" s="89"/>
      <c r="AE31" s="89"/>
      <c r="AF31" s="78"/>
    </row>
    <row r="32" spans="1:32" ht="15.6" x14ac:dyDescent="0.35">
      <c r="A32" s="96"/>
      <c r="B32" s="89"/>
      <c r="C32" s="89"/>
      <c r="D32" s="89"/>
      <c r="E32" s="89"/>
      <c r="F32" s="89"/>
      <c r="G32" s="90" t="s">
        <v>417</v>
      </c>
      <c r="H32" s="130">
        <f>Variable_Management!B106*1000</f>
        <v>12.226399457437864</v>
      </c>
      <c r="I32" s="98" t="s">
        <v>81</v>
      </c>
      <c r="J32" s="89"/>
      <c r="K32" s="89"/>
      <c r="L32" s="89"/>
      <c r="M32" s="90"/>
      <c r="N32" s="178"/>
      <c r="O32" s="89"/>
      <c r="P32" s="89"/>
      <c r="Q32" s="89"/>
      <c r="R32" s="89"/>
      <c r="S32" s="89"/>
      <c r="T32" s="89"/>
      <c r="U32" s="89"/>
      <c r="V32" s="89"/>
      <c r="W32" s="89"/>
      <c r="X32" s="89"/>
      <c r="Y32" s="89"/>
      <c r="Z32" s="89"/>
      <c r="AA32" s="89"/>
      <c r="AB32" s="89"/>
      <c r="AC32" s="89"/>
      <c r="AD32" s="89"/>
      <c r="AE32" s="89"/>
      <c r="AF32" s="78"/>
    </row>
    <row r="33" spans="1:32" ht="15.6" x14ac:dyDescent="0.35">
      <c r="A33" s="96"/>
      <c r="B33" s="89"/>
      <c r="C33" s="89"/>
      <c r="D33" s="89"/>
      <c r="E33" s="89"/>
      <c r="F33" s="89"/>
      <c r="G33" s="90" t="s">
        <v>130</v>
      </c>
      <c r="H33" s="132">
        <f>Variable_Management!B107</f>
        <v>1958.7229308486556</v>
      </c>
      <c r="I33" s="104" t="s">
        <v>35</v>
      </c>
      <c r="J33" s="89"/>
      <c r="K33" s="89"/>
      <c r="L33" s="89"/>
      <c r="M33" s="89"/>
      <c r="N33" s="89"/>
      <c r="O33" s="89"/>
      <c r="P33" s="89"/>
      <c r="Q33" s="89"/>
      <c r="R33" s="89"/>
      <c r="S33" s="89"/>
      <c r="T33" s="89"/>
      <c r="U33" s="89"/>
      <c r="V33" s="89"/>
      <c r="W33" s="89"/>
      <c r="X33" s="89"/>
      <c r="Y33" s="89"/>
      <c r="Z33" s="89"/>
      <c r="AA33" s="89"/>
      <c r="AB33" s="89"/>
      <c r="AC33" s="89"/>
      <c r="AD33" s="89"/>
      <c r="AE33" s="89"/>
      <c r="AF33" s="78"/>
    </row>
    <row r="34" spans="1:32" ht="15.6" x14ac:dyDescent="0.35">
      <c r="A34" s="96"/>
      <c r="B34" s="89"/>
      <c r="C34" s="89"/>
      <c r="D34" s="89"/>
      <c r="E34" s="89"/>
      <c r="F34" s="89"/>
      <c r="G34" s="90" t="s">
        <v>418</v>
      </c>
      <c r="H34" s="129">
        <v>15</v>
      </c>
      <c r="I34" s="98" t="s">
        <v>81</v>
      </c>
      <c r="J34" s="89"/>
      <c r="K34" s="89"/>
      <c r="L34" s="89"/>
      <c r="M34" s="89"/>
      <c r="N34" s="89"/>
      <c r="O34" s="89"/>
      <c r="P34" s="89"/>
      <c r="Q34" s="89"/>
      <c r="R34" s="89"/>
      <c r="S34" s="89"/>
      <c r="T34" s="89"/>
      <c r="U34" s="89"/>
      <c r="V34" s="89"/>
      <c r="W34" s="89"/>
      <c r="X34" s="89"/>
      <c r="Y34" s="89"/>
      <c r="Z34" s="89"/>
      <c r="AA34" s="89"/>
      <c r="AB34" s="89"/>
      <c r="AC34" s="89"/>
      <c r="AD34" s="89"/>
      <c r="AE34" s="89"/>
      <c r="AF34" s="78"/>
    </row>
    <row r="35" spans="1:32" ht="15.6" x14ac:dyDescent="0.35">
      <c r="A35" s="96"/>
      <c r="B35" s="89"/>
      <c r="C35" s="89"/>
      <c r="D35" s="89"/>
      <c r="E35" s="89"/>
      <c r="F35" s="89"/>
      <c r="G35" s="90" t="s">
        <v>133</v>
      </c>
      <c r="H35" s="129">
        <v>2000</v>
      </c>
      <c r="I35" s="104" t="s">
        <v>35</v>
      </c>
      <c r="J35" s="89"/>
      <c r="K35" s="89"/>
      <c r="L35" s="89"/>
      <c r="M35" s="89"/>
      <c r="N35" s="89"/>
      <c r="O35" s="89"/>
      <c r="P35" s="89"/>
      <c r="Q35" s="89"/>
      <c r="R35" s="89"/>
      <c r="S35" s="89"/>
      <c r="T35" s="89"/>
      <c r="U35" s="89"/>
      <c r="V35" s="89"/>
      <c r="W35" s="89"/>
      <c r="X35" s="89"/>
      <c r="Y35" s="89"/>
      <c r="Z35" s="89"/>
      <c r="AA35" s="89"/>
      <c r="AB35" s="89"/>
      <c r="AC35" s="89"/>
      <c r="AD35" s="89"/>
      <c r="AE35" s="89"/>
      <c r="AF35" s="78"/>
    </row>
    <row r="36" spans="1:32" ht="15" thickBot="1" x14ac:dyDescent="0.35">
      <c r="A36" s="102"/>
      <c r="B36" s="100"/>
      <c r="C36" s="100"/>
      <c r="D36" s="100"/>
      <c r="E36" s="100"/>
      <c r="F36" s="100"/>
      <c r="G36" s="105" t="s">
        <v>137</v>
      </c>
      <c r="H36" s="133">
        <f>IL_pk_max</f>
        <v>5.1403374883405419</v>
      </c>
      <c r="I36" s="106" t="s">
        <v>12</v>
      </c>
      <c r="J36" s="89"/>
      <c r="K36" s="89"/>
      <c r="L36" s="89"/>
      <c r="M36" s="89"/>
      <c r="N36" s="89"/>
      <c r="O36" s="89"/>
      <c r="P36" s="89"/>
      <c r="Q36" s="89"/>
      <c r="R36" s="89"/>
      <c r="S36" s="89"/>
      <c r="T36" s="89"/>
      <c r="U36" s="89"/>
      <c r="V36" s="89"/>
      <c r="W36" s="89"/>
      <c r="X36" s="89"/>
      <c r="Y36" s="89"/>
      <c r="Z36" s="89"/>
      <c r="AA36" s="89"/>
      <c r="AB36" s="89"/>
      <c r="AC36" s="89"/>
      <c r="AD36" s="89"/>
      <c r="AE36" s="89"/>
      <c r="AF36" s="78"/>
    </row>
    <row r="37" spans="1:32" x14ac:dyDescent="0.3">
      <c r="A37" s="89"/>
      <c r="B37" s="89"/>
      <c r="C37" s="89"/>
      <c r="D37" s="89"/>
      <c r="E37" s="89"/>
      <c r="F37" s="89"/>
      <c r="G37" s="90"/>
      <c r="H37" s="148"/>
      <c r="I37" s="179"/>
      <c r="J37" s="179"/>
      <c r="K37" s="89"/>
      <c r="L37" s="89"/>
      <c r="M37" s="89"/>
      <c r="N37" s="89"/>
      <c r="O37" s="89"/>
      <c r="P37" s="89"/>
      <c r="Q37" s="89"/>
      <c r="R37" s="89"/>
      <c r="S37" s="89"/>
      <c r="T37" s="89"/>
      <c r="U37" s="89"/>
      <c r="V37" s="89"/>
      <c r="W37" s="89"/>
      <c r="X37" s="89"/>
      <c r="Y37" s="89"/>
      <c r="Z37" s="89"/>
      <c r="AA37" s="89"/>
      <c r="AB37" s="89"/>
      <c r="AC37" s="89"/>
      <c r="AD37" s="89"/>
      <c r="AE37" s="89"/>
      <c r="AF37" s="78"/>
    </row>
    <row r="38" spans="1:32" ht="18" x14ac:dyDescent="0.35">
      <c r="A38" s="196" t="s">
        <v>146</v>
      </c>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78"/>
    </row>
    <row r="39" spans="1:32" ht="15" thickBot="1" x14ac:dyDescent="0.35">
      <c r="A39" s="89"/>
      <c r="B39" s="89"/>
      <c r="C39" s="89"/>
      <c r="D39" s="89"/>
      <c r="E39" s="89"/>
      <c r="F39" s="89"/>
      <c r="G39" s="89"/>
      <c r="H39" s="188" t="s">
        <v>644</v>
      </c>
      <c r="I39" s="89"/>
      <c r="J39" s="89"/>
      <c r="K39" s="89"/>
      <c r="L39" s="182"/>
      <c r="M39" s="182"/>
      <c r="N39" s="188" t="s">
        <v>671</v>
      </c>
      <c r="O39" s="183"/>
      <c r="P39" s="182"/>
      <c r="Q39" s="89"/>
      <c r="R39" s="89"/>
      <c r="S39" s="89"/>
      <c r="T39" s="89"/>
      <c r="U39" s="89"/>
      <c r="V39" s="188" t="s">
        <v>679</v>
      </c>
      <c r="W39" s="89"/>
      <c r="X39" s="89"/>
      <c r="Y39" s="89"/>
      <c r="Z39" s="89"/>
      <c r="AA39" s="89"/>
      <c r="AB39" s="89"/>
      <c r="AC39" s="89"/>
      <c r="AD39" s="89"/>
      <c r="AE39" s="89"/>
      <c r="AF39" s="78"/>
    </row>
    <row r="40" spans="1:32" ht="15.6" x14ac:dyDescent="0.35">
      <c r="A40" s="92"/>
      <c r="B40" s="93"/>
      <c r="C40" s="93"/>
      <c r="D40" s="93"/>
      <c r="E40" s="93"/>
      <c r="F40" s="93"/>
      <c r="G40" s="107" t="s">
        <v>590</v>
      </c>
      <c r="H40" s="128">
        <v>100</v>
      </c>
      <c r="I40" s="95" t="s">
        <v>147</v>
      </c>
      <c r="J40" s="89"/>
      <c r="K40" s="89"/>
      <c r="L40" s="92"/>
      <c r="M40" s="107" t="s">
        <v>590</v>
      </c>
      <c r="N40" s="128">
        <v>100</v>
      </c>
      <c r="O40" s="95" t="s">
        <v>147</v>
      </c>
      <c r="P40" s="89"/>
      <c r="Q40" s="89"/>
      <c r="R40" s="92"/>
      <c r="S40" s="93"/>
      <c r="T40" s="93"/>
      <c r="U40" s="107" t="s">
        <v>590</v>
      </c>
      <c r="V40" s="128">
        <v>700</v>
      </c>
      <c r="W40" s="95" t="s">
        <v>147</v>
      </c>
      <c r="X40" s="89"/>
      <c r="Y40" s="89"/>
      <c r="Z40" s="89"/>
      <c r="AA40" s="89"/>
      <c r="AB40" s="89"/>
      <c r="AC40" s="89"/>
      <c r="AD40" s="89"/>
      <c r="AE40" s="89"/>
      <c r="AF40" s="78"/>
    </row>
    <row r="41" spans="1:32" x14ac:dyDescent="0.3">
      <c r="A41" s="96"/>
      <c r="B41" s="89"/>
      <c r="C41" s="89"/>
      <c r="D41" s="89"/>
      <c r="E41" s="89"/>
      <c r="F41" s="89"/>
      <c r="G41" s="90" t="s">
        <v>680</v>
      </c>
      <c r="H41" s="132">
        <f>Cout1_min*10^6</f>
        <v>3.7689814814814819</v>
      </c>
      <c r="I41" s="98" t="s">
        <v>148</v>
      </c>
      <c r="J41" s="89"/>
      <c r="K41" s="89"/>
      <c r="L41" s="96"/>
      <c r="M41" s="90" t="s">
        <v>681</v>
      </c>
      <c r="N41" s="132">
        <f>Cout2_min*(10^6)</f>
        <v>0</v>
      </c>
      <c r="O41" s="98" t="s">
        <v>148</v>
      </c>
      <c r="P41" s="89"/>
      <c r="Q41" s="89"/>
      <c r="R41" s="96"/>
      <c r="S41" s="89"/>
      <c r="T41" s="89"/>
      <c r="U41" s="90" t="s">
        <v>682</v>
      </c>
      <c r="V41" s="132">
        <f>Cout3_min*(10^6)</f>
        <v>0</v>
      </c>
      <c r="W41" s="98" t="s">
        <v>148</v>
      </c>
      <c r="X41" s="89"/>
      <c r="Y41" s="89"/>
      <c r="Z41" s="89"/>
      <c r="AA41" s="89"/>
      <c r="AB41" s="89"/>
      <c r="AC41" s="89"/>
      <c r="AD41" s="89"/>
      <c r="AE41" s="89"/>
      <c r="AF41" s="78"/>
    </row>
    <row r="42" spans="1:32" ht="15.6" x14ac:dyDescent="0.35">
      <c r="A42" s="96"/>
      <c r="B42" s="89"/>
      <c r="C42" s="89"/>
      <c r="D42" s="187"/>
      <c r="E42" s="89"/>
      <c r="F42" s="89"/>
      <c r="G42" s="90" t="s">
        <v>149</v>
      </c>
      <c r="H42" s="129">
        <v>50</v>
      </c>
      <c r="I42" s="98" t="s">
        <v>148</v>
      </c>
      <c r="J42" s="89"/>
      <c r="K42" s="89"/>
      <c r="L42" s="96"/>
      <c r="M42" s="90" t="s">
        <v>149</v>
      </c>
      <c r="N42" s="129">
        <v>2</v>
      </c>
      <c r="O42" s="98" t="s">
        <v>148</v>
      </c>
      <c r="P42" s="89"/>
      <c r="Q42" s="89"/>
      <c r="R42" s="96"/>
      <c r="S42" s="89"/>
      <c r="T42" s="89"/>
      <c r="U42" s="90" t="s">
        <v>149</v>
      </c>
      <c r="V42" s="129">
        <v>100</v>
      </c>
      <c r="W42" s="98" t="s">
        <v>148</v>
      </c>
      <c r="X42" s="89"/>
      <c r="Y42" s="89"/>
      <c r="Z42" s="89"/>
      <c r="AA42" s="89"/>
      <c r="AB42" s="89"/>
      <c r="AC42" s="89"/>
      <c r="AD42" s="89"/>
      <c r="AE42" s="89"/>
      <c r="AF42" s="78"/>
    </row>
    <row r="43" spans="1:32" ht="16.2" thickBot="1" x14ac:dyDescent="0.4">
      <c r="A43" s="102"/>
      <c r="B43" s="100"/>
      <c r="C43" s="100"/>
      <c r="D43" s="100"/>
      <c r="E43" s="100"/>
      <c r="F43" s="100"/>
      <c r="G43" s="105" t="s">
        <v>155</v>
      </c>
      <c r="H43" s="134">
        <v>10</v>
      </c>
      <c r="I43" s="101" t="s">
        <v>81</v>
      </c>
      <c r="J43" s="89"/>
      <c r="K43" s="89"/>
      <c r="L43" s="102"/>
      <c r="M43" s="105" t="s">
        <v>155</v>
      </c>
      <c r="N43" s="134">
        <v>1</v>
      </c>
      <c r="O43" s="101" t="s">
        <v>81</v>
      </c>
      <c r="P43" s="89"/>
      <c r="Q43" s="89"/>
      <c r="R43" s="102"/>
      <c r="S43" s="100"/>
      <c r="T43" s="100"/>
      <c r="U43" s="105" t="s">
        <v>155</v>
      </c>
      <c r="V43" s="134">
        <v>2</v>
      </c>
      <c r="W43" s="101" t="s">
        <v>81</v>
      </c>
      <c r="X43" s="89"/>
      <c r="Y43" s="89"/>
      <c r="Z43" s="89"/>
      <c r="AA43" s="89"/>
      <c r="AB43" s="89"/>
      <c r="AC43" s="89"/>
      <c r="AD43" s="89"/>
      <c r="AE43" s="89"/>
      <c r="AF43" s="78"/>
    </row>
    <row r="44" spans="1:32" x14ac:dyDescent="0.3">
      <c r="A44" s="89"/>
      <c r="B44" s="89"/>
      <c r="C44" s="89"/>
      <c r="D44" s="89"/>
      <c r="E44" s="89"/>
      <c r="F44" s="89"/>
      <c r="G44" s="90"/>
      <c r="H44" s="148"/>
      <c r="I44" s="179"/>
      <c r="J44" s="179"/>
      <c r="K44" s="89"/>
      <c r="L44" s="89"/>
      <c r="M44" s="89"/>
      <c r="N44" s="89"/>
      <c r="O44" s="89"/>
      <c r="P44" s="89"/>
      <c r="Q44" s="89"/>
      <c r="R44" s="89"/>
      <c r="S44" s="89"/>
      <c r="T44" s="89"/>
      <c r="U44" s="89"/>
      <c r="V44" s="89"/>
      <c r="W44" s="89"/>
      <c r="X44" s="89"/>
      <c r="Y44" s="89"/>
      <c r="Z44" s="89"/>
      <c r="AA44" s="89"/>
      <c r="AB44" s="89"/>
      <c r="AC44" s="89"/>
      <c r="AD44" s="89"/>
      <c r="AE44" s="89"/>
      <c r="AF44" s="78"/>
    </row>
    <row r="45" spans="1:32" x14ac:dyDescent="0.3">
      <c r="A45" s="89"/>
      <c r="B45" s="89"/>
      <c r="C45" s="89"/>
      <c r="D45" s="89"/>
      <c r="E45" s="89"/>
      <c r="F45" s="89"/>
      <c r="G45" s="89"/>
      <c r="H45" s="89"/>
      <c r="I45" s="89"/>
      <c r="J45" s="179"/>
      <c r="K45" s="89"/>
      <c r="L45" s="89"/>
      <c r="M45" s="89"/>
      <c r="N45" s="89"/>
      <c r="O45" s="89"/>
      <c r="P45" s="89"/>
      <c r="Q45" s="89"/>
      <c r="R45" s="89"/>
      <c r="S45" s="89"/>
      <c r="T45" s="89"/>
      <c r="U45" s="89"/>
      <c r="V45" s="89"/>
      <c r="W45" s="89"/>
      <c r="X45" s="89"/>
      <c r="Y45" s="89"/>
      <c r="Z45" s="89"/>
      <c r="AA45" s="89"/>
      <c r="AB45" s="89"/>
      <c r="AC45" s="89"/>
      <c r="AD45" s="89"/>
      <c r="AE45" s="89"/>
      <c r="AF45" s="78"/>
    </row>
    <row r="46" spans="1:32" ht="18.600000000000001" thickBot="1" x14ac:dyDescent="0.4">
      <c r="A46" s="196" t="s">
        <v>272</v>
      </c>
      <c r="B46" s="89"/>
      <c r="C46" s="89"/>
      <c r="D46" s="89"/>
      <c r="E46" s="89"/>
      <c r="F46" s="89"/>
      <c r="G46" s="90"/>
      <c r="H46" s="89"/>
      <c r="I46" s="89"/>
      <c r="J46" s="89"/>
      <c r="K46" s="89"/>
      <c r="L46" s="89"/>
      <c r="M46" s="89"/>
      <c r="N46" s="89"/>
      <c r="O46" s="89"/>
      <c r="P46" s="89"/>
      <c r="Q46" s="89"/>
      <c r="R46" s="89"/>
      <c r="S46" s="89"/>
      <c r="T46" s="89"/>
      <c r="U46" s="89"/>
      <c r="V46" s="89"/>
      <c r="W46" s="89"/>
      <c r="X46" s="89"/>
      <c r="Y46" s="89"/>
      <c r="Z46" s="89"/>
      <c r="AA46" s="89"/>
      <c r="AB46" s="89"/>
      <c r="AC46" s="89"/>
      <c r="AD46" s="89"/>
      <c r="AE46" s="89"/>
      <c r="AF46" s="78"/>
    </row>
    <row r="47" spans="1:32" ht="15.6" x14ac:dyDescent="0.35">
      <c r="A47" s="92"/>
      <c r="B47" s="93"/>
      <c r="C47" s="93"/>
      <c r="D47" s="93"/>
      <c r="E47" s="93"/>
      <c r="F47" s="93"/>
      <c r="G47" s="107" t="s">
        <v>294</v>
      </c>
      <c r="H47" s="137">
        <f>Variable_Management!B156*(10^9)</f>
        <v>299.99999999999994</v>
      </c>
      <c r="I47" s="95" t="s">
        <v>172</v>
      </c>
      <c r="J47" s="89"/>
      <c r="K47" s="89"/>
      <c r="L47" s="89"/>
      <c r="M47" s="89"/>
      <c r="N47" s="89"/>
      <c r="O47" s="89"/>
      <c r="P47" s="89"/>
      <c r="Q47" s="89"/>
      <c r="R47" s="89"/>
      <c r="S47" s="89"/>
      <c r="T47" s="89"/>
      <c r="U47" s="89"/>
      <c r="V47" s="89"/>
      <c r="W47" s="89"/>
      <c r="X47" s="89"/>
      <c r="Y47" s="89"/>
      <c r="Z47" s="89"/>
      <c r="AA47" s="89"/>
      <c r="AB47" s="89"/>
      <c r="AC47" s="89"/>
      <c r="AD47" s="89"/>
      <c r="AE47" s="89"/>
      <c r="AF47" s="78"/>
    </row>
    <row r="48" spans="1:32" ht="15.6" x14ac:dyDescent="0.35">
      <c r="A48" s="96"/>
      <c r="B48" s="89"/>
      <c r="C48" s="89"/>
      <c r="D48" s="89"/>
      <c r="E48" s="89"/>
      <c r="F48" s="89"/>
      <c r="G48" s="90" t="s">
        <v>299</v>
      </c>
      <c r="H48" s="129">
        <v>20</v>
      </c>
      <c r="I48" s="98" t="s">
        <v>295</v>
      </c>
      <c r="J48" s="89"/>
      <c r="K48" s="89"/>
      <c r="L48" s="89"/>
      <c r="M48" s="89"/>
      <c r="N48" s="89"/>
      <c r="O48" s="89"/>
      <c r="P48" s="89"/>
      <c r="Q48" s="89"/>
      <c r="R48" s="89"/>
      <c r="S48" s="89"/>
      <c r="T48" s="89"/>
      <c r="U48" s="89"/>
      <c r="V48" s="89"/>
      <c r="W48" s="89"/>
      <c r="X48" s="89"/>
      <c r="Y48" s="89"/>
      <c r="Z48" s="89"/>
      <c r="AA48" s="89"/>
      <c r="AB48" s="89"/>
      <c r="AC48" s="89"/>
      <c r="AD48" s="89"/>
      <c r="AE48" s="89"/>
      <c r="AF48" s="78"/>
    </row>
    <row r="49" spans="1:32" ht="16.2" thickBot="1" x14ac:dyDescent="0.4">
      <c r="A49" s="102"/>
      <c r="B49" s="100"/>
      <c r="C49" s="100"/>
      <c r="D49" s="100"/>
      <c r="E49" s="100"/>
      <c r="F49" s="100"/>
      <c r="G49" s="105" t="s">
        <v>298</v>
      </c>
      <c r="H49" s="138">
        <f>Variable_Management!B158*(10^9)</f>
        <v>200</v>
      </c>
      <c r="I49" s="101" t="s">
        <v>172</v>
      </c>
      <c r="J49" s="89"/>
      <c r="K49" s="89"/>
      <c r="L49" s="89"/>
      <c r="M49" s="89"/>
      <c r="N49" s="89"/>
      <c r="O49" s="89"/>
      <c r="P49" s="89"/>
      <c r="Q49" s="89"/>
      <c r="R49" s="89"/>
      <c r="S49" s="89"/>
      <c r="T49" s="89"/>
      <c r="U49" s="89"/>
      <c r="V49" s="89"/>
      <c r="W49" s="89"/>
      <c r="X49" s="89"/>
      <c r="Y49" s="89"/>
      <c r="Z49" s="89"/>
      <c r="AA49" s="89"/>
      <c r="AB49" s="89"/>
      <c r="AC49" s="89"/>
      <c r="AD49" s="89"/>
      <c r="AE49" s="89"/>
      <c r="AF49" s="78"/>
    </row>
    <row r="50" spans="1:32" x14ac:dyDescent="0.3">
      <c r="A50" s="89"/>
      <c r="B50" s="89"/>
      <c r="C50" s="89"/>
      <c r="D50" s="89"/>
      <c r="E50" s="89"/>
      <c r="F50" s="89"/>
      <c r="G50" s="90"/>
      <c r="H50" s="89"/>
      <c r="I50" s="89"/>
      <c r="J50" s="89"/>
      <c r="K50" s="89"/>
      <c r="L50" s="89"/>
      <c r="M50" s="89"/>
      <c r="N50" s="89"/>
      <c r="O50" s="89"/>
      <c r="P50" s="89"/>
      <c r="Q50" s="89"/>
      <c r="R50" s="89"/>
      <c r="S50" s="89"/>
      <c r="T50" s="89"/>
      <c r="U50" s="89"/>
      <c r="V50" s="89"/>
      <c r="W50" s="89"/>
      <c r="X50" s="89"/>
      <c r="Y50" s="89"/>
      <c r="Z50" s="89"/>
      <c r="AA50" s="89"/>
      <c r="AB50" s="89"/>
      <c r="AC50" s="89"/>
      <c r="AD50" s="89"/>
      <c r="AE50" s="89"/>
      <c r="AF50" s="78"/>
    </row>
    <row r="51" spans="1:32" ht="18.600000000000001" thickBot="1" x14ac:dyDescent="0.4">
      <c r="A51" s="196" t="s">
        <v>273</v>
      </c>
      <c r="B51" s="89"/>
      <c r="C51" s="89"/>
      <c r="D51" s="89"/>
      <c r="E51" s="89"/>
      <c r="F51" s="89"/>
      <c r="G51" s="90"/>
      <c r="H51" s="89"/>
      <c r="I51" s="89"/>
      <c r="J51" s="89"/>
      <c r="K51" s="89"/>
      <c r="L51" s="89"/>
      <c r="M51" s="89"/>
      <c r="N51" s="89"/>
      <c r="O51" s="89"/>
      <c r="P51" s="89"/>
      <c r="Q51" s="89"/>
      <c r="R51" s="89"/>
      <c r="S51" s="89"/>
      <c r="T51" s="89"/>
      <c r="U51" s="89"/>
      <c r="V51" s="89"/>
      <c r="W51" s="89"/>
      <c r="X51" s="89"/>
      <c r="Y51" s="89"/>
      <c r="Z51" s="89"/>
      <c r="AA51" s="89"/>
      <c r="AB51" s="89"/>
      <c r="AC51" s="89"/>
      <c r="AD51" s="89"/>
      <c r="AE51" s="89"/>
      <c r="AF51" s="78"/>
    </row>
    <row r="52" spans="1:32" ht="15.6" x14ac:dyDescent="0.35">
      <c r="A52" s="92"/>
      <c r="B52" s="93"/>
      <c r="C52" s="93"/>
      <c r="D52" s="93"/>
      <c r="E52" s="93"/>
      <c r="F52" s="93"/>
      <c r="G52" s="107" t="s">
        <v>301</v>
      </c>
      <c r="H52" s="128">
        <v>3</v>
      </c>
      <c r="I52" s="95" t="s">
        <v>11</v>
      </c>
      <c r="J52" s="89"/>
      <c r="K52" s="89"/>
      <c r="L52" s="89"/>
      <c r="M52" s="89"/>
      <c r="N52" s="89"/>
      <c r="O52" s="89"/>
      <c r="P52" s="89"/>
      <c r="Q52" s="89"/>
      <c r="R52" s="89"/>
      <c r="S52" s="89"/>
      <c r="T52" s="89"/>
      <c r="U52" s="89"/>
      <c r="V52" s="89"/>
      <c r="W52" s="89"/>
      <c r="X52" s="89"/>
      <c r="Y52" s="89"/>
      <c r="Z52" s="89"/>
      <c r="AA52" s="89"/>
      <c r="AB52" s="89"/>
      <c r="AC52" s="89"/>
      <c r="AD52" s="89"/>
      <c r="AE52" s="89"/>
      <c r="AF52" s="78"/>
    </row>
    <row r="53" spans="1:32" ht="15.6" x14ac:dyDescent="0.35">
      <c r="A53" s="96"/>
      <c r="B53" s="89"/>
      <c r="C53" s="89"/>
      <c r="D53" s="89"/>
      <c r="E53" s="89"/>
      <c r="F53" s="89"/>
      <c r="G53" s="90" t="s">
        <v>300</v>
      </c>
      <c r="H53" s="129">
        <v>1</v>
      </c>
      <c r="I53" s="98" t="s">
        <v>11</v>
      </c>
      <c r="J53" s="89"/>
      <c r="K53" s="89"/>
      <c r="L53" s="89"/>
      <c r="M53" s="89"/>
      <c r="N53" s="89"/>
      <c r="O53" s="89"/>
      <c r="P53" s="89"/>
      <c r="Q53" s="89"/>
      <c r="R53" s="89"/>
      <c r="S53" s="127"/>
      <c r="T53" s="89"/>
      <c r="U53" s="89"/>
      <c r="V53" s="89"/>
      <c r="W53" s="89"/>
      <c r="X53" s="89"/>
      <c r="Y53" s="89"/>
      <c r="Z53" s="89"/>
      <c r="AA53" s="89"/>
      <c r="AB53" s="89"/>
      <c r="AC53" s="89"/>
      <c r="AD53" s="89"/>
      <c r="AE53" s="89"/>
      <c r="AF53" s="78"/>
    </row>
    <row r="54" spans="1:32" ht="15.6" x14ac:dyDescent="0.35">
      <c r="A54" s="96"/>
      <c r="B54" s="89"/>
      <c r="C54" s="89"/>
      <c r="D54" s="89"/>
      <c r="E54" s="89"/>
      <c r="F54" s="89"/>
      <c r="G54" s="90" t="s">
        <v>389</v>
      </c>
      <c r="H54" s="135">
        <f>Ruvlo_top_calc/1000</f>
        <v>380.2</v>
      </c>
      <c r="I54" s="104" t="s">
        <v>169</v>
      </c>
      <c r="J54" s="179"/>
      <c r="K54" s="89"/>
      <c r="L54" s="89"/>
      <c r="M54" s="89"/>
      <c r="N54" s="89"/>
      <c r="O54" s="89"/>
      <c r="P54" s="89"/>
      <c r="Q54" s="89"/>
      <c r="R54" s="89"/>
      <c r="S54" s="89"/>
      <c r="T54" s="89"/>
      <c r="U54" s="89"/>
      <c r="V54" s="89"/>
      <c r="W54" s="89"/>
      <c r="X54" s="89"/>
      <c r="Y54" s="89"/>
      <c r="Z54" s="89"/>
      <c r="AA54" s="89"/>
      <c r="AB54" s="89"/>
      <c r="AC54" s="89"/>
      <c r="AD54" s="89"/>
      <c r="AE54" s="89"/>
      <c r="AF54" s="78"/>
    </row>
    <row r="55" spans="1:32" ht="15.6" x14ac:dyDescent="0.35">
      <c r="A55" s="96"/>
      <c r="B55" s="89"/>
      <c r="C55" s="89"/>
      <c r="D55" s="89"/>
      <c r="E55" s="89"/>
      <c r="F55" s="89"/>
      <c r="G55" s="90" t="s">
        <v>390</v>
      </c>
      <c r="H55" s="129">
        <v>100</v>
      </c>
      <c r="I55" s="104" t="s">
        <v>169</v>
      </c>
      <c r="J55" s="179"/>
      <c r="K55" s="89"/>
      <c r="L55" s="89"/>
      <c r="M55" s="89"/>
      <c r="N55" s="89"/>
      <c r="O55" s="89"/>
      <c r="P55" s="89"/>
      <c r="Q55" s="89"/>
      <c r="R55" s="89"/>
      <c r="S55" s="89"/>
      <c r="T55" s="89"/>
      <c r="U55" s="89"/>
      <c r="V55" s="89"/>
      <c r="W55" s="89"/>
      <c r="X55" s="89"/>
      <c r="Y55" s="89"/>
      <c r="Z55" s="89"/>
      <c r="AA55" s="89"/>
      <c r="AB55" s="89"/>
      <c r="AC55" s="89"/>
      <c r="AD55" s="89"/>
      <c r="AE55" s="89"/>
      <c r="AF55" s="78"/>
    </row>
    <row r="56" spans="1:32" ht="16.2" thickBot="1" x14ac:dyDescent="0.4">
      <c r="A56" s="102"/>
      <c r="B56" s="100"/>
      <c r="C56" s="100"/>
      <c r="D56" s="100"/>
      <c r="E56" s="100"/>
      <c r="F56" s="100"/>
      <c r="G56" s="105" t="s">
        <v>391</v>
      </c>
      <c r="H56" s="136">
        <f>Ruvlo_bottom_calc/1000</f>
        <v>100</v>
      </c>
      <c r="I56" s="106" t="s">
        <v>169</v>
      </c>
      <c r="J56" s="179"/>
      <c r="K56" s="89"/>
      <c r="L56" s="89"/>
      <c r="M56" s="89"/>
      <c r="N56" s="89"/>
      <c r="O56" s="89"/>
      <c r="P56" s="89"/>
      <c r="Q56" s="89"/>
      <c r="R56" s="89"/>
      <c r="S56" s="89"/>
      <c r="T56" s="89"/>
      <c r="U56" s="89"/>
      <c r="V56" s="89"/>
      <c r="W56" s="89"/>
      <c r="X56" s="89"/>
      <c r="Y56" s="89"/>
      <c r="Z56" s="89"/>
      <c r="AA56" s="89"/>
      <c r="AB56" s="89"/>
      <c r="AC56" s="89"/>
      <c r="AD56" s="89"/>
      <c r="AE56" s="89"/>
      <c r="AF56" s="78"/>
    </row>
    <row r="57" spans="1:32" x14ac:dyDescent="0.3">
      <c r="A57" s="89"/>
      <c r="B57" s="89"/>
      <c r="C57" s="89"/>
      <c r="D57" s="89"/>
      <c r="E57" s="89"/>
      <c r="F57" s="89"/>
      <c r="G57" s="90"/>
      <c r="H57" s="89"/>
      <c r="I57" s="89"/>
      <c r="J57" s="89"/>
      <c r="K57" s="89"/>
      <c r="L57" s="89"/>
      <c r="M57" s="89"/>
      <c r="N57" s="89"/>
      <c r="O57" s="89"/>
      <c r="P57" s="89"/>
      <c r="Q57" s="89"/>
      <c r="R57" s="89"/>
      <c r="S57" s="89"/>
      <c r="T57" s="89"/>
      <c r="U57" s="89"/>
      <c r="V57" s="89"/>
      <c r="W57" s="89"/>
      <c r="X57" s="89"/>
      <c r="Y57" s="89"/>
      <c r="Z57" s="89"/>
      <c r="AA57" s="89"/>
      <c r="AB57" s="89"/>
      <c r="AC57" s="89"/>
      <c r="AD57" s="89"/>
      <c r="AE57" s="89"/>
      <c r="AF57" s="78"/>
    </row>
    <row r="58" spans="1:32" ht="18.600000000000001" thickBot="1" x14ac:dyDescent="0.4">
      <c r="A58" s="196" t="s">
        <v>324</v>
      </c>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78"/>
    </row>
    <row r="59" spans="1:32" ht="15.6" x14ac:dyDescent="0.35">
      <c r="A59" s="108"/>
      <c r="B59" s="93"/>
      <c r="C59" s="93"/>
      <c r="D59" s="93"/>
      <c r="E59" s="93"/>
      <c r="F59" s="93"/>
      <c r="G59" s="109" t="s">
        <v>414</v>
      </c>
      <c r="H59" s="163">
        <f>VIN_nom</f>
        <v>50</v>
      </c>
      <c r="I59" s="149"/>
      <c r="J59" s="89"/>
      <c r="K59" s="89"/>
      <c r="L59" s="89"/>
      <c r="M59" s="89"/>
      <c r="N59" s="89"/>
      <c r="O59" s="89"/>
      <c r="P59" s="89"/>
      <c r="Q59" s="89"/>
      <c r="R59" s="89"/>
      <c r="S59" s="89"/>
      <c r="T59" s="89"/>
      <c r="U59" s="89"/>
      <c r="V59" s="89"/>
      <c r="W59" s="89"/>
      <c r="X59" s="89"/>
      <c r="Y59" s="89"/>
      <c r="Z59" s="89"/>
      <c r="AA59" s="89"/>
      <c r="AB59" s="89"/>
      <c r="AC59" s="89"/>
      <c r="AD59" s="89"/>
      <c r="AE59" s="89"/>
      <c r="AF59" s="78"/>
    </row>
    <row r="60" spans="1:32" x14ac:dyDescent="0.3">
      <c r="A60" s="110"/>
      <c r="B60" s="89"/>
      <c r="C60" s="89"/>
      <c r="D60" s="89"/>
      <c r="E60" s="89"/>
      <c r="F60" s="89"/>
      <c r="G60" s="162"/>
      <c r="H60" s="154"/>
      <c r="I60" s="131"/>
      <c r="J60" s="89"/>
      <c r="K60" s="89"/>
      <c r="L60" s="89"/>
      <c r="M60" s="89"/>
      <c r="N60" s="89"/>
      <c r="O60" s="89"/>
      <c r="P60" s="89"/>
      <c r="Q60" s="89"/>
      <c r="R60" s="89"/>
      <c r="S60" s="89"/>
      <c r="T60" s="89"/>
      <c r="U60" s="89"/>
      <c r="V60" s="89"/>
      <c r="W60" s="89"/>
      <c r="X60" s="89"/>
      <c r="Y60" s="89"/>
      <c r="Z60" s="89"/>
      <c r="AA60" s="89"/>
      <c r="AB60" s="89"/>
      <c r="AC60" s="89"/>
      <c r="AD60" s="89"/>
      <c r="AE60" s="89"/>
      <c r="AF60" s="78"/>
    </row>
    <row r="61" spans="1:32" ht="15" thickBot="1" x14ac:dyDescent="0.35">
      <c r="A61" s="110"/>
      <c r="B61" s="89"/>
      <c r="C61" s="89"/>
      <c r="D61" s="89"/>
      <c r="E61" s="89"/>
      <c r="F61" s="89"/>
      <c r="G61" s="111" t="s">
        <v>170</v>
      </c>
      <c r="H61" s="131"/>
      <c r="I61" s="131"/>
      <c r="J61" s="89"/>
      <c r="K61" s="89"/>
      <c r="L61" s="89"/>
      <c r="M61" s="89"/>
      <c r="N61" s="89"/>
      <c r="O61" s="89"/>
      <c r="P61" s="89"/>
      <c r="Q61" s="89"/>
      <c r="R61" s="89"/>
      <c r="S61" s="89"/>
      <c r="T61" s="89"/>
      <c r="U61" s="89"/>
      <c r="V61" s="89"/>
      <c r="W61" s="89"/>
      <c r="X61" s="89"/>
      <c r="Y61" s="89"/>
      <c r="Z61" s="89"/>
      <c r="AA61" s="89"/>
      <c r="AB61" s="89"/>
      <c r="AC61" s="89"/>
      <c r="AD61" s="89"/>
      <c r="AE61" s="89"/>
      <c r="AF61" s="78"/>
    </row>
    <row r="62" spans="1:32" ht="15.6" x14ac:dyDescent="0.35">
      <c r="A62" s="110"/>
      <c r="B62" s="89"/>
      <c r="C62" s="89"/>
      <c r="D62" s="89"/>
      <c r="E62" s="89"/>
      <c r="F62" s="89"/>
      <c r="G62" s="90" t="s">
        <v>508</v>
      </c>
      <c r="H62" s="128">
        <v>2.5</v>
      </c>
      <c r="I62" s="149" t="s">
        <v>11</v>
      </c>
      <c r="J62" s="89"/>
      <c r="K62" s="89"/>
      <c r="L62" s="89"/>
      <c r="M62" s="89"/>
      <c r="N62" s="89"/>
      <c r="O62" s="89"/>
      <c r="P62" s="89"/>
      <c r="Q62" s="89"/>
      <c r="R62" s="89"/>
      <c r="S62" s="89"/>
      <c r="T62" s="89"/>
      <c r="U62" s="89"/>
      <c r="V62" s="89"/>
      <c r="W62" s="89"/>
      <c r="X62" s="89"/>
      <c r="Y62" s="89"/>
      <c r="Z62" s="89"/>
      <c r="AA62" s="89"/>
      <c r="AB62" s="89"/>
      <c r="AC62" s="89"/>
      <c r="AD62" s="89"/>
      <c r="AE62" s="89"/>
      <c r="AF62" s="78"/>
    </row>
    <row r="63" spans="1:32" ht="15.6" x14ac:dyDescent="0.35">
      <c r="A63" s="110"/>
      <c r="B63" s="89"/>
      <c r="C63" s="89"/>
      <c r="D63" s="89"/>
      <c r="E63" s="89"/>
      <c r="F63" s="89"/>
      <c r="G63" s="90" t="s">
        <v>270</v>
      </c>
      <c r="H63" s="129">
        <v>29400</v>
      </c>
      <c r="I63" s="161" t="s">
        <v>169</v>
      </c>
      <c r="J63" s="179"/>
      <c r="K63" s="89"/>
      <c r="L63" s="89"/>
      <c r="M63" s="89"/>
      <c r="N63" s="89"/>
      <c r="O63" s="89"/>
      <c r="P63" s="89"/>
      <c r="Q63" s="89"/>
      <c r="R63" s="89"/>
      <c r="S63" s="89"/>
      <c r="T63" s="89"/>
      <c r="U63" s="89"/>
      <c r="V63" s="89"/>
      <c r="W63" s="89"/>
      <c r="X63" s="89"/>
      <c r="Y63" s="89"/>
      <c r="Z63" s="89"/>
      <c r="AA63" s="89"/>
      <c r="AB63" s="89"/>
      <c r="AC63" s="89"/>
      <c r="AD63" s="89"/>
      <c r="AE63" s="89"/>
      <c r="AF63" s="78"/>
    </row>
    <row r="64" spans="1:32" ht="15.6" x14ac:dyDescent="0.35">
      <c r="A64" s="110"/>
      <c r="B64" s="89"/>
      <c r="C64" s="89"/>
      <c r="D64" s="89"/>
      <c r="E64" s="89"/>
      <c r="F64" s="89"/>
      <c r="G64" s="90" t="s">
        <v>246</v>
      </c>
      <c r="H64" s="135">
        <f>CHOOSE(FB_type,RFBB_iso_calc/1000,RFBB_calc/1000)</f>
        <v>498.30508474576271</v>
      </c>
      <c r="I64" s="161" t="s">
        <v>169</v>
      </c>
      <c r="J64" s="179"/>
      <c r="K64" s="89"/>
      <c r="L64" s="89"/>
      <c r="M64" s="89"/>
      <c r="N64" s="89"/>
      <c r="O64" s="89"/>
      <c r="P64" s="89"/>
      <c r="Q64" s="89"/>
      <c r="R64" s="89"/>
      <c r="S64" s="89"/>
      <c r="T64" s="89"/>
      <c r="U64" s="89"/>
      <c r="V64" s="89"/>
      <c r="W64" s="89"/>
      <c r="X64" s="89"/>
      <c r="Y64" s="89"/>
      <c r="Z64" s="89"/>
      <c r="AA64" s="89"/>
      <c r="AB64" s="89"/>
      <c r="AC64" s="89"/>
      <c r="AD64" s="89"/>
      <c r="AE64" s="89"/>
      <c r="AF64" s="78"/>
    </row>
    <row r="65" spans="1:32" ht="16.2" thickBot="1" x14ac:dyDescent="0.4">
      <c r="A65" s="110"/>
      <c r="B65" s="89"/>
      <c r="C65" s="89"/>
      <c r="D65" s="89"/>
      <c r="E65" s="89"/>
      <c r="F65" s="89"/>
      <c r="G65" s="90" t="s">
        <v>271</v>
      </c>
      <c r="H65" s="134">
        <v>499</v>
      </c>
      <c r="I65" s="198" t="s">
        <v>169</v>
      </c>
      <c r="J65" s="179"/>
      <c r="K65" s="89"/>
      <c r="L65" s="89"/>
      <c r="M65" s="89"/>
      <c r="N65" s="89"/>
      <c r="O65" s="89"/>
      <c r="P65" s="89"/>
      <c r="Q65" s="89"/>
      <c r="R65" s="89"/>
      <c r="S65" s="89"/>
      <c r="T65" s="89"/>
      <c r="U65" s="89"/>
      <c r="V65" s="89"/>
      <c r="W65" s="89"/>
      <c r="X65" s="89"/>
      <c r="Y65" s="89"/>
      <c r="Z65" s="89"/>
      <c r="AA65" s="89"/>
      <c r="AB65" s="89"/>
      <c r="AC65" s="89"/>
      <c r="AD65" s="89"/>
      <c r="AE65" s="89"/>
      <c r="AF65" s="78"/>
    </row>
    <row r="66" spans="1:32" x14ac:dyDescent="0.3">
      <c r="A66" s="96"/>
      <c r="B66" s="89"/>
      <c r="C66" s="89"/>
      <c r="D66" s="89"/>
      <c r="E66" s="89"/>
      <c r="F66" s="89"/>
      <c r="G66" s="90"/>
      <c r="H66" s="131"/>
      <c r="I66" s="131"/>
      <c r="J66" s="89"/>
      <c r="K66" s="89"/>
      <c r="L66" s="89"/>
      <c r="M66" s="89"/>
      <c r="N66" s="89"/>
      <c r="O66" s="89"/>
      <c r="P66" s="89"/>
      <c r="Q66" s="89"/>
      <c r="R66" s="89"/>
      <c r="S66" s="89"/>
      <c r="T66" s="89"/>
      <c r="U66" s="89"/>
      <c r="V66" s="89"/>
      <c r="W66" s="89"/>
      <c r="X66" s="89"/>
      <c r="Y66" s="89"/>
      <c r="Z66" s="89"/>
      <c r="AA66" s="89"/>
      <c r="AB66" s="89"/>
      <c r="AC66" s="89"/>
      <c r="AD66" s="89"/>
      <c r="AE66" s="89"/>
      <c r="AF66" s="78"/>
    </row>
    <row r="67" spans="1:32" ht="15" thickBot="1" x14ac:dyDescent="0.35">
      <c r="A67" s="96"/>
      <c r="B67" s="89"/>
      <c r="C67" s="89"/>
      <c r="D67" s="89"/>
      <c r="E67" s="89"/>
      <c r="F67" s="89"/>
      <c r="G67" s="111" t="s">
        <v>509</v>
      </c>
      <c r="H67" s="131"/>
      <c r="I67" s="131"/>
      <c r="J67" s="89"/>
      <c r="K67" s="89"/>
      <c r="L67" s="89"/>
      <c r="M67" s="89"/>
      <c r="N67" s="89"/>
      <c r="O67" s="89"/>
      <c r="P67" s="89"/>
      <c r="Q67" s="89"/>
      <c r="R67" s="89"/>
      <c r="S67" s="89"/>
      <c r="T67" s="89"/>
      <c r="U67" s="89"/>
      <c r="V67" s="89"/>
      <c r="W67" s="89"/>
      <c r="X67" s="89"/>
      <c r="Y67" s="89"/>
      <c r="Z67" s="89"/>
      <c r="AA67" s="89"/>
      <c r="AB67" s="89"/>
      <c r="AC67" s="89"/>
      <c r="AD67" s="89"/>
      <c r="AE67" s="89"/>
      <c r="AF67" s="78"/>
    </row>
    <row r="68" spans="1:32" ht="15.6" x14ac:dyDescent="0.35">
      <c r="A68" s="96"/>
      <c r="B68" s="89"/>
      <c r="C68" s="89"/>
      <c r="D68" s="89"/>
      <c r="E68" s="89"/>
      <c r="F68" s="89"/>
      <c r="G68" s="90" t="s">
        <v>510</v>
      </c>
      <c r="H68" s="128">
        <v>0.8</v>
      </c>
      <c r="I68" s="149" t="s">
        <v>528</v>
      </c>
      <c r="J68" s="89"/>
      <c r="K68" s="89"/>
      <c r="L68" s="89"/>
      <c r="M68" s="89"/>
      <c r="N68" s="89"/>
      <c r="O68" s="89"/>
      <c r="P68" s="89"/>
      <c r="Q68" s="89"/>
      <c r="R68" s="89"/>
      <c r="S68" s="89"/>
      <c r="T68" s="89"/>
      <c r="U68" s="89"/>
      <c r="V68" s="89"/>
      <c r="W68" s="89"/>
      <c r="X68" s="89"/>
      <c r="Y68" s="89"/>
      <c r="Z68" s="89"/>
      <c r="AA68" s="89"/>
      <c r="AB68" s="89"/>
      <c r="AC68" s="89"/>
      <c r="AD68" s="89"/>
      <c r="AE68" s="89"/>
      <c r="AF68" s="78"/>
    </row>
    <row r="69" spans="1:32" ht="15.6" x14ac:dyDescent="0.35">
      <c r="A69" s="96"/>
      <c r="B69" s="89"/>
      <c r="C69" s="89"/>
      <c r="D69" s="89"/>
      <c r="E69" s="89"/>
      <c r="F69" s="89"/>
      <c r="G69" s="90" t="s">
        <v>511</v>
      </c>
      <c r="H69" s="129">
        <v>1.6</v>
      </c>
      <c r="I69" s="131" t="s">
        <v>528</v>
      </c>
      <c r="J69" s="89"/>
      <c r="K69" s="89"/>
      <c r="L69" s="89"/>
      <c r="M69" s="89"/>
      <c r="N69" s="89"/>
      <c r="O69" s="89"/>
      <c r="P69" s="89"/>
      <c r="Q69" s="89"/>
      <c r="R69" s="89"/>
      <c r="S69" s="89"/>
      <c r="T69" s="89"/>
      <c r="U69" s="89"/>
      <c r="V69" s="89"/>
      <c r="W69" s="89"/>
      <c r="X69" s="89"/>
      <c r="Y69" s="89"/>
      <c r="Z69" s="89"/>
      <c r="AA69" s="89"/>
      <c r="AB69" s="89"/>
      <c r="AC69" s="89"/>
      <c r="AD69" s="89"/>
      <c r="AE69" s="89"/>
      <c r="AF69" s="78"/>
    </row>
    <row r="70" spans="1:32" ht="15.6" x14ac:dyDescent="0.35">
      <c r="A70" s="96"/>
      <c r="B70" s="89"/>
      <c r="C70" s="89"/>
      <c r="D70" s="89"/>
      <c r="E70" s="89"/>
      <c r="F70" s="89"/>
      <c r="G70" s="90" t="s">
        <v>512</v>
      </c>
      <c r="H70" s="129">
        <v>1.6</v>
      </c>
      <c r="I70" s="131" t="s">
        <v>11</v>
      </c>
      <c r="J70" s="89"/>
      <c r="K70" s="89"/>
      <c r="L70" s="89"/>
      <c r="M70" s="89"/>
      <c r="N70" s="89"/>
      <c r="O70" s="89"/>
      <c r="P70" s="89"/>
      <c r="Q70" s="89"/>
      <c r="R70" s="89"/>
      <c r="S70" s="89"/>
      <c r="T70" s="89"/>
      <c r="U70" s="89"/>
      <c r="V70" s="89"/>
      <c r="W70" s="89"/>
      <c r="X70" s="89"/>
      <c r="Y70" s="89"/>
      <c r="Z70" s="89"/>
      <c r="AA70" s="89"/>
      <c r="AB70" s="89"/>
      <c r="AC70" s="89"/>
      <c r="AD70" s="89"/>
      <c r="AE70" s="89"/>
      <c r="AF70" s="78"/>
    </row>
    <row r="71" spans="1:32" ht="15.6" x14ac:dyDescent="0.35">
      <c r="A71" s="96"/>
      <c r="B71" s="89"/>
      <c r="C71" s="89"/>
      <c r="D71" s="89"/>
      <c r="E71" s="89"/>
      <c r="F71" s="89"/>
      <c r="G71" s="90" t="s">
        <v>689</v>
      </c>
      <c r="H71" s="129">
        <v>3.3</v>
      </c>
      <c r="I71" s="131" t="s">
        <v>172</v>
      </c>
      <c r="J71" s="89"/>
      <c r="K71" s="89"/>
      <c r="L71" s="89"/>
      <c r="M71" s="89"/>
      <c r="N71" s="89"/>
      <c r="O71" s="89"/>
      <c r="P71" s="89"/>
      <c r="Q71" s="89"/>
      <c r="R71" s="89"/>
      <c r="S71" s="89"/>
      <c r="T71" s="89"/>
      <c r="U71" s="89"/>
      <c r="V71" s="89"/>
      <c r="W71" s="89"/>
      <c r="X71" s="89"/>
      <c r="Y71" s="89"/>
      <c r="Z71" s="89"/>
      <c r="AA71" s="89"/>
      <c r="AB71" s="89"/>
      <c r="AC71" s="89"/>
      <c r="AD71" s="89"/>
      <c r="AE71" s="89"/>
      <c r="AF71" s="78"/>
    </row>
    <row r="72" spans="1:32" ht="16.2" thickBot="1" x14ac:dyDescent="0.4">
      <c r="A72" s="96"/>
      <c r="B72" s="89"/>
      <c r="C72" s="89"/>
      <c r="D72" s="89"/>
      <c r="E72" s="89"/>
      <c r="F72" s="89"/>
      <c r="G72" s="90" t="s">
        <v>690</v>
      </c>
      <c r="H72" s="134">
        <v>200</v>
      </c>
      <c r="I72" s="143" t="s">
        <v>147</v>
      </c>
      <c r="J72" s="89"/>
      <c r="K72" s="89"/>
      <c r="L72" s="89"/>
      <c r="M72" s="89"/>
      <c r="N72" s="89"/>
      <c r="O72" s="89"/>
      <c r="P72" s="89"/>
      <c r="Q72" s="89"/>
      <c r="R72" s="89"/>
      <c r="S72" s="89"/>
      <c r="T72" s="89"/>
      <c r="U72" s="89"/>
      <c r="V72" s="89"/>
      <c r="W72" s="89"/>
      <c r="X72" s="89"/>
      <c r="Y72" s="89"/>
      <c r="Z72" s="89"/>
      <c r="AA72" s="89"/>
      <c r="AB72" s="89"/>
      <c r="AC72" s="89"/>
      <c r="AD72" s="89"/>
      <c r="AE72" s="89"/>
      <c r="AF72" s="78"/>
    </row>
    <row r="73" spans="1:32" x14ac:dyDescent="0.3">
      <c r="A73" s="96"/>
      <c r="B73" s="89"/>
      <c r="C73" s="89"/>
      <c r="D73" s="89"/>
      <c r="E73" s="89"/>
      <c r="F73" s="89"/>
      <c r="G73" s="90"/>
      <c r="H73" s="131"/>
      <c r="I73" s="131"/>
      <c r="J73" s="89"/>
      <c r="K73" s="89"/>
      <c r="L73" s="89"/>
      <c r="M73" s="89"/>
      <c r="N73" s="89"/>
      <c r="O73" s="89"/>
      <c r="P73" s="89"/>
      <c r="Q73" s="89"/>
      <c r="R73" s="89"/>
      <c r="S73" s="89"/>
      <c r="T73" s="89"/>
      <c r="U73" s="89"/>
      <c r="V73" s="89"/>
      <c r="W73" s="89"/>
      <c r="X73" s="89"/>
      <c r="Y73" s="89"/>
      <c r="Z73" s="89"/>
      <c r="AA73" s="89"/>
      <c r="AB73" s="89"/>
      <c r="AC73" s="89"/>
      <c r="AD73" s="89"/>
      <c r="AE73" s="89"/>
      <c r="AF73" s="78"/>
    </row>
    <row r="74" spans="1:32" ht="16.2" thickBot="1" x14ac:dyDescent="0.4">
      <c r="A74" s="96"/>
      <c r="B74" s="89"/>
      <c r="C74" s="89"/>
      <c r="D74" s="89"/>
      <c r="E74" s="89"/>
      <c r="F74" s="89"/>
      <c r="G74" s="111" t="s">
        <v>569</v>
      </c>
      <c r="H74" s="131"/>
      <c r="I74" s="131"/>
      <c r="J74" s="89"/>
      <c r="K74" s="89"/>
      <c r="L74" s="89"/>
      <c r="M74" s="89"/>
      <c r="N74" s="89"/>
      <c r="O74" s="89"/>
      <c r="P74" s="89"/>
      <c r="Q74" s="89"/>
      <c r="R74" s="89"/>
      <c r="S74" s="89"/>
      <c r="T74" s="89"/>
      <c r="U74" s="89"/>
      <c r="V74" s="89"/>
      <c r="W74" s="89"/>
      <c r="X74" s="89"/>
      <c r="Y74" s="89"/>
      <c r="Z74" s="89"/>
      <c r="AA74" s="89"/>
      <c r="AB74" s="89"/>
      <c r="AC74" s="89"/>
      <c r="AD74" s="89"/>
      <c r="AE74" s="89"/>
      <c r="AF74" s="78"/>
    </row>
    <row r="75" spans="1:32" ht="15.6" x14ac:dyDescent="0.35">
      <c r="A75" s="96"/>
      <c r="B75" s="89"/>
      <c r="C75" s="89"/>
      <c r="D75" s="89"/>
      <c r="E75" s="89"/>
      <c r="F75" s="89"/>
      <c r="G75" s="160" t="s">
        <v>545</v>
      </c>
      <c r="H75" s="128">
        <v>6.8</v>
      </c>
      <c r="I75" s="199" t="s">
        <v>11</v>
      </c>
      <c r="J75" s="114"/>
      <c r="K75" s="89"/>
      <c r="L75" s="89"/>
      <c r="M75" s="89"/>
      <c r="N75" s="89"/>
      <c r="O75" s="89"/>
      <c r="P75" s="89"/>
      <c r="Q75" s="89"/>
      <c r="R75" s="89"/>
      <c r="S75" s="89"/>
      <c r="T75" s="89"/>
      <c r="U75" s="89"/>
      <c r="V75" s="89"/>
      <c r="W75" s="89"/>
      <c r="X75" s="89"/>
      <c r="Y75" s="89"/>
      <c r="Z75" s="89"/>
      <c r="AA75" s="89"/>
      <c r="AB75" s="89"/>
      <c r="AC75" s="89"/>
      <c r="AD75" s="89"/>
      <c r="AE75" s="89"/>
      <c r="AF75" s="78"/>
    </row>
    <row r="76" spans="1:32" ht="15.6" x14ac:dyDescent="0.35">
      <c r="A76" s="96"/>
      <c r="B76" s="89"/>
      <c r="C76" s="89"/>
      <c r="D76" s="89"/>
      <c r="E76" s="89"/>
      <c r="F76" s="89"/>
      <c r="G76" s="90" t="s">
        <v>529</v>
      </c>
      <c r="H76" s="130">
        <f>Rpullup_min/1000</f>
        <v>2.6874999999999996</v>
      </c>
      <c r="I76" s="161" t="s">
        <v>169</v>
      </c>
      <c r="J76" s="179"/>
      <c r="K76" s="89"/>
      <c r="L76" s="89"/>
      <c r="M76" s="89"/>
      <c r="N76" s="89"/>
      <c r="O76" s="89"/>
      <c r="P76" s="89"/>
      <c r="Q76" s="89"/>
      <c r="R76" s="89"/>
      <c r="S76" s="89"/>
      <c r="T76" s="89"/>
      <c r="U76" s="89"/>
      <c r="V76" s="89"/>
      <c r="W76" s="89"/>
      <c r="X76" s="89"/>
      <c r="Y76" s="89"/>
      <c r="Z76" s="89"/>
      <c r="AA76" s="89"/>
      <c r="AB76" s="89"/>
      <c r="AC76" s="89"/>
      <c r="AD76" s="89"/>
      <c r="AE76" s="89"/>
      <c r="AF76" s="78"/>
    </row>
    <row r="77" spans="1:32" ht="15.6" x14ac:dyDescent="0.35">
      <c r="A77" s="96"/>
      <c r="B77" s="89"/>
      <c r="C77" s="89"/>
      <c r="D77" s="89"/>
      <c r="E77" s="89"/>
      <c r="F77" s="89"/>
      <c r="G77" s="90" t="s">
        <v>549</v>
      </c>
      <c r="H77" s="129">
        <v>4.99</v>
      </c>
      <c r="I77" s="161" t="s">
        <v>169</v>
      </c>
      <c r="J77" s="179"/>
      <c r="K77" s="89"/>
      <c r="L77" s="89"/>
      <c r="M77" s="89"/>
      <c r="N77" s="89"/>
      <c r="O77" s="89"/>
      <c r="P77" s="89"/>
      <c r="Q77" s="89"/>
      <c r="R77" s="89"/>
      <c r="S77" s="89"/>
      <c r="T77" s="89"/>
      <c r="U77" s="89"/>
      <c r="V77" s="89"/>
      <c r="W77" s="89"/>
      <c r="X77" s="89"/>
      <c r="Y77" s="89"/>
      <c r="Z77" s="89"/>
      <c r="AA77" s="89"/>
      <c r="AB77" s="89"/>
      <c r="AC77" s="89"/>
      <c r="AD77" s="89"/>
      <c r="AE77" s="89"/>
      <c r="AF77" s="78"/>
    </row>
    <row r="78" spans="1:32" ht="15.6" x14ac:dyDescent="0.35">
      <c r="A78" s="96"/>
      <c r="B78" s="89"/>
      <c r="C78" s="89"/>
      <c r="D78" s="89"/>
      <c r="E78" s="89"/>
      <c r="F78" s="89"/>
      <c r="G78" s="90" t="s">
        <v>591</v>
      </c>
      <c r="H78" s="130">
        <f>Variable_Management!B219/1000</f>
        <v>88.247393939393945</v>
      </c>
      <c r="I78" s="161" t="s">
        <v>169</v>
      </c>
      <c r="J78" s="179"/>
      <c r="K78" s="89"/>
      <c r="L78" s="89"/>
      <c r="M78" s="89"/>
      <c r="N78" s="89"/>
      <c r="O78" s="89"/>
      <c r="P78" s="89"/>
      <c r="Q78" s="89"/>
      <c r="R78" s="89"/>
      <c r="S78" s="89"/>
      <c r="T78" s="89"/>
      <c r="U78" s="89"/>
      <c r="V78" s="89"/>
      <c r="W78" s="89"/>
      <c r="X78" s="89"/>
      <c r="Y78" s="89"/>
      <c r="Z78" s="89"/>
      <c r="AA78" s="89"/>
      <c r="AB78" s="89"/>
      <c r="AC78" s="89"/>
      <c r="AD78" s="89"/>
      <c r="AE78" s="89"/>
      <c r="AF78" s="78"/>
    </row>
    <row r="79" spans="1:32" ht="16.2" thickBot="1" x14ac:dyDescent="0.4">
      <c r="A79" s="96"/>
      <c r="B79" s="89"/>
      <c r="C79" s="89"/>
      <c r="D79" s="89"/>
      <c r="E79" s="89"/>
      <c r="F79" s="89"/>
      <c r="G79" s="90" t="s">
        <v>570</v>
      </c>
      <c r="H79" s="134">
        <v>59</v>
      </c>
      <c r="I79" s="198" t="s">
        <v>169</v>
      </c>
      <c r="J79" s="179"/>
      <c r="K79" s="89"/>
      <c r="L79" s="89"/>
      <c r="M79" s="89"/>
      <c r="N79" s="89"/>
      <c r="O79" s="89"/>
      <c r="P79" s="89"/>
      <c r="Q79" s="89"/>
      <c r="R79" s="89"/>
      <c r="S79" s="89"/>
      <c r="T79" s="89"/>
      <c r="U79" s="89"/>
      <c r="V79" s="89"/>
      <c r="W79" s="89"/>
      <c r="X79" s="89"/>
      <c r="Y79" s="89"/>
      <c r="Z79" s="89"/>
      <c r="AA79" s="89"/>
      <c r="AB79" s="89"/>
      <c r="AC79" s="89"/>
      <c r="AD79" s="89"/>
      <c r="AE79" s="89"/>
      <c r="AF79" s="78"/>
    </row>
    <row r="80" spans="1:32" x14ac:dyDescent="0.3">
      <c r="A80" s="96"/>
      <c r="B80" s="89"/>
      <c r="C80" s="89"/>
      <c r="D80" s="89"/>
      <c r="E80" s="89"/>
      <c r="F80" s="89"/>
      <c r="G80" s="90"/>
      <c r="H80" s="131"/>
      <c r="I80" s="131"/>
      <c r="J80" s="89"/>
      <c r="K80" s="89"/>
      <c r="L80" s="89"/>
      <c r="M80" s="89"/>
      <c r="N80" s="89"/>
      <c r="O80" s="89"/>
      <c r="P80" s="89"/>
      <c r="Q80" s="89"/>
      <c r="R80" s="89"/>
      <c r="S80" s="89"/>
      <c r="T80" s="89"/>
      <c r="U80" s="89"/>
      <c r="V80" s="89"/>
      <c r="W80" s="89"/>
      <c r="X80" s="89"/>
      <c r="Y80" s="89"/>
      <c r="Z80" s="89"/>
      <c r="AA80" s="89"/>
      <c r="AB80" s="89"/>
      <c r="AC80" s="89"/>
      <c r="AD80" s="89"/>
      <c r="AE80" s="89"/>
      <c r="AF80" s="78"/>
    </row>
    <row r="81" spans="1:32" ht="15" thickBot="1" x14ac:dyDescent="0.35">
      <c r="A81" s="96"/>
      <c r="B81" s="89"/>
      <c r="C81" s="89"/>
      <c r="D81" s="89"/>
      <c r="E81" s="89"/>
      <c r="F81" s="89"/>
      <c r="G81" s="111" t="s">
        <v>553</v>
      </c>
      <c r="H81" s="131"/>
      <c r="I81" s="131"/>
      <c r="J81" s="89"/>
      <c r="K81" s="89"/>
      <c r="L81" s="89"/>
      <c r="M81" s="89"/>
      <c r="N81" s="89"/>
      <c r="O81" s="89"/>
      <c r="P81" s="89"/>
      <c r="Q81" s="89"/>
      <c r="R81" s="89"/>
      <c r="S81" s="89"/>
      <c r="T81" s="89"/>
      <c r="U81" s="89"/>
      <c r="V81" s="89"/>
      <c r="W81" s="89"/>
      <c r="X81" s="89"/>
      <c r="Y81" s="89"/>
      <c r="Z81" s="89"/>
      <c r="AA81" s="89"/>
      <c r="AB81" s="89"/>
      <c r="AC81" s="89"/>
      <c r="AD81" s="89"/>
      <c r="AE81" s="89"/>
      <c r="AF81" s="78"/>
    </row>
    <row r="82" spans="1:32" x14ac:dyDescent="0.3">
      <c r="A82" s="96"/>
      <c r="B82" s="89"/>
      <c r="C82" s="89"/>
      <c r="D82" s="89"/>
      <c r="E82" s="89"/>
      <c r="F82" s="89"/>
      <c r="G82" s="90" t="s">
        <v>589</v>
      </c>
      <c r="H82" s="200">
        <f>CHOOSE(FB_type,Variable_Management!B225,fcross_est)/1000</f>
        <v>9.6650842953722798</v>
      </c>
      <c r="I82" s="149" t="s">
        <v>13</v>
      </c>
      <c r="J82" s="89"/>
      <c r="K82" s="89"/>
      <c r="L82" s="89"/>
      <c r="M82" s="89"/>
      <c r="N82" s="89"/>
      <c r="O82" s="89"/>
      <c r="P82" s="89"/>
      <c r="Q82" s="89"/>
      <c r="R82" s="89"/>
      <c r="S82" s="89"/>
      <c r="T82" s="89"/>
      <c r="U82" s="89"/>
      <c r="V82" s="89"/>
      <c r="W82" s="89"/>
      <c r="X82" s="89"/>
      <c r="Y82" s="89"/>
      <c r="Z82" s="89"/>
      <c r="AA82" s="89"/>
      <c r="AB82" s="89"/>
      <c r="AC82" s="89"/>
      <c r="AD82" s="89"/>
      <c r="AE82" s="89"/>
      <c r="AF82" s="78"/>
    </row>
    <row r="83" spans="1:32" ht="16.2" thickBot="1" x14ac:dyDescent="0.4">
      <c r="A83" s="96"/>
      <c r="B83" s="89"/>
      <c r="C83" s="89"/>
      <c r="D83" s="89"/>
      <c r="E83" s="89"/>
      <c r="F83" s="89"/>
      <c r="G83" s="90" t="s">
        <v>388</v>
      </c>
      <c r="H83" s="134">
        <v>1</v>
      </c>
      <c r="I83" s="143" t="s">
        <v>13</v>
      </c>
      <c r="J83" s="89"/>
      <c r="K83" s="89"/>
      <c r="L83" s="89"/>
      <c r="M83" s="89"/>
      <c r="N83" s="89"/>
      <c r="O83" s="89"/>
      <c r="P83" s="89"/>
      <c r="Q83" s="89"/>
      <c r="R83" s="89"/>
      <c r="S83" s="89"/>
      <c r="T83" s="89"/>
      <c r="U83" s="89"/>
      <c r="V83" s="89"/>
      <c r="W83" s="89"/>
      <c r="X83" s="89"/>
      <c r="Y83" s="89"/>
      <c r="Z83" s="89"/>
      <c r="AA83" s="89"/>
      <c r="AB83" s="89"/>
      <c r="AC83" s="89"/>
      <c r="AD83" s="89"/>
      <c r="AE83" s="89"/>
      <c r="AF83" s="78"/>
    </row>
    <row r="84" spans="1:32" x14ac:dyDescent="0.3">
      <c r="A84" s="96"/>
      <c r="B84" s="89"/>
      <c r="C84" s="89"/>
      <c r="D84" s="89"/>
      <c r="E84" s="89"/>
      <c r="F84" s="89"/>
      <c r="G84" s="90"/>
      <c r="H84" s="131"/>
      <c r="I84" s="131"/>
      <c r="J84" s="89"/>
      <c r="K84" s="89"/>
      <c r="L84" s="89"/>
      <c r="M84" s="89"/>
      <c r="N84" s="89"/>
      <c r="O84" s="89"/>
      <c r="P84" s="89"/>
      <c r="Q84" s="89"/>
      <c r="R84" s="89"/>
      <c r="S84" s="89"/>
      <c r="T84" s="89"/>
      <c r="U84" s="89"/>
      <c r="V84" s="89"/>
      <c r="W84" s="89"/>
      <c r="X84" s="89"/>
      <c r="Y84" s="89"/>
      <c r="Z84" s="89"/>
      <c r="AA84" s="89"/>
      <c r="AB84" s="89"/>
      <c r="AC84" s="89"/>
      <c r="AD84" s="89"/>
      <c r="AE84" s="89"/>
      <c r="AF84" s="78"/>
    </row>
    <row r="85" spans="1:32" ht="15" thickBot="1" x14ac:dyDescent="0.35">
      <c r="A85" s="96"/>
      <c r="B85" s="89"/>
      <c r="C85" s="89"/>
      <c r="D85" s="89"/>
      <c r="E85" s="89"/>
      <c r="F85" s="112" t="s">
        <v>276</v>
      </c>
      <c r="G85" s="112"/>
      <c r="H85" s="139" t="s">
        <v>277</v>
      </c>
      <c r="I85" s="139"/>
      <c r="J85" s="112"/>
      <c r="K85" s="89"/>
      <c r="L85" s="89"/>
      <c r="M85" s="89"/>
      <c r="N85" s="89"/>
      <c r="O85" s="89"/>
      <c r="P85" s="89"/>
      <c r="Q85" s="89"/>
      <c r="R85" s="89"/>
      <c r="S85" s="89"/>
      <c r="T85" s="89"/>
      <c r="U85" s="89"/>
      <c r="V85" s="89"/>
      <c r="W85" s="89"/>
      <c r="X85" s="89"/>
      <c r="Y85" s="89"/>
      <c r="Z85" s="89"/>
      <c r="AA85" s="89"/>
      <c r="AB85" s="89"/>
      <c r="AC85" s="89"/>
      <c r="AD85" s="89"/>
      <c r="AE85" s="89"/>
      <c r="AF85" s="78"/>
    </row>
    <row r="86" spans="1:32" ht="16.2" thickBot="1" x14ac:dyDescent="0.4">
      <c r="A86" s="96"/>
      <c r="B86" s="89"/>
      <c r="C86" s="89"/>
      <c r="D86" s="89"/>
      <c r="E86" s="90" t="s">
        <v>275</v>
      </c>
      <c r="F86" s="142">
        <f>CHOOSE(FB_type,Variable_Management!B228,Rcomp_calc)/1000</f>
        <v>9.4879693270849845</v>
      </c>
      <c r="G86" s="156" t="s">
        <v>169</v>
      </c>
      <c r="H86" s="141">
        <v>200</v>
      </c>
      <c r="I86" s="202" t="s">
        <v>169</v>
      </c>
      <c r="J86" s="179"/>
      <c r="K86" s="89"/>
      <c r="L86" s="89"/>
      <c r="M86" s="89"/>
      <c r="N86" s="89"/>
      <c r="O86" s="89"/>
      <c r="P86" s="89"/>
      <c r="Q86" s="89"/>
      <c r="R86" s="89"/>
      <c r="S86" s="89"/>
      <c r="T86" s="89"/>
      <c r="U86" s="89"/>
      <c r="V86" s="89"/>
      <c r="W86" s="89"/>
      <c r="X86" s="89"/>
      <c r="Y86" s="89"/>
      <c r="Z86" s="89"/>
      <c r="AA86" s="89"/>
      <c r="AB86" s="89"/>
      <c r="AC86" s="89"/>
      <c r="AD86" s="89"/>
      <c r="AE86" s="89"/>
      <c r="AF86" s="78"/>
    </row>
    <row r="87" spans="1:32" ht="16.2" thickBot="1" x14ac:dyDescent="0.4">
      <c r="A87" s="96"/>
      <c r="B87" s="89"/>
      <c r="C87" s="89"/>
      <c r="D87" s="89"/>
      <c r="E87" s="90" t="s">
        <v>379</v>
      </c>
      <c r="F87" s="142">
        <f>CHOOSE(FB_type,Ccomp_iso_calc,CComp_calc)*10^9</f>
        <v>9.2950625795473893</v>
      </c>
      <c r="G87" s="156" t="s">
        <v>172</v>
      </c>
      <c r="H87" s="141">
        <v>4.7</v>
      </c>
      <c r="I87" s="131" t="s">
        <v>172</v>
      </c>
      <c r="J87" s="89"/>
      <c r="K87" s="89"/>
      <c r="L87" s="89"/>
      <c r="M87" s="89"/>
      <c r="N87" s="89"/>
      <c r="O87" s="89"/>
      <c r="P87" s="89"/>
      <c r="Q87" s="89"/>
      <c r="R87" s="89"/>
      <c r="S87" s="89"/>
      <c r="T87" s="89"/>
      <c r="U87" s="89"/>
      <c r="V87" s="89"/>
      <c r="W87" s="89"/>
      <c r="X87" s="89"/>
      <c r="Y87" s="89"/>
      <c r="Z87" s="89"/>
      <c r="AA87" s="89"/>
      <c r="AB87" s="89"/>
      <c r="AC87" s="89"/>
      <c r="AD87" s="89"/>
      <c r="AE87" s="89"/>
      <c r="AF87" s="78"/>
    </row>
    <row r="88" spans="1:32" ht="16.2" thickBot="1" x14ac:dyDescent="0.4">
      <c r="A88" s="102"/>
      <c r="B88" s="100"/>
      <c r="C88" s="100"/>
      <c r="D88" s="100"/>
      <c r="E88" s="105" t="s">
        <v>380</v>
      </c>
      <c r="F88" s="140">
        <f>CHOOSE(FB_type,0,Variable_Management!B271)*(10^12)</f>
        <v>0</v>
      </c>
      <c r="G88" s="157" t="s">
        <v>171</v>
      </c>
      <c r="H88" s="134">
        <v>720</v>
      </c>
      <c r="I88" s="143" t="s">
        <v>171</v>
      </c>
      <c r="J88" s="89"/>
      <c r="K88" s="89"/>
      <c r="L88" s="89"/>
      <c r="M88" s="89"/>
      <c r="N88" s="89"/>
      <c r="O88" s="89"/>
      <c r="P88" s="89"/>
      <c r="Q88" s="89"/>
      <c r="R88" s="89"/>
      <c r="S88" s="89"/>
      <c r="T88" s="89"/>
      <c r="U88" s="89"/>
      <c r="V88" s="89"/>
      <c r="W88" s="89"/>
      <c r="X88" s="89"/>
      <c r="Y88" s="89"/>
      <c r="Z88" s="89"/>
      <c r="AA88" s="89"/>
      <c r="AB88" s="89"/>
      <c r="AC88" s="89"/>
      <c r="AD88" s="89"/>
      <c r="AE88" s="89"/>
      <c r="AF88" s="78"/>
    </row>
    <row r="89" spans="1:32" x14ac:dyDescent="0.3">
      <c r="A89" s="89"/>
      <c r="B89" s="89"/>
      <c r="C89" s="89"/>
      <c r="D89" s="89"/>
      <c r="E89" s="90"/>
      <c r="F89" s="113"/>
      <c r="G89" s="90"/>
      <c r="H89" s="114"/>
      <c r="I89" s="89"/>
      <c r="J89" s="89"/>
      <c r="K89" s="89"/>
      <c r="L89" s="89"/>
      <c r="M89" s="89"/>
      <c r="N89" s="89"/>
      <c r="O89" s="89"/>
      <c r="P89" s="89"/>
      <c r="Q89" s="89"/>
      <c r="R89" s="89"/>
      <c r="S89" s="89"/>
      <c r="T89" s="89"/>
      <c r="U89" s="89"/>
      <c r="V89" s="89"/>
      <c r="W89" s="89"/>
      <c r="X89" s="89"/>
      <c r="Y89" s="89"/>
      <c r="Z89" s="89"/>
      <c r="AA89" s="89"/>
      <c r="AB89" s="89"/>
      <c r="AC89" s="89"/>
      <c r="AD89" s="89"/>
      <c r="AE89" s="89"/>
      <c r="AF89" s="78"/>
    </row>
    <row r="90" spans="1:32" ht="23.4" x14ac:dyDescent="0.45">
      <c r="A90" s="115" t="s">
        <v>274</v>
      </c>
      <c r="B90" s="116"/>
      <c r="C90" s="116"/>
      <c r="D90" s="116"/>
      <c r="E90" s="116"/>
      <c r="F90" s="116"/>
      <c r="G90" s="117"/>
      <c r="H90" s="116"/>
      <c r="I90" s="116"/>
      <c r="J90" s="116"/>
      <c r="K90" s="116"/>
      <c r="L90" s="116"/>
      <c r="M90" s="116"/>
      <c r="N90" s="116"/>
      <c r="O90" s="116"/>
      <c r="P90" s="116"/>
      <c r="Q90" s="116"/>
      <c r="R90" s="116"/>
      <c r="S90" s="116"/>
      <c r="T90" s="116"/>
      <c r="U90" s="116"/>
      <c r="V90" s="116"/>
      <c r="W90" s="118"/>
      <c r="X90" s="118"/>
      <c r="Y90" s="118"/>
      <c r="Z90" s="118"/>
      <c r="AA90" s="118"/>
      <c r="AB90" s="118"/>
      <c r="AC90" s="118"/>
      <c r="AD90" s="118"/>
      <c r="AE90" s="118"/>
    </row>
    <row r="91" spans="1:32" x14ac:dyDescent="0.3">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78"/>
    </row>
    <row r="92" spans="1:32" ht="18.600000000000001" thickBot="1" x14ac:dyDescent="0.4">
      <c r="A92" s="197" t="s">
        <v>344</v>
      </c>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78"/>
    </row>
    <row r="93" spans="1:32" ht="15.6" x14ac:dyDescent="0.35">
      <c r="A93" s="92"/>
      <c r="B93" s="93"/>
      <c r="C93" s="93"/>
      <c r="D93" s="93"/>
      <c r="E93" s="93"/>
      <c r="F93" s="93"/>
      <c r="G93" s="119" t="s">
        <v>333</v>
      </c>
      <c r="H93" s="128">
        <v>34</v>
      </c>
      <c r="I93" s="120" t="s">
        <v>339</v>
      </c>
      <c r="J93" s="180"/>
      <c r="K93" s="89"/>
      <c r="L93" s="89"/>
      <c r="M93" s="89"/>
      <c r="N93" s="89"/>
      <c r="O93" s="89"/>
      <c r="P93" s="89"/>
      <c r="Q93" s="89"/>
      <c r="R93" s="89"/>
      <c r="S93" s="89"/>
      <c r="T93" s="89"/>
      <c r="U93" s="89"/>
      <c r="V93" s="89"/>
      <c r="W93" s="89"/>
      <c r="X93" s="89"/>
      <c r="Y93" s="89"/>
      <c r="Z93" s="89"/>
      <c r="AA93" s="89"/>
      <c r="AB93" s="89"/>
      <c r="AC93" s="89"/>
      <c r="AD93" s="89"/>
      <c r="AE93" s="89"/>
      <c r="AF93" s="78"/>
    </row>
    <row r="94" spans="1:32" ht="15.6" x14ac:dyDescent="0.35">
      <c r="A94" s="110"/>
      <c r="B94" s="89"/>
      <c r="C94" s="89"/>
      <c r="D94" s="89"/>
      <c r="E94" s="89"/>
      <c r="F94" s="89"/>
      <c r="G94" s="121" t="s">
        <v>334</v>
      </c>
      <c r="H94" s="129">
        <v>26</v>
      </c>
      <c r="I94" s="122" t="s">
        <v>340</v>
      </c>
      <c r="J94" s="180"/>
      <c r="K94" s="89"/>
      <c r="L94" s="89"/>
      <c r="M94" s="89"/>
      <c r="N94" s="89"/>
      <c r="O94" s="89"/>
      <c r="P94" s="89"/>
      <c r="Q94" s="89"/>
      <c r="R94" s="89"/>
      <c r="S94" s="89"/>
      <c r="T94" s="89"/>
      <c r="U94" s="89"/>
      <c r="V94" s="89"/>
      <c r="W94" s="89"/>
      <c r="X94" s="89"/>
      <c r="Y94" s="89"/>
      <c r="Z94" s="89"/>
      <c r="AA94" s="89"/>
      <c r="AB94" s="89"/>
      <c r="AC94" s="89"/>
      <c r="AD94" s="89"/>
      <c r="AE94" s="89"/>
      <c r="AF94" s="78"/>
    </row>
    <row r="95" spans="1:32" ht="15.6" x14ac:dyDescent="0.35">
      <c r="A95" s="110"/>
      <c r="B95" s="89"/>
      <c r="C95" s="89"/>
      <c r="D95" s="89"/>
      <c r="E95" s="89"/>
      <c r="F95" s="89"/>
      <c r="G95" s="121" t="s">
        <v>335</v>
      </c>
      <c r="H95" s="129">
        <v>9</v>
      </c>
      <c r="I95" s="122" t="s">
        <v>340</v>
      </c>
      <c r="J95" s="180"/>
      <c r="K95" s="89"/>
      <c r="L95" s="89"/>
      <c r="M95" s="89"/>
      <c r="N95" s="89"/>
      <c r="O95" s="89"/>
      <c r="P95" s="89"/>
      <c r="Q95" s="89"/>
      <c r="R95" s="89"/>
      <c r="S95" s="89"/>
      <c r="T95" s="89"/>
      <c r="U95" s="89"/>
      <c r="V95" s="89"/>
      <c r="W95" s="89"/>
      <c r="X95" s="89"/>
      <c r="Y95" s="89"/>
      <c r="Z95" s="89"/>
      <c r="AA95" s="89"/>
      <c r="AB95" s="89"/>
      <c r="AC95" s="89"/>
      <c r="AD95" s="89"/>
      <c r="AE95" s="89"/>
      <c r="AF95" s="78"/>
    </row>
    <row r="96" spans="1:32" ht="15.6" x14ac:dyDescent="0.35">
      <c r="A96" s="96"/>
      <c r="B96" s="89"/>
      <c r="C96" s="89"/>
      <c r="D96" s="89"/>
      <c r="E96" s="89"/>
      <c r="F96" s="89"/>
      <c r="G96" s="121" t="s">
        <v>336</v>
      </c>
      <c r="H96" s="129">
        <v>8.6</v>
      </c>
      <c r="I96" s="122" t="s">
        <v>340</v>
      </c>
      <c r="J96" s="180"/>
      <c r="K96" s="89"/>
      <c r="L96" s="89"/>
      <c r="M96" s="89"/>
      <c r="N96" s="89"/>
      <c r="O96" s="89"/>
      <c r="P96" s="89"/>
      <c r="Q96" s="89"/>
      <c r="R96" s="89"/>
      <c r="S96" s="89"/>
      <c r="T96" s="89"/>
      <c r="U96" s="89"/>
      <c r="V96" s="89"/>
      <c r="W96" s="89"/>
      <c r="X96" s="89"/>
      <c r="Y96" s="89"/>
      <c r="Z96" s="89"/>
      <c r="AA96" s="89"/>
      <c r="AB96" s="89"/>
      <c r="AC96" s="89"/>
      <c r="AD96" s="89"/>
      <c r="AE96" s="89"/>
      <c r="AF96" s="78"/>
    </row>
    <row r="97" spans="1:32" ht="15.6" x14ac:dyDescent="0.35">
      <c r="A97" s="96"/>
      <c r="B97" s="89"/>
      <c r="C97" s="89"/>
      <c r="D97" s="89"/>
      <c r="E97" s="89"/>
      <c r="F97" s="89"/>
      <c r="G97" s="121" t="s">
        <v>337</v>
      </c>
      <c r="H97" s="129">
        <v>2.7</v>
      </c>
      <c r="I97" s="122" t="s">
        <v>341</v>
      </c>
      <c r="J97" s="180"/>
      <c r="K97" s="89"/>
      <c r="L97" s="89"/>
      <c r="M97" s="89"/>
      <c r="N97" s="89"/>
      <c r="O97" s="89"/>
      <c r="P97" s="89"/>
      <c r="Q97" s="89"/>
      <c r="R97" s="89"/>
      <c r="S97" s="89"/>
      <c r="T97" s="89"/>
      <c r="U97" s="89"/>
      <c r="V97" s="89"/>
      <c r="W97" s="89"/>
      <c r="X97" s="89"/>
      <c r="Y97" s="89"/>
      <c r="Z97" s="89"/>
      <c r="AA97" s="89"/>
      <c r="AB97" s="89"/>
      <c r="AC97" s="89"/>
      <c r="AD97" s="89"/>
      <c r="AE97" s="89"/>
      <c r="AF97" s="78"/>
    </row>
    <row r="98" spans="1:32" ht="16.2" thickBot="1" x14ac:dyDescent="0.4">
      <c r="A98" s="102"/>
      <c r="B98" s="100"/>
      <c r="C98" s="100"/>
      <c r="D98" s="100"/>
      <c r="E98" s="100"/>
      <c r="F98" s="100"/>
      <c r="G98" s="123" t="s">
        <v>338</v>
      </c>
      <c r="H98" s="134">
        <v>4</v>
      </c>
      <c r="I98" s="124" t="s">
        <v>11</v>
      </c>
      <c r="J98" s="180"/>
      <c r="K98" s="89"/>
      <c r="L98" s="89"/>
      <c r="M98" s="89"/>
      <c r="N98" s="89"/>
      <c r="O98" s="89"/>
      <c r="P98" s="89"/>
      <c r="Q98" s="89"/>
      <c r="R98" s="89"/>
      <c r="S98" s="89"/>
      <c r="T98" s="89"/>
      <c r="U98" s="89"/>
      <c r="V98" s="89"/>
      <c r="W98" s="89"/>
      <c r="X98" s="89"/>
      <c r="Y98" s="89"/>
      <c r="Z98" s="89"/>
      <c r="AA98" s="89"/>
      <c r="AB98" s="89"/>
      <c r="AC98" s="89"/>
      <c r="AD98" s="89"/>
      <c r="AE98" s="89"/>
      <c r="AF98" s="78"/>
    </row>
    <row r="99" spans="1:32" x14ac:dyDescent="0.3">
      <c r="A99" s="89"/>
      <c r="B99" s="89"/>
      <c r="C99" s="89"/>
      <c r="D99" s="89"/>
      <c r="E99" s="89"/>
      <c r="F99" s="89"/>
      <c r="G99" s="90"/>
      <c r="H99" s="89"/>
      <c r="I99" s="89"/>
      <c r="J99" s="89"/>
      <c r="K99" s="89"/>
      <c r="L99" s="89"/>
      <c r="M99" s="89"/>
      <c r="N99" s="89"/>
      <c r="O99" s="89"/>
      <c r="P99" s="89"/>
      <c r="Q99" s="89"/>
      <c r="R99" s="89"/>
      <c r="S99" s="89"/>
      <c r="T99" s="89"/>
      <c r="U99" s="89"/>
      <c r="V99" s="89"/>
      <c r="W99" s="89"/>
      <c r="X99" s="89"/>
      <c r="Y99" s="89"/>
      <c r="Z99" s="89"/>
      <c r="AA99" s="89"/>
      <c r="AB99" s="89"/>
      <c r="AC99" s="89"/>
      <c r="AD99" s="89"/>
      <c r="AE99" s="89"/>
      <c r="AF99" s="78"/>
    </row>
    <row r="100" spans="1:32" ht="18" x14ac:dyDescent="0.35">
      <c r="A100" s="197" t="s">
        <v>343</v>
      </c>
      <c r="B100" s="89"/>
      <c r="C100" s="89"/>
      <c r="D100" s="89"/>
      <c r="E100" s="89"/>
      <c r="F100" s="89"/>
      <c r="G100" s="90"/>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78"/>
    </row>
    <row r="101" spans="1:32" ht="16.2" thickBot="1" x14ac:dyDescent="0.35">
      <c r="A101" s="96"/>
      <c r="B101" s="89"/>
      <c r="C101" s="89"/>
      <c r="D101" s="89"/>
      <c r="E101" s="89"/>
      <c r="F101" s="89"/>
      <c r="G101" s="185" t="s">
        <v>673</v>
      </c>
      <c r="H101" s="114"/>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78"/>
    </row>
    <row r="102" spans="1:32" ht="15.6" x14ac:dyDescent="0.35">
      <c r="A102" s="92"/>
      <c r="B102" s="93"/>
      <c r="C102" s="93"/>
      <c r="D102" s="93"/>
      <c r="E102" s="93"/>
      <c r="F102" s="93"/>
      <c r="G102" s="107" t="s">
        <v>694</v>
      </c>
      <c r="H102" s="128">
        <v>1400</v>
      </c>
      <c r="I102" s="95" t="s">
        <v>147</v>
      </c>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78"/>
    </row>
    <row r="103" spans="1:32" ht="16.2" thickBot="1" x14ac:dyDescent="0.4">
      <c r="A103" s="102"/>
      <c r="B103" s="100"/>
      <c r="C103" s="100"/>
      <c r="D103" s="100"/>
      <c r="E103" s="100"/>
      <c r="F103" s="100"/>
      <c r="G103" s="105" t="s">
        <v>692</v>
      </c>
      <c r="H103" s="134">
        <v>10</v>
      </c>
      <c r="I103" s="101" t="s">
        <v>340</v>
      </c>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78"/>
    </row>
    <row r="104" spans="1:32" x14ac:dyDescent="0.3">
      <c r="A104" s="96"/>
      <c r="B104" s="89"/>
      <c r="C104" s="89"/>
      <c r="D104" s="89"/>
      <c r="E104" s="89"/>
      <c r="F104" s="89"/>
      <c r="G104" s="90"/>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78"/>
    </row>
    <row r="105" spans="1:32" ht="16.2" thickBot="1" x14ac:dyDescent="0.35">
      <c r="A105" s="96"/>
      <c r="B105" s="89"/>
      <c r="C105" s="89"/>
      <c r="D105" s="89"/>
      <c r="E105" s="89"/>
      <c r="F105" s="89"/>
      <c r="G105" s="185" t="s">
        <v>674</v>
      </c>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78"/>
    </row>
    <row r="106" spans="1:32" ht="15.6" x14ac:dyDescent="0.35">
      <c r="A106" s="92"/>
      <c r="B106" s="93"/>
      <c r="C106" s="93"/>
      <c r="D106" s="93"/>
      <c r="E106" s="93"/>
      <c r="F106" s="93"/>
      <c r="G106" s="107" t="s">
        <v>695</v>
      </c>
      <c r="H106" s="128">
        <v>300</v>
      </c>
      <c r="I106" s="95" t="s">
        <v>147</v>
      </c>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78"/>
    </row>
    <row r="107" spans="1:32" ht="16.2" thickBot="1" x14ac:dyDescent="0.4">
      <c r="A107" s="102"/>
      <c r="B107" s="100"/>
      <c r="C107" s="100"/>
      <c r="D107" s="100"/>
      <c r="E107" s="100"/>
      <c r="F107" s="100"/>
      <c r="G107" s="105" t="s">
        <v>693</v>
      </c>
      <c r="H107" s="134">
        <v>10</v>
      </c>
      <c r="I107" s="101" t="s">
        <v>340</v>
      </c>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78"/>
    </row>
    <row r="108" spans="1:32" x14ac:dyDescent="0.3">
      <c r="A108" s="89"/>
      <c r="B108" s="89"/>
      <c r="C108" s="89"/>
      <c r="D108" s="89"/>
      <c r="E108" s="89"/>
      <c r="F108" s="89"/>
      <c r="G108" s="90"/>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78"/>
    </row>
    <row r="109" spans="1:32" ht="16.2" thickBot="1" x14ac:dyDescent="0.35">
      <c r="A109" s="89"/>
      <c r="B109" s="89"/>
      <c r="C109" s="89"/>
      <c r="D109" s="89"/>
      <c r="E109" s="89"/>
      <c r="F109" s="89"/>
      <c r="G109" s="185" t="s">
        <v>675</v>
      </c>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78"/>
    </row>
    <row r="110" spans="1:32" ht="15.6" x14ac:dyDescent="0.35">
      <c r="A110" s="92"/>
      <c r="B110" s="93"/>
      <c r="C110" s="93"/>
      <c r="D110" s="93"/>
      <c r="E110" s="93"/>
      <c r="F110" s="93"/>
      <c r="G110" s="107" t="s">
        <v>696</v>
      </c>
      <c r="H110" s="128">
        <v>500</v>
      </c>
      <c r="I110" s="95" t="s">
        <v>147</v>
      </c>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78"/>
    </row>
    <row r="111" spans="1:32" ht="16.2" thickBot="1" x14ac:dyDescent="0.4">
      <c r="A111" s="102"/>
      <c r="B111" s="100"/>
      <c r="C111" s="100"/>
      <c r="D111" s="100"/>
      <c r="E111" s="100"/>
      <c r="F111" s="100"/>
      <c r="G111" s="105" t="s">
        <v>691</v>
      </c>
      <c r="H111" s="134">
        <v>10</v>
      </c>
      <c r="I111" s="101" t="s">
        <v>340</v>
      </c>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78"/>
    </row>
    <row r="112" spans="1:32" x14ac:dyDescent="0.3">
      <c r="A112" s="89"/>
      <c r="B112" s="89"/>
      <c r="C112" s="89"/>
      <c r="D112" s="89"/>
      <c r="E112" s="89"/>
      <c r="F112" s="89"/>
      <c r="G112" s="90"/>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78"/>
    </row>
    <row r="113" spans="1:32" x14ac:dyDescent="0.3">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78"/>
    </row>
    <row r="114" spans="1:32" x14ac:dyDescent="0.3">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78"/>
    </row>
    <row r="115" spans="1:32" x14ac:dyDescent="0.3">
      <c r="A115" s="89"/>
      <c r="B115" s="89"/>
      <c r="C115" s="89"/>
      <c r="D115" s="89"/>
      <c r="E115" s="89"/>
      <c r="F115" s="89"/>
      <c r="G115" s="90"/>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78"/>
    </row>
    <row r="116" spans="1:32" x14ac:dyDescent="0.3">
      <c r="A116" s="89"/>
      <c r="B116" s="89"/>
      <c r="C116" s="89"/>
      <c r="D116" s="89"/>
      <c r="E116" s="89"/>
      <c r="F116" s="89"/>
      <c r="G116" s="90"/>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78"/>
    </row>
    <row r="117" spans="1:32" x14ac:dyDescent="0.3">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78"/>
    </row>
    <row r="118" spans="1:32" x14ac:dyDescent="0.3">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78"/>
    </row>
    <row r="119" spans="1:32" x14ac:dyDescent="0.3">
      <c r="A119" s="89"/>
      <c r="B119" s="89"/>
      <c r="C119" s="89"/>
      <c r="D119" s="89"/>
      <c r="E119" s="89"/>
      <c r="F119" s="89"/>
      <c r="G119" s="90"/>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78"/>
    </row>
    <row r="120" spans="1:32" x14ac:dyDescent="0.3">
      <c r="A120" s="89"/>
      <c r="B120" s="89"/>
      <c r="C120" s="89"/>
      <c r="D120" s="89"/>
      <c r="E120" s="89"/>
      <c r="F120" s="89"/>
      <c r="G120" s="90"/>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78"/>
    </row>
    <row r="121" spans="1:32" x14ac:dyDescent="0.3">
      <c r="A121" s="89"/>
      <c r="B121" s="89"/>
      <c r="C121" s="89"/>
      <c r="D121" s="89"/>
      <c r="E121" s="89"/>
      <c r="F121" s="89"/>
      <c r="G121" s="90"/>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78"/>
    </row>
    <row r="122" spans="1:32" x14ac:dyDescent="0.3">
      <c r="A122" s="89"/>
      <c r="B122" s="89"/>
      <c r="C122" s="89"/>
      <c r="D122" s="89"/>
      <c r="E122" s="89"/>
      <c r="F122" s="89"/>
      <c r="G122" s="90"/>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78"/>
    </row>
    <row r="123" spans="1:32" x14ac:dyDescent="0.3">
      <c r="A123" s="80"/>
      <c r="B123" s="80"/>
      <c r="C123" s="80"/>
      <c r="D123" s="80"/>
      <c r="E123" s="80"/>
      <c r="F123" s="80"/>
      <c r="G123" s="81"/>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78"/>
    </row>
  </sheetData>
  <sheetProtection algorithmName="SHA-512" hashValue="ktBWQPtiABsOugzP/qaPSQu3Xzd/GpKQE2kfMOymsKpqbt841sFWA8VIDfj8ZPM9nsHMYiV0vy9p6zCtPqodYA==" saltValue="TsFZEY5sUs6IoGQVde6Mhg==" spinCount="100000" sheet="1" objects="1" scenarios="1" selectLockedCells="1"/>
  <mergeCells count="1">
    <mergeCell ref="P3:R3"/>
  </mergeCells>
  <conditionalFormatting sqref="H7">
    <cfRule type="cellIs" dxfId="19" priority="5" operator="greaterThan">
      <formula>VIN_op_max_56</formula>
    </cfRule>
    <cfRule type="cellIs" dxfId="18" priority="6" operator="greaterThan">
      <formula>VIN_op_max</formula>
    </cfRule>
    <cfRule type="cellIs" dxfId="17" priority="7" operator="lessThan">
      <formula>VIN_op_min</formula>
    </cfRule>
  </conditionalFormatting>
  <conditionalFormatting sqref="H8">
    <cfRule type="cellIs" dxfId="16" priority="43" operator="notBetween">
      <formula>$H$7</formula>
      <formula>$H$9</formula>
    </cfRule>
  </conditionalFormatting>
  <conditionalFormatting sqref="H9">
    <cfRule type="cellIs" dxfId="15" priority="1" operator="greaterThan">
      <formula>VIN_op_max_56</formula>
    </cfRule>
    <cfRule type="cellIs" dxfId="14" priority="3" operator="greaterThan">
      <formula>VIN_op_max</formula>
    </cfRule>
    <cfRule type="cellIs" dxfId="13" priority="4" operator="lessThan">
      <formula>VIN_op_min</formula>
    </cfRule>
  </conditionalFormatting>
  <conditionalFormatting sqref="H14">
    <cfRule type="cellIs" dxfId="12" priority="10" operator="greaterThan">
      <formula>2200</formula>
    </cfRule>
    <cfRule type="cellIs" dxfId="11" priority="11" operator="lessThan">
      <formula>50</formula>
    </cfRule>
  </conditionalFormatting>
  <conditionalFormatting sqref="H59">
    <cfRule type="expression" dxfId="9" priority="41">
      <formula>$H$8&gt;$H$9</formula>
    </cfRule>
    <cfRule type="expression" dxfId="8" priority="42">
      <formula>$H$8&lt;$H$7</formula>
    </cfRule>
  </conditionalFormatting>
  <hyperlinks>
    <hyperlink ref="P3" location="Licenses!A1" display="TERMS OF USE" xr:uid="{520B36B2-99BB-4BBD-B6B0-9F4C403615A4}"/>
  </hyperlinks>
  <pageMargins left="0.2" right="0.2" top="0.25" bottom="0.25" header="0" footer="0"/>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52" r:id="rId4" name="Drop Down 628">
              <controlPr defaultSize="0" autoLine="0" autoPict="0">
                <anchor moveWithCells="1">
                  <from>
                    <xdr:col>20</xdr:col>
                    <xdr:colOff>114300</xdr:colOff>
                    <xdr:row>17</xdr:row>
                    <xdr:rowOff>22860</xdr:rowOff>
                  </from>
                  <to>
                    <xdr:col>25</xdr:col>
                    <xdr:colOff>411480</xdr:colOff>
                    <xdr:row>18</xdr:row>
                    <xdr:rowOff>175260</xdr:rowOff>
                  </to>
                </anchor>
              </controlPr>
            </control>
          </mc:Choice>
        </mc:AlternateContent>
        <mc:AlternateContent xmlns:mc="http://schemas.openxmlformats.org/markup-compatibility/2006">
          <mc:Choice Requires="x14">
            <control shapeId="1060" r:id="rId5" name="Spinner 36">
              <controlPr defaultSize="0" autoPict="0">
                <anchor moveWithCells="1" sizeWithCells="1">
                  <from>
                    <xdr:col>8</xdr:col>
                    <xdr:colOff>7620</xdr:colOff>
                    <xdr:row>58</xdr:row>
                    <xdr:rowOff>7620</xdr:rowOff>
                  </from>
                  <to>
                    <xdr:col>9</xdr:col>
                    <xdr:colOff>0</xdr:colOff>
                    <xdr:row>59</xdr:row>
                    <xdr:rowOff>99060</xdr:rowOff>
                  </to>
                </anchor>
              </controlPr>
            </control>
          </mc:Choice>
        </mc:AlternateContent>
        <mc:AlternateContent xmlns:mc="http://schemas.openxmlformats.org/markup-compatibility/2006">
          <mc:Choice Requires="x14">
            <control shapeId="1064" r:id="rId6" name="Drop Down 40">
              <controlPr defaultSize="0" autoLine="0" autoPict="0">
                <anchor moveWithCells="1">
                  <from>
                    <xdr:col>7</xdr:col>
                    <xdr:colOff>7620</xdr:colOff>
                    <xdr:row>11</xdr:row>
                    <xdr:rowOff>0</xdr:rowOff>
                  </from>
                  <to>
                    <xdr:col>9</xdr:col>
                    <xdr:colOff>7620</xdr:colOff>
                    <xdr:row>12</xdr:row>
                    <xdr:rowOff>106680</xdr:rowOff>
                  </to>
                </anchor>
              </controlPr>
            </control>
          </mc:Choice>
        </mc:AlternateContent>
        <mc:AlternateContent xmlns:mc="http://schemas.openxmlformats.org/markup-compatibility/2006">
          <mc:Choice Requires="x14">
            <control shapeId="1157" r:id="rId7" name="Drop Down 133">
              <controlPr defaultSize="0" autoLine="0" autoPict="0">
                <anchor moveWithCells="1">
                  <from>
                    <xdr:col>7</xdr:col>
                    <xdr:colOff>7620</xdr:colOff>
                    <xdr:row>9</xdr:row>
                    <xdr:rowOff>30480</xdr:rowOff>
                  </from>
                  <to>
                    <xdr:col>9</xdr:col>
                    <xdr:colOff>0</xdr:colOff>
                    <xdr:row>10</xdr:row>
                    <xdr:rowOff>68580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345BC91B-B706-4467-BDC9-AA2F120BCEF3}">
            <xm:f>Variable_Management!$B$23=0</xm:f>
            <x14:dxf>
              <border>
                <left/>
                <right/>
                <top/>
                <bottom/>
                <vertical/>
                <horizontal/>
              </border>
            </x14:dxf>
          </x14:cfRule>
          <xm:sqref>A30:C35</xm:sqref>
        </x14:conditionalFormatting>
        <x14:conditionalFormatting xmlns:xm="http://schemas.microsoft.com/office/excel/2006/main">
          <x14:cfRule type="expression" priority="9" id="{CF5C59F3-9578-4F3D-8CFA-89B0A81DA010}">
            <xm:f>Variable_Management!$B$23=0</xm:f>
            <x14:dxf>
              <font>
                <color theme="0"/>
              </font>
              <fill>
                <patternFill>
                  <bgColor theme="0"/>
                </patternFill>
              </fill>
              <border>
                <left style="thin">
                  <color theme="0"/>
                </left>
                <right style="thin">
                  <color theme="0"/>
                </right>
                <top style="thin">
                  <color theme="0"/>
                </top>
                <bottom style="thin">
                  <color theme="0"/>
                </bottom>
                <vertical/>
                <horizontal/>
              </border>
            </x14:dxf>
          </x14:cfRule>
          <xm:sqref>A105:I107</xm:sqref>
        </x14:conditionalFormatting>
        <x14:conditionalFormatting xmlns:xm="http://schemas.microsoft.com/office/excel/2006/main">
          <x14:cfRule type="expression" priority="8" id="{A0AC3576-B134-405E-A248-7E1B49921D90}">
            <xm:f>Variable_Management!$B$32=0</xm:f>
            <x14:dxf>
              <font>
                <color theme="0"/>
              </font>
              <fill>
                <patternFill>
                  <bgColor theme="0"/>
                </patternFill>
              </fill>
              <border>
                <left style="hair">
                  <color theme="0"/>
                </left>
                <right style="hair">
                  <color theme="0"/>
                </right>
                <top style="hair">
                  <color theme="0"/>
                </top>
                <bottom style="hair">
                  <color theme="0"/>
                </bottom>
                <vertical/>
                <horizontal/>
              </border>
            </x14:dxf>
          </x14:cfRule>
          <xm:sqref>A109:I111</xm:sqref>
        </x14:conditionalFormatting>
        <x14:conditionalFormatting xmlns:xm="http://schemas.microsoft.com/office/excel/2006/main">
          <x14:cfRule type="expression" priority="21" id="{76EB9617-E5DB-468F-B8A0-DF3F0F41DE32}">
            <xm:f>Variable_Management!$B$175=1</xm:f>
            <x14:dxf>
              <font>
                <strike/>
              </font>
              <fill>
                <patternFill>
                  <bgColor theme="0" tint="-0.24994659260841701"/>
                </patternFill>
              </fill>
            </x14:dxf>
          </x14:cfRule>
          <xm:sqref>H47:H49</xm:sqref>
        </x14:conditionalFormatting>
        <x14:conditionalFormatting xmlns:xm="http://schemas.microsoft.com/office/excel/2006/main">
          <x14:cfRule type="expression" priority="32" id="{AC968A9C-58F4-4EB9-B20E-EEB4BEC63EEA}">
            <xm:f>Variable_Management!$B$175=2</xm:f>
            <x14:dxf>
              <font>
                <strike/>
              </font>
              <fill>
                <patternFill>
                  <bgColor theme="0" tint="-0.24994659260841701"/>
                </patternFill>
              </fill>
            </x14:dxf>
          </x14:cfRule>
          <xm:sqref>H62</xm:sqref>
        </x14:conditionalFormatting>
        <x14:conditionalFormatting xmlns:xm="http://schemas.microsoft.com/office/excel/2006/main">
          <x14:cfRule type="expression" priority="31" id="{6AEF7AEB-8233-47F6-AF37-19EB8376E645}">
            <xm:f>Variable_Management!$B$175=2</xm:f>
            <x14:dxf>
              <font>
                <strike/>
              </font>
              <fill>
                <patternFill>
                  <bgColor theme="0" tint="-0.24994659260841701"/>
                </patternFill>
              </fill>
            </x14:dxf>
          </x14:cfRule>
          <xm:sqref>H68:H72</xm:sqref>
        </x14:conditionalFormatting>
        <x14:conditionalFormatting xmlns:xm="http://schemas.microsoft.com/office/excel/2006/main">
          <x14:cfRule type="expression" priority="28" id="{E825D698-3E97-4429-BCA3-4B674CCA2086}">
            <xm:f>Variable_Management!$B$175=2</xm:f>
            <x14:dxf>
              <font>
                <strike/>
              </font>
              <fill>
                <patternFill>
                  <bgColor theme="0" tint="-0.24994659260841701"/>
                </patternFill>
              </fill>
            </x14:dxf>
          </x14:cfRule>
          <xm:sqref>H75:H79</xm:sqref>
        </x14:conditionalFormatting>
        <x14:conditionalFormatting xmlns:xm="http://schemas.microsoft.com/office/excel/2006/main">
          <x14:cfRule type="expression" priority="29" id="{E6F4B62A-2486-4776-951C-54AB970AD7E6}">
            <xm:f>Variable_Management!$B$175=1</xm:f>
            <x14:dxf>
              <font>
                <strike/>
              </font>
              <fill>
                <patternFill>
                  <bgColor theme="0" tint="-0.24994659260841701"/>
                </patternFill>
              </fill>
            </x14:dxf>
          </x14:cfRule>
          <xm:sqref>H88</xm:sqref>
        </x14:conditionalFormatting>
        <x14:conditionalFormatting xmlns:xm="http://schemas.microsoft.com/office/excel/2006/main">
          <x14:cfRule type="expression" priority="23" id="{BDFF76D6-2BAE-460D-B594-665CE6C8F926}">
            <xm:f>Variable_Management!$B$23=0</xm:f>
            <x14:dxf>
              <font>
                <strike val="0"/>
                <color theme="0"/>
              </font>
              <fill>
                <patternFill>
                  <bgColor theme="0"/>
                </patternFill>
              </fill>
              <border>
                <left/>
                <right/>
                <top/>
                <bottom/>
                <vertical/>
                <horizontal/>
              </border>
            </x14:dxf>
          </x14:cfRule>
          <xm:sqref>K38:O38 L39:O39 K40:O43</xm:sqref>
        </x14:conditionalFormatting>
        <x14:conditionalFormatting xmlns:xm="http://schemas.microsoft.com/office/excel/2006/main">
          <x14:cfRule type="expression" priority="27" id="{26B2D2DD-EEF0-4676-9BB3-C4CF725A354D}">
            <xm:f>Variable_Management!$B$23=0</xm:f>
            <x14:dxf>
              <font>
                <strike val="0"/>
                <color theme="0"/>
              </font>
              <fill>
                <patternFill>
                  <bgColor theme="0"/>
                </patternFill>
              </fill>
              <border>
                <left/>
                <right/>
                <top/>
                <bottom/>
                <vertical/>
                <horizontal/>
              </border>
            </x14:dxf>
          </x14:cfRule>
          <xm:sqref>L13:O19</xm:sqref>
        </x14:conditionalFormatting>
        <x14:conditionalFormatting xmlns:xm="http://schemas.microsoft.com/office/excel/2006/main">
          <x14:cfRule type="expression" priority="26" id="{D8EED069-6203-4DCF-8C46-3C5EE8B9DF10}">
            <xm:f>Variable_Management!$B$32=0</xm:f>
            <x14:dxf>
              <font>
                <strike val="0"/>
                <color theme="0"/>
              </font>
              <fill>
                <patternFill>
                  <bgColor theme="0"/>
                </patternFill>
              </fill>
              <border>
                <left/>
                <right/>
                <top/>
                <bottom/>
                <vertical/>
                <horizontal/>
              </border>
            </x14:dxf>
          </x14:cfRule>
          <xm:sqref>L21:O28</xm:sqref>
        </x14:conditionalFormatting>
        <x14:conditionalFormatting xmlns:xm="http://schemas.microsoft.com/office/excel/2006/main">
          <x14:cfRule type="expression" priority="22" id="{0A150974-020D-4E5A-BC65-8908D4CB4565}">
            <xm:f>Variable_Management!$B$32=0</xm:f>
            <x14:dxf>
              <font>
                <strike val="0"/>
                <color theme="0"/>
              </font>
              <fill>
                <patternFill>
                  <bgColor theme="0"/>
                </patternFill>
              </fill>
              <border>
                <left/>
                <right/>
                <top/>
                <bottom/>
                <vertical/>
                <horizontal/>
              </border>
            </x14:dxf>
          </x14:cfRule>
          <xm:sqref>Q38:W38 R39:W39 Q40:W43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I5"/>
  <sheetViews>
    <sheetView topLeftCell="A4" zoomScale="85" zoomScaleNormal="85" workbookViewId="0">
      <selection activeCell="N4" sqref="N4"/>
    </sheetView>
  </sheetViews>
  <sheetFormatPr defaultColWidth="8.88671875" defaultRowHeight="14.4" x14ac:dyDescent="0.3"/>
  <cols>
    <col min="1" max="1" width="8.88671875" style="169"/>
    <col min="2" max="2" width="154.44140625" style="169" customWidth="1"/>
    <col min="3" max="16384" width="8.88671875" style="169"/>
  </cols>
  <sheetData>
    <row r="2" spans="1:9" x14ac:dyDescent="0.3">
      <c r="A2" s="169" t="str">
        <f>IF(FB_type=1,"LOOP_ISO","LOOP_nISO")</f>
        <v>LOOP_ISO</v>
      </c>
    </row>
    <row r="3" spans="1:9" ht="377.25" customHeight="1" x14ac:dyDescent="0.3">
      <c r="D3" s="169" t="s">
        <v>652</v>
      </c>
    </row>
    <row r="4" spans="1:9" ht="333" customHeight="1" x14ac:dyDescent="0.3">
      <c r="D4" s="169" t="s">
        <v>651</v>
      </c>
    </row>
    <row r="5" spans="1:9" ht="409.2" customHeight="1" x14ac:dyDescent="0.3">
      <c r="I5" s="169">
        <f>LoopLookup</f>
        <v>0</v>
      </c>
    </row>
  </sheetData>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zoomScale="70" zoomScaleNormal="70" workbookViewId="0">
      <selection activeCell="F4" sqref="F4"/>
    </sheetView>
  </sheetViews>
  <sheetFormatPr defaultColWidth="9.33203125" defaultRowHeight="14.4" x14ac:dyDescent="0.3"/>
  <cols>
    <col min="1" max="1" width="8.6640625" style="186" customWidth="1"/>
    <col min="2" max="2" width="101.5546875" style="186" customWidth="1"/>
    <col min="3" max="3" width="9.33203125" style="186"/>
    <col min="4" max="4" width="101.44140625" style="186" customWidth="1"/>
    <col min="5" max="5" width="9.33203125" style="186"/>
    <col min="6" max="6" width="101.44140625" style="186" customWidth="1"/>
    <col min="7" max="16384" width="9.33203125" style="186"/>
  </cols>
  <sheetData>
    <row r="1" spans="1:7" x14ac:dyDescent="0.3">
      <c r="A1" s="192" t="str">
        <f>IF(FB_type=1,CHOOSE(Variable_Management!B13,"sch_ISO_1","sch_ISO_2","sch_ISO_3"),CHOOSE(Variable_Management!B13,"sch_nISO_1","sch_nISO_2","sch_nISO_3"))</f>
        <v>sch_ISO_1</v>
      </c>
      <c r="B1" s="192"/>
      <c r="C1" s="192"/>
      <c r="D1" s="192"/>
      <c r="E1" s="192"/>
      <c r="F1" s="192"/>
      <c r="G1" s="190"/>
    </row>
    <row r="2" spans="1:7" x14ac:dyDescent="0.3">
      <c r="G2" s="190"/>
    </row>
    <row r="3" spans="1:7" ht="15.6" customHeight="1" x14ac:dyDescent="0.3">
      <c r="G3" s="190"/>
    </row>
    <row r="4" spans="1:7" ht="392.25" customHeight="1" x14ac:dyDescent="0.3">
      <c r="G4" s="190"/>
    </row>
    <row r="5" spans="1:7" x14ac:dyDescent="0.3">
      <c r="G5" s="190"/>
    </row>
    <row r="6" spans="1:7" ht="392.25" customHeight="1" x14ac:dyDescent="0.3">
      <c r="G6" s="190"/>
    </row>
    <row r="7" spans="1:7" x14ac:dyDescent="0.3">
      <c r="A7" s="191"/>
      <c r="B7" s="191"/>
      <c r="C7" s="191"/>
      <c r="D7" s="191"/>
      <c r="E7" s="191"/>
      <c r="F7" s="191"/>
    </row>
    <row r="8" spans="1:7" ht="321" customHeight="1"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21505" r:id="rId4">
          <objectPr defaultSize="0" r:id="rId5">
            <anchor moveWithCells="1">
              <from>
                <xdr:col>5</xdr:col>
                <xdr:colOff>0</xdr:colOff>
                <xdr:row>5</xdr:row>
                <xdr:rowOff>0</xdr:rowOff>
              </from>
              <to>
                <xdr:col>5</xdr:col>
                <xdr:colOff>6713220</xdr:colOff>
                <xdr:row>5</xdr:row>
                <xdr:rowOff>4732020</xdr:rowOff>
              </to>
            </anchor>
          </objectPr>
        </oleObject>
      </mc:Choice>
      <mc:Fallback>
        <oleObject progId="Visio.Drawing.15" shapeId="21505" r:id="rId4"/>
      </mc:Fallback>
    </mc:AlternateContent>
    <mc:AlternateContent xmlns:mc="http://schemas.openxmlformats.org/markup-compatibility/2006">
      <mc:Choice Requires="x14">
        <oleObject progId="Visio.Drawing.15" shapeId="21506" r:id="rId6">
          <objectPr defaultSize="0" r:id="rId7">
            <anchor moveWithCells="1">
              <from>
                <xdr:col>3</xdr:col>
                <xdr:colOff>0</xdr:colOff>
                <xdr:row>5</xdr:row>
                <xdr:rowOff>0</xdr:rowOff>
              </from>
              <to>
                <xdr:col>3</xdr:col>
                <xdr:colOff>6713220</xdr:colOff>
                <xdr:row>5</xdr:row>
                <xdr:rowOff>4732020</xdr:rowOff>
              </to>
            </anchor>
          </objectPr>
        </oleObject>
      </mc:Choice>
      <mc:Fallback>
        <oleObject progId="Visio.Drawing.15" shapeId="21506" r:id="rId6"/>
      </mc:Fallback>
    </mc:AlternateContent>
    <mc:AlternateContent xmlns:mc="http://schemas.openxmlformats.org/markup-compatibility/2006">
      <mc:Choice Requires="x14">
        <oleObject progId="Visio.Drawing.15" shapeId="21507" r:id="rId8">
          <objectPr defaultSize="0" r:id="rId9">
            <anchor moveWithCells="1">
              <from>
                <xdr:col>1</xdr:col>
                <xdr:colOff>0</xdr:colOff>
                <xdr:row>5</xdr:row>
                <xdr:rowOff>0</xdr:rowOff>
              </from>
              <to>
                <xdr:col>1</xdr:col>
                <xdr:colOff>6713220</xdr:colOff>
                <xdr:row>5</xdr:row>
                <xdr:rowOff>4732020</xdr:rowOff>
              </to>
            </anchor>
          </objectPr>
        </oleObject>
      </mc:Choice>
      <mc:Fallback>
        <oleObject progId="Visio.Drawing.15" shapeId="21507" r:id="rId8"/>
      </mc:Fallback>
    </mc:AlternateContent>
    <mc:AlternateContent xmlns:mc="http://schemas.openxmlformats.org/markup-compatibility/2006">
      <mc:Choice Requires="x14">
        <oleObject progId="Visio.Drawing.15" shapeId="21508" r:id="rId10">
          <objectPr defaultSize="0" r:id="rId11">
            <anchor moveWithCells="1">
              <from>
                <xdr:col>1</xdr:col>
                <xdr:colOff>0</xdr:colOff>
                <xdr:row>3</xdr:row>
                <xdr:rowOff>0</xdr:rowOff>
              </from>
              <to>
                <xdr:col>1</xdr:col>
                <xdr:colOff>6469380</xdr:colOff>
                <xdr:row>3</xdr:row>
                <xdr:rowOff>4442460</xdr:rowOff>
              </to>
            </anchor>
          </objectPr>
        </oleObject>
      </mc:Choice>
      <mc:Fallback>
        <oleObject progId="Visio.Drawing.15" shapeId="21508" r:id="rId10"/>
      </mc:Fallback>
    </mc:AlternateContent>
    <mc:AlternateContent xmlns:mc="http://schemas.openxmlformats.org/markup-compatibility/2006">
      <mc:Choice Requires="x14">
        <oleObject progId="Visio.Drawing.15" shapeId="21509" r:id="rId12">
          <objectPr defaultSize="0" r:id="rId13">
            <anchor moveWithCells="1">
              <from>
                <xdr:col>3</xdr:col>
                <xdr:colOff>0</xdr:colOff>
                <xdr:row>3</xdr:row>
                <xdr:rowOff>0</xdr:rowOff>
              </from>
              <to>
                <xdr:col>3</xdr:col>
                <xdr:colOff>6469380</xdr:colOff>
                <xdr:row>3</xdr:row>
                <xdr:rowOff>4442460</xdr:rowOff>
              </to>
            </anchor>
          </objectPr>
        </oleObject>
      </mc:Choice>
      <mc:Fallback>
        <oleObject progId="Visio.Drawing.15" shapeId="21509" r:id="rId12"/>
      </mc:Fallback>
    </mc:AlternateContent>
    <mc:AlternateContent xmlns:mc="http://schemas.openxmlformats.org/markup-compatibility/2006">
      <mc:Choice Requires="x14">
        <oleObject progId="Visio.Drawing.15" shapeId="21510" r:id="rId14">
          <objectPr defaultSize="0" r:id="rId15">
            <anchor moveWithCells="1">
              <from>
                <xdr:col>5</xdr:col>
                <xdr:colOff>0</xdr:colOff>
                <xdr:row>3</xdr:row>
                <xdr:rowOff>0</xdr:rowOff>
              </from>
              <to>
                <xdr:col>5</xdr:col>
                <xdr:colOff>6469380</xdr:colOff>
                <xdr:row>3</xdr:row>
                <xdr:rowOff>4442460</xdr:rowOff>
              </to>
            </anchor>
          </objectPr>
        </oleObject>
      </mc:Choice>
      <mc:Fallback>
        <oleObject progId="Visio.Drawing.15" shapeId="21510"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EDD9D-BD85-44F4-BFAD-FB85DFAB2BF5}">
  <dimension ref="A1:AM47"/>
  <sheetViews>
    <sheetView workbookViewId="0">
      <selection activeCell="B44" sqref="B44"/>
    </sheetView>
  </sheetViews>
  <sheetFormatPr defaultColWidth="9.109375" defaultRowHeight="13.8" x14ac:dyDescent="0.25"/>
  <cols>
    <col min="1" max="1" width="25.6640625" style="210" bestFit="1" customWidth="1"/>
    <col min="2" max="2" width="56.5546875" style="211" customWidth="1"/>
    <col min="3" max="11" width="9.109375" style="203"/>
    <col min="12" max="12" width="20.44140625" style="203" customWidth="1"/>
    <col min="13" max="16384" width="9.109375" style="203"/>
  </cols>
  <sheetData>
    <row r="1" spans="1:12" x14ac:dyDescent="0.25">
      <c r="A1" s="220"/>
      <c r="B1" s="220"/>
      <c r="C1" s="220"/>
      <c r="D1" s="220"/>
      <c r="E1" s="220"/>
      <c r="F1" s="220"/>
      <c r="G1" s="220"/>
      <c r="H1" s="220"/>
      <c r="I1" s="220"/>
      <c r="J1" s="220"/>
      <c r="K1" s="220"/>
      <c r="L1" s="220"/>
    </row>
    <row r="2" spans="1:12" x14ac:dyDescent="0.25">
      <c r="A2" s="220"/>
      <c r="B2" s="220"/>
      <c r="C2" s="220"/>
      <c r="D2" s="220"/>
      <c r="E2" s="220"/>
      <c r="F2" s="220"/>
      <c r="G2" s="220"/>
      <c r="H2" s="220"/>
      <c r="I2" s="220"/>
      <c r="J2" s="220"/>
      <c r="K2" s="220"/>
      <c r="L2" s="220"/>
    </row>
    <row r="3" spans="1:12" x14ac:dyDescent="0.25">
      <c r="A3" s="220"/>
      <c r="B3" s="220"/>
      <c r="C3" s="220"/>
      <c r="D3" s="220"/>
      <c r="E3" s="220"/>
      <c r="F3" s="220"/>
      <c r="G3" s="220"/>
      <c r="H3" s="220"/>
      <c r="I3" s="220"/>
      <c r="J3" s="220"/>
      <c r="K3" s="220"/>
      <c r="L3" s="220"/>
    </row>
    <row r="4" spans="1:12" x14ac:dyDescent="0.25">
      <c r="A4" s="221"/>
      <c r="B4" s="221"/>
      <c r="C4" s="221"/>
      <c r="D4" s="221"/>
      <c r="E4" s="221"/>
      <c r="F4" s="221"/>
      <c r="G4" s="221"/>
      <c r="H4" s="221"/>
      <c r="I4" s="221"/>
      <c r="J4" s="221"/>
      <c r="K4" s="221"/>
      <c r="L4" s="221"/>
    </row>
    <row r="5" spans="1:12" x14ac:dyDescent="0.25">
      <c r="A5" s="204" t="s">
        <v>699</v>
      </c>
      <c r="B5" s="205" t="s">
        <v>705</v>
      </c>
      <c r="C5" s="206"/>
      <c r="D5" s="206"/>
      <c r="E5" s="206"/>
      <c r="F5" s="206"/>
      <c r="G5" s="206"/>
      <c r="H5" s="206"/>
      <c r="I5" s="206"/>
      <c r="J5" s="206"/>
      <c r="K5" s="207"/>
      <c r="L5" s="208"/>
    </row>
    <row r="6" spans="1:12" x14ac:dyDescent="0.25">
      <c r="A6" s="204"/>
      <c r="B6" s="209"/>
      <c r="C6" s="206"/>
      <c r="D6" s="206"/>
      <c r="E6" s="206"/>
      <c r="F6" s="206"/>
      <c r="G6" s="206"/>
      <c r="H6" s="206"/>
      <c r="I6" s="206"/>
      <c r="J6" s="208"/>
      <c r="K6" s="208"/>
      <c r="L6" s="208"/>
    </row>
    <row r="35" spans="1:39" x14ac:dyDescent="0.25">
      <c r="A35" s="212" t="s">
        <v>700</v>
      </c>
      <c r="B35" s="213"/>
      <c r="C35" s="206"/>
      <c r="D35" s="206"/>
      <c r="E35" s="206"/>
      <c r="F35" s="206"/>
      <c r="G35" s="206"/>
      <c r="H35" s="206"/>
      <c r="I35" s="206"/>
      <c r="J35" s="206"/>
      <c r="K35" s="206"/>
    </row>
    <row r="36" spans="1:39" x14ac:dyDescent="0.25">
      <c r="A36" s="214" t="s">
        <v>701</v>
      </c>
      <c r="B36" s="222" t="s">
        <v>702</v>
      </c>
      <c r="C36" s="222"/>
      <c r="D36" s="222"/>
      <c r="E36" s="222"/>
      <c r="F36" s="222"/>
      <c r="G36" s="222"/>
      <c r="H36" s="222"/>
      <c r="I36" s="222"/>
      <c r="J36" s="222"/>
      <c r="K36" s="222"/>
    </row>
    <row r="37" spans="1:39" x14ac:dyDescent="0.25">
      <c r="A37" s="212" t="s">
        <v>703</v>
      </c>
      <c r="B37" s="223" t="s">
        <v>704</v>
      </c>
      <c r="C37" s="223"/>
      <c r="D37" s="223"/>
      <c r="E37" s="223"/>
      <c r="F37" s="223"/>
      <c r="G37" s="223"/>
      <c r="H37" s="223"/>
      <c r="I37" s="223"/>
      <c r="J37" s="223"/>
      <c r="K37" s="223"/>
    </row>
    <row r="38" spans="1:39" ht="14.25" customHeight="1" x14ac:dyDescent="0.25">
      <c r="A38" s="215" t="s">
        <v>705</v>
      </c>
      <c r="B38" s="224" t="s">
        <v>709</v>
      </c>
      <c r="C38" s="224"/>
      <c r="D38" s="224"/>
      <c r="E38" s="224"/>
      <c r="F38" s="224"/>
      <c r="G38" s="224"/>
      <c r="H38" s="224"/>
      <c r="I38" s="224"/>
      <c r="J38" s="224"/>
      <c r="K38" s="224"/>
    </row>
    <row r="39" spans="1:39" ht="14.25" customHeight="1" x14ac:dyDescent="0.25">
      <c r="A39" s="215"/>
      <c r="B39" s="216"/>
      <c r="C39" s="216"/>
      <c r="D39" s="216"/>
      <c r="E39" s="216"/>
      <c r="F39" s="216"/>
      <c r="G39" s="216"/>
      <c r="H39" s="216"/>
      <c r="I39" s="216"/>
      <c r="J39" s="216"/>
      <c r="K39" s="216"/>
    </row>
    <row r="40" spans="1:39" ht="14.25" customHeight="1" x14ac:dyDescent="0.25">
      <c r="A40" s="215"/>
      <c r="B40" s="216"/>
      <c r="C40" s="216"/>
      <c r="D40" s="216"/>
      <c r="E40" s="216"/>
      <c r="F40" s="216"/>
      <c r="G40" s="216"/>
      <c r="H40" s="216"/>
      <c r="I40" s="216"/>
      <c r="J40" s="216"/>
      <c r="K40" s="216"/>
    </row>
    <row r="41" spans="1:39" ht="14.25" customHeight="1" x14ac:dyDescent="0.25">
      <c r="A41" s="215"/>
      <c r="B41" s="216"/>
      <c r="C41" s="216"/>
      <c r="D41" s="216"/>
      <c r="E41" s="216"/>
      <c r="F41" s="216"/>
      <c r="G41" s="216"/>
      <c r="H41" s="216"/>
      <c r="I41" s="216"/>
      <c r="J41" s="216"/>
      <c r="K41" s="216"/>
    </row>
    <row r="42" spans="1:39" x14ac:dyDescent="0.25">
      <c r="A42" s="215"/>
      <c r="B42" s="216"/>
      <c r="C42" s="216"/>
      <c r="D42" s="216"/>
      <c r="E42" s="216"/>
      <c r="F42" s="216"/>
      <c r="G42" s="216"/>
      <c r="H42" s="216"/>
      <c r="I42" s="216"/>
      <c r="J42" s="216"/>
      <c r="K42" s="216"/>
    </row>
    <row r="43" spans="1:39" x14ac:dyDescent="0.25">
      <c r="A43" s="215"/>
      <c r="B43" s="216"/>
      <c r="C43" s="216"/>
      <c r="D43" s="216"/>
      <c r="E43" s="216"/>
      <c r="F43" s="216"/>
      <c r="G43" s="216"/>
      <c r="H43" s="216"/>
      <c r="I43" s="216"/>
      <c r="J43" s="216"/>
      <c r="K43" s="216"/>
    </row>
    <row r="44" spans="1:39" x14ac:dyDescent="0.25">
      <c r="A44" s="215"/>
      <c r="B44" s="216"/>
      <c r="C44" s="216"/>
      <c r="D44" s="216"/>
      <c r="E44" s="216"/>
      <c r="F44" s="216"/>
      <c r="G44" s="216"/>
      <c r="H44" s="216"/>
      <c r="I44" s="216"/>
      <c r="J44" s="216"/>
      <c r="K44" s="216"/>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row>
    <row r="45" spans="1:39" x14ac:dyDescent="0.25">
      <c r="A45" s="215"/>
      <c r="B45" s="216"/>
      <c r="C45" s="216"/>
      <c r="D45" s="216"/>
      <c r="E45" s="216"/>
      <c r="F45" s="216"/>
      <c r="G45" s="216"/>
      <c r="H45" s="216"/>
      <c r="I45" s="216"/>
      <c r="J45" s="216"/>
      <c r="K45" s="216"/>
    </row>
    <row r="46" spans="1:39" x14ac:dyDescent="0.25">
      <c r="A46" s="215"/>
      <c r="B46" s="216"/>
      <c r="C46" s="216"/>
      <c r="D46" s="216"/>
      <c r="E46" s="216"/>
      <c r="F46" s="216"/>
      <c r="G46" s="216"/>
      <c r="H46" s="216"/>
      <c r="I46" s="216"/>
      <c r="J46" s="216"/>
      <c r="K46" s="216"/>
    </row>
    <row r="47" spans="1:39" x14ac:dyDescent="0.25">
      <c r="A47" s="215"/>
      <c r="B47" s="216"/>
    </row>
  </sheetData>
  <sheetProtection algorithmName="SHA-512" hashValue="pGdbCThgpWqej0wxCecYapFZLhpYHKMNt9TBkC2sDwQs4AW+aZI2TC6/wMVKyNUhv4RRKKIytOzpWvvQrpNJ+A==" saltValue="mgQPQddrEI3kdVcxrY0Lqg==" spinCount="100000" sheet="1" objects="1" scenarios="1" selectLockedCells="1" selectUnlockedCells="1"/>
  <mergeCells count="5">
    <mergeCell ref="A1:L3"/>
    <mergeCell ref="A4:L4"/>
    <mergeCell ref="B36:K36"/>
    <mergeCell ref="B37:K37"/>
    <mergeCell ref="B38:K3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91"/>
  <sheetViews>
    <sheetView zoomScale="85" zoomScaleNormal="85" workbookViewId="0">
      <pane ySplit="5" topLeftCell="A135" activePane="bottomLeft" state="frozen"/>
      <selection pane="bottomLeft" activeCell="B175" sqref="B175"/>
    </sheetView>
  </sheetViews>
  <sheetFormatPr defaultRowHeight="14.4" x14ac:dyDescent="0.3"/>
  <cols>
    <col min="1" max="1" width="28.88671875" customWidth="1"/>
    <col min="2" max="2" width="19.5546875" customWidth="1"/>
    <col min="3" max="3" width="10.88671875" customWidth="1"/>
    <col min="4" max="4" width="10" bestFit="1" customWidth="1"/>
    <col min="5" max="5" width="18.6640625" customWidth="1"/>
    <col min="6" max="6" width="14.6640625" customWidth="1"/>
    <col min="7" max="7" width="15.109375" customWidth="1"/>
    <col min="8" max="9" width="12.5546875" customWidth="1"/>
    <col min="12" max="12" width="10.33203125" bestFit="1" customWidth="1"/>
  </cols>
  <sheetData>
    <row r="1" spans="1:17" ht="28.2" x14ac:dyDescent="0.5">
      <c r="A1" s="225" t="s">
        <v>16</v>
      </c>
      <c r="B1" s="225"/>
      <c r="C1" s="225"/>
      <c r="D1" s="225"/>
      <c r="E1" s="225"/>
      <c r="F1" s="225"/>
      <c r="G1" s="225"/>
      <c r="H1" s="225"/>
      <c r="I1" s="225"/>
      <c r="J1" s="225"/>
    </row>
    <row r="2" spans="1:17" x14ac:dyDescent="0.3">
      <c r="A2" s="5"/>
      <c r="B2" s="5" t="s">
        <v>17</v>
      </c>
      <c r="C2" s="6"/>
      <c r="D2" s="4"/>
      <c r="E2" s="5"/>
      <c r="F2" s="5"/>
      <c r="G2" s="5"/>
      <c r="H2" s="5"/>
      <c r="I2" s="5"/>
      <c r="J2" s="5"/>
    </row>
    <row r="3" spans="1:17" x14ac:dyDescent="0.3">
      <c r="A3" s="5"/>
      <c r="B3" s="5" t="s">
        <v>18</v>
      </c>
      <c r="C3" s="147"/>
      <c r="D3" s="4"/>
      <c r="E3" s="5"/>
      <c r="F3" s="14" t="s">
        <v>657</v>
      </c>
      <c r="G3" s="15" t="s">
        <v>56</v>
      </c>
      <c r="H3" s="25" t="s">
        <v>59</v>
      </c>
      <c r="I3" s="5"/>
      <c r="J3" s="5"/>
    </row>
    <row r="4" spans="1:17" x14ac:dyDescent="0.3">
      <c r="A4" s="5"/>
      <c r="B4" s="5" t="s">
        <v>19</v>
      </c>
      <c r="C4" s="7"/>
      <c r="D4" s="4"/>
      <c r="E4" s="5"/>
      <c r="F4" s="14" t="s">
        <v>655</v>
      </c>
      <c r="G4" s="5" t="s">
        <v>656</v>
      </c>
      <c r="H4" s="5"/>
      <c r="I4" s="5"/>
      <c r="J4" s="5"/>
      <c r="O4" t="s">
        <v>654</v>
      </c>
    </row>
    <row r="5" spans="1:17" x14ac:dyDescent="0.3">
      <c r="A5" s="8" t="s">
        <v>20</v>
      </c>
      <c r="B5" s="8" t="s">
        <v>21</v>
      </c>
      <c r="C5" s="8" t="s">
        <v>22</v>
      </c>
      <c r="D5" s="4"/>
      <c r="E5" s="226" t="s">
        <v>23</v>
      </c>
      <c r="F5" s="226"/>
      <c r="G5" s="226"/>
      <c r="H5" s="226"/>
      <c r="I5" s="5"/>
      <c r="J5" s="8" t="s">
        <v>24</v>
      </c>
      <c r="K5" s="8" t="s">
        <v>63</v>
      </c>
      <c r="L5" s="4"/>
      <c r="M5" s="4"/>
      <c r="N5" s="4"/>
      <c r="O5" s="4">
        <v>20200226</v>
      </c>
      <c r="P5" s="4"/>
      <c r="Q5" s="4"/>
    </row>
    <row r="6" spans="1:17" ht="15.6" x14ac:dyDescent="0.3">
      <c r="A6" s="10" t="s">
        <v>25</v>
      </c>
      <c r="B6" s="8"/>
      <c r="C6" s="8"/>
      <c r="D6" s="8"/>
      <c r="E6" s="5"/>
      <c r="F6" s="5"/>
      <c r="G6" s="5"/>
      <c r="H6" s="5"/>
      <c r="I6" s="5"/>
      <c r="J6" s="8"/>
      <c r="K6" s="4"/>
      <c r="L6" s="4"/>
      <c r="M6" s="4"/>
      <c r="N6" s="4"/>
      <c r="O6" s="4"/>
      <c r="P6" s="4"/>
      <c r="Q6" s="4"/>
    </row>
    <row r="7" spans="1:17" x14ac:dyDescent="0.3">
      <c r="A7" t="s">
        <v>26</v>
      </c>
      <c r="B7" s="3">
        <f>'Design Converter'!H7</f>
        <v>45</v>
      </c>
      <c r="C7" t="s">
        <v>11</v>
      </c>
      <c r="E7" t="s">
        <v>29</v>
      </c>
    </row>
    <row r="8" spans="1:17" x14ac:dyDescent="0.3">
      <c r="A8" t="s">
        <v>27</v>
      </c>
      <c r="B8" s="3">
        <f>'Design Converter'!H8</f>
        <v>50</v>
      </c>
      <c r="C8" t="s">
        <v>11</v>
      </c>
      <c r="E8" t="s">
        <v>30</v>
      </c>
      <c r="K8">
        <f>IF(VIN_min&lt;VIN_min,1,IF(VIN_nom&gt;VIN_max,1,0))</f>
        <v>0</v>
      </c>
    </row>
    <row r="9" spans="1:17" x14ac:dyDescent="0.3">
      <c r="A9" t="s">
        <v>28</v>
      </c>
      <c r="B9" s="3">
        <f>'Design Converter'!H9</f>
        <v>55</v>
      </c>
      <c r="C9" t="s">
        <v>11</v>
      </c>
      <c r="E9" t="s">
        <v>31</v>
      </c>
    </row>
    <row r="10" spans="1:17" x14ac:dyDescent="0.3">
      <c r="A10" t="s">
        <v>60</v>
      </c>
      <c r="B10" s="3">
        <f>'Design Converter'!H14*1000</f>
        <v>250000</v>
      </c>
      <c r="C10" t="s">
        <v>61</v>
      </c>
      <c r="E10" t="s">
        <v>62</v>
      </c>
    </row>
    <row r="11" spans="1:17" x14ac:dyDescent="0.3">
      <c r="A11" t="s">
        <v>65</v>
      </c>
      <c r="B11" s="18">
        <f>((2.21*10^10)/Fsw)-955</f>
        <v>87445</v>
      </c>
      <c r="C11" s="2" t="s">
        <v>35</v>
      </c>
      <c r="E11" t="s">
        <v>66</v>
      </c>
    </row>
    <row r="13" spans="1:17" x14ac:dyDescent="0.3">
      <c r="A13" t="s">
        <v>634</v>
      </c>
      <c r="B13">
        <v>1</v>
      </c>
    </row>
    <row r="15" spans="1:17" x14ac:dyDescent="0.3">
      <c r="A15" t="s">
        <v>419</v>
      </c>
      <c r="B15" s="3">
        <f>ABS('Design Converter'!N7)</f>
        <v>150</v>
      </c>
      <c r="C15" t="s">
        <v>11</v>
      </c>
      <c r="E15" t="s">
        <v>437</v>
      </c>
    </row>
    <row r="16" spans="1:17" x14ac:dyDescent="0.3">
      <c r="A16" t="s">
        <v>420</v>
      </c>
      <c r="B16" s="3">
        <f>ABS('Design Converter'!N8)</f>
        <v>0.25</v>
      </c>
      <c r="C16" t="s">
        <v>12</v>
      </c>
      <c r="E16" t="s">
        <v>34</v>
      </c>
    </row>
    <row r="17" spans="1:5" x14ac:dyDescent="0.3">
      <c r="A17" t="s">
        <v>421</v>
      </c>
      <c r="B17" s="1">
        <f>VOUT1/IOUT1</f>
        <v>600</v>
      </c>
      <c r="C17" s="2" t="s">
        <v>35</v>
      </c>
      <c r="E17" t="s">
        <v>39</v>
      </c>
    </row>
    <row r="18" spans="1:5" x14ac:dyDescent="0.3">
      <c r="A18" t="s">
        <v>422</v>
      </c>
      <c r="B18" s="1">
        <f>VOUT1*IOUT1</f>
        <v>37.5</v>
      </c>
      <c r="C18" s="2" t="s">
        <v>36</v>
      </c>
      <c r="E18" t="s">
        <v>38</v>
      </c>
    </row>
    <row r="19" spans="1:5" x14ac:dyDescent="0.3">
      <c r="A19" t="s">
        <v>620</v>
      </c>
      <c r="B19" s="3">
        <f>'Design Converter'!H102/1000</f>
        <v>1.4</v>
      </c>
      <c r="C19" s="2" t="s">
        <v>11</v>
      </c>
    </row>
    <row r="20" spans="1:5" x14ac:dyDescent="0.3">
      <c r="A20" t="s">
        <v>621</v>
      </c>
      <c r="B20" s="3">
        <f>'Design Converter'!H103/(10^9)</f>
        <v>1E-8</v>
      </c>
      <c r="C20" s="2" t="s">
        <v>352</v>
      </c>
    </row>
    <row r="22" spans="1:5" x14ac:dyDescent="0.3">
      <c r="B22" t="b">
        <v>0</v>
      </c>
    </row>
    <row r="23" spans="1:5" x14ac:dyDescent="0.3">
      <c r="A23" t="s">
        <v>434</v>
      </c>
      <c r="B23">
        <f>CHOOSE(B13,0,1,1)</f>
        <v>0</v>
      </c>
      <c r="E23" t="s">
        <v>435</v>
      </c>
    </row>
    <row r="24" spans="1:5" x14ac:dyDescent="0.3">
      <c r="A24" t="s">
        <v>423</v>
      </c>
      <c r="B24" s="3">
        <f>IF($B$23=1,ABS('Design Converter'!N14),0)</f>
        <v>0</v>
      </c>
      <c r="C24" t="s">
        <v>11</v>
      </c>
      <c r="E24" t="s">
        <v>459</v>
      </c>
    </row>
    <row r="25" spans="1:5" x14ac:dyDescent="0.3">
      <c r="A25" t="s">
        <v>424</v>
      </c>
      <c r="B25" s="3">
        <f>IF($B$23=1,ABS('Design Converter'!N15),0)</f>
        <v>0</v>
      </c>
      <c r="C25" t="s">
        <v>12</v>
      </c>
      <c r="E25" t="s">
        <v>34</v>
      </c>
    </row>
    <row r="26" spans="1:5" x14ac:dyDescent="0.3">
      <c r="A26" t="s">
        <v>425</v>
      </c>
      <c r="B26" s="1">
        <f>IF($B$23=1,VOUT2/IOUT2,0)</f>
        <v>0</v>
      </c>
      <c r="C26" s="2" t="s">
        <v>35</v>
      </c>
      <c r="E26" t="s">
        <v>39</v>
      </c>
    </row>
    <row r="27" spans="1:5" x14ac:dyDescent="0.3">
      <c r="A27" t="s">
        <v>426</v>
      </c>
      <c r="B27" s="1">
        <f>VOUT2*IOUT2</f>
        <v>0</v>
      </c>
      <c r="C27" s="2" t="s">
        <v>36</v>
      </c>
      <c r="E27" t="s">
        <v>38</v>
      </c>
    </row>
    <row r="28" spans="1:5" x14ac:dyDescent="0.3">
      <c r="A28" t="s">
        <v>624</v>
      </c>
      <c r="B28" s="11">
        <f>IF($B$23=1,ABS('Design Converter'!H106/1000),0)</f>
        <v>0</v>
      </c>
      <c r="C28" s="2" t="s">
        <v>11</v>
      </c>
    </row>
    <row r="29" spans="1:5" x14ac:dyDescent="0.3">
      <c r="A29" t="s">
        <v>625</v>
      </c>
      <c r="B29" s="164">
        <f>IF($B$23=1,ABS('Design Converter'!H107*10^-9),0)</f>
        <v>0</v>
      </c>
      <c r="C29" t="s">
        <v>352</v>
      </c>
    </row>
    <row r="30" spans="1:5" x14ac:dyDescent="0.3">
      <c r="B30" s="35"/>
    </row>
    <row r="31" spans="1:5" x14ac:dyDescent="0.3">
      <c r="B31" s="35" t="b">
        <v>1</v>
      </c>
    </row>
    <row r="32" spans="1:5" x14ac:dyDescent="0.3">
      <c r="A32" t="s">
        <v>433</v>
      </c>
      <c r="B32">
        <f>CHOOSE(B13,0,0,1)</f>
        <v>0</v>
      </c>
      <c r="E32" t="s">
        <v>436</v>
      </c>
    </row>
    <row r="33" spans="1:5" x14ac:dyDescent="0.3">
      <c r="A33" t="s">
        <v>427</v>
      </c>
      <c r="B33" s="3">
        <f>IF($B$32=1,ABS('Design Converter'!N22),0)</f>
        <v>0</v>
      </c>
      <c r="C33" t="s">
        <v>11</v>
      </c>
      <c r="E33" t="s">
        <v>460</v>
      </c>
    </row>
    <row r="34" spans="1:5" x14ac:dyDescent="0.3">
      <c r="A34" t="s">
        <v>428</v>
      </c>
      <c r="B34" s="3">
        <f>IF($B$32=1,ABS('Design Converter'!N23),0)</f>
        <v>0</v>
      </c>
      <c r="C34" t="s">
        <v>12</v>
      </c>
      <c r="E34" t="s">
        <v>34</v>
      </c>
    </row>
    <row r="35" spans="1:5" x14ac:dyDescent="0.3">
      <c r="A35" t="s">
        <v>429</v>
      </c>
      <c r="B35" s="1">
        <f>IF(B32=1,VOUT3/IOUT3,0)</f>
        <v>0</v>
      </c>
      <c r="C35" s="2" t="s">
        <v>35</v>
      </c>
      <c r="E35" t="s">
        <v>39</v>
      </c>
    </row>
    <row r="36" spans="1:5" x14ac:dyDescent="0.3">
      <c r="A36" t="s">
        <v>430</v>
      </c>
      <c r="B36" s="1">
        <f>VOUT3*IOUT3</f>
        <v>0</v>
      </c>
      <c r="C36" s="2" t="s">
        <v>36</v>
      </c>
      <c r="E36" t="s">
        <v>38</v>
      </c>
    </row>
    <row r="37" spans="1:5" x14ac:dyDescent="0.3">
      <c r="A37" t="s">
        <v>622</v>
      </c>
      <c r="B37" s="3">
        <f>IF($B$32=1,ABS('Design Converter'!H110/1000),0)</f>
        <v>0</v>
      </c>
      <c r="C37" s="2" t="s">
        <v>11</v>
      </c>
    </row>
    <row r="38" spans="1:5" x14ac:dyDescent="0.3">
      <c r="A38" t="s">
        <v>623</v>
      </c>
      <c r="B38" s="172">
        <f>IF($B$32=1,ABS('Design Converter'!H111*10^-9),0)</f>
        <v>0</v>
      </c>
      <c r="C38" s="2" t="s">
        <v>352</v>
      </c>
    </row>
    <row r="39" spans="1:5" x14ac:dyDescent="0.3">
      <c r="B39" s="35"/>
    </row>
    <row r="40" spans="1:5" x14ac:dyDescent="0.3">
      <c r="A40" t="s">
        <v>431</v>
      </c>
      <c r="B40" s="35">
        <f>SUM(POUT1,POUT2,POUT3)</f>
        <v>37.5</v>
      </c>
    </row>
    <row r="41" spans="1:5" x14ac:dyDescent="0.3">
      <c r="A41" t="s">
        <v>37</v>
      </c>
      <c r="B41" s="144">
        <v>1</v>
      </c>
      <c r="E41" t="s">
        <v>476</v>
      </c>
    </row>
    <row r="42" spans="1:5" x14ac:dyDescent="0.3">
      <c r="B42" s="35"/>
    </row>
    <row r="43" spans="1:5" x14ac:dyDescent="0.3">
      <c r="A43" t="s">
        <v>683</v>
      </c>
      <c r="B43" s="35"/>
      <c r="E43" t="s">
        <v>684</v>
      </c>
    </row>
    <row r="44" spans="1:5" x14ac:dyDescent="0.3">
      <c r="A44" t="s">
        <v>685</v>
      </c>
      <c r="B44" s="35"/>
      <c r="E44" t="s">
        <v>687</v>
      </c>
    </row>
    <row r="45" spans="1:5" x14ac:dyDescent="0.3">
      <c r="A45" t="s">
        <v>686</v>
      </c>
      <c r="B45" s="35"/>
      <c r="E45" t="s">
        <v>688</v>
      </c>
    </row>
    <row r="46" spans="1:5" x14ac:dyDescent="0.3">
      <c r="B46" s="35"/>
    </row>
    <row r="47" spans="1:5" x14ac:dyDescent="0.3">
      <c r="B47" s="35"/>
    </row>
    <row r="48" spans="1:5" x14ac:dyDescent="0.3">
      <c r="B48" s="35"/>
    </row>
    <row r="49" spans="1:5" ht="15.6" x14ac:dyDescent="0.3">
      <c r="A49" s="10" t="s">
        <v>442</v>
      </c>
      <c r="B49" s="35"/>
    </row>
    <row r="50" spans="1:5" x14ac:dyDescent="0.3">
      <c r="B50" s="35"/>
    </row>
    <row r="51" spans="1:5" x14ac:dyDescent="0.3">
      <c r="A51" t="s">
        <v>441</v>
      </c>
      <c r="B51" s="144">
        <v>1</v>
      </c>
      <c r="E51" t="s">
        <v>443</v>
      </c>
    </row>
    <row r="52" spans="1:5" x14ac:dyDescent="0.3">
      <c r="A52" t="s">
        <v>449</v>
      </c>
      <c r="B52" s="11">
        <f>'Design Converter'!H17/100</f>
        <v>0.75</v>
      </c>
      <c r="E52" t="s">
        <v>444</v>
      </c>
    </row>
    <row r="53" spans="1:5" x14ac:dyDescent="0.3">
      <c r="A53" t="s">
        <v>456</v>
      </c>
      <c r="B53" s="17">
        <f>((VOUT1+VD)*(1-Dmax_limit)*Np)/(Dmax_limit*VIN_min)</f>
        <v>1.1111111111111112</v>
      </c>
      <c r="C53" t="s">
        <v>458</v>
      </c>
      <c r="E53" t="s">
        <v>450</v>
      </c>
    </row>
    <row r="54" spans="1:5" x14ac:dyDescent="0.3">
      <c r="A54" t="s">
        <v>457</v>
      </c>
      <c r="B54" s="11">
        <f>'Design Converter'!N10</f>
        <v>4.42</v>
      </c>
      <c r="C54" t="s">
        <v>458</v>
      </c>
      <c r="E54" t="s">
        <v>451</v>
      </c>
    </row>
    <row r="55" spans="1:5" x14ac:dyDescent="0.3">
      <c r="A55" t="s">
        <v>604</v>
      </c>
      <c r="B55" s="17">
        <f>'Design Converter'!N11/1000</f>
        <v>5.2000000000000006E-4</v>
      </c>
      <c r="C55" s="2" t="s">
        <v>35</v>
      </c>
      <c r="E55" t="s">
        <v>605</v>
      </c>
    </row>
    <row r="56" spans="1:5" x14ac:dyDescent="0.3">
      <c r="B56" s="35"/>
      <c r="C56" s="2"/>
    </row>
    <row r="57" spans="1:5" ht="15" customHeight="1" x14ac:dyDescent="0.3">
      <c r="A57" t="s">
        <v>471</v>
      </c>
      <c r="B57" s="16">
        <f>((Np/NS1_)*(VOUT1+VD))/((VIN_min+(Np/NS1_)*(VOUT1+VD)))</f>
        <v>0.42992261392949266</v>
      </c>
      <c r="E57" t="s">
        <v>473</v>
      </c>
    </row>
    <row r="58" spans="1:5" ht="15" customHeight="1" x14ac:dyDescent="0.3">
      <c r="B58" s="26">
        <f>((Np/NS1_)*(VOUT1+VD))/((VIN_nom+(Np/NS1_)*(VOUT1+VD)))</f>
        <v>0.4043126684636118</v>
      </c>
      <c r="E58" t="s">
        <v>474</v>
      </c>
    </row>
    <row r="59" spans="1:5" ht="15" customHeight="1" x14ac:dyDescent="0.3">
      <c r="B59" s="17">
        <f>((Np/NS1_)*(VOUT1+VD))/((VIN_max+(Np/NS1_)*(VOUT1+VD)))</f>
        <v>0.38158229458153137</v>
      </c>
      <c r="E59" t="s">
        <v>475</v>
      </c>
    </row>
    <row r="60" spans="1:5" ht="15" customHeight="1" x14ac:dyDescent="0.3">
      <c r="A60" t="s">
        <v>477</v>
      </c>
      <c r="B60" s="17">
        <f>(Np/NS1_)*VOUT1+VD</f>
        <v>33.936651583710407</v>
      </c>
      <c r="E60" t="s">
        <v>663</v>
      </c>
    </row>
    <row r="61" spans="1:5" ht="15" customHeight="1" x14ac:dyDescent="0.3">
      <c r="B61" s="35"/>
    </row>
    <row r="62" spans="1:5" ht="15" customHeight="1" x14ac:dyDescent="0.3">
      <c r="B62" s="35"/>
    </row>
    <row r="63" spans="1:5" ht="15" customHeight="1" x14ac:dyDescent="0.3">
      <c r="A63" t="s">
        <v>452</v>
      </c>
      <c r="B63" s="17">
        <f>IF(EN_OUT_2=1,(NS1_*((VOUT2+VD)/(VOUT1+VD))),0)</f>
        <v>0</v>
      </c>
      <c r="C63" t="s">
        <v>458</v>
      </c>
      <c r="E63" t="s">
        <v>454</v>
      </c>
    </row>
    <row r="64" spans="1:5" ht="15" customHeight="1" x14ac:dyDescent="0.3">
      <c r="A64" t="s">
        <v>453</v>
      </c>
      <c r="B64" s="11">
        <f>IF(EN_OUT_2=1,'Design Converter'!N17,0)</f>
        <v>0</v>
      </c>
      <c r="C64" t="s">
        <v>458</v>
      </c>
      <c r="E64" t="s">
        <v>455</v>
      </c>
    </row>
    <row r="65" spans="1:5" ht="15" customHeight="1" x14ac:dyDescent="0.3">
      <c r="A65" t="s">
        <v>468</v>
      </c>
      <c r="B65" s="17">
        <f>IF(EN_OUT_2=1,((NS2_*VD)-(NS1_*VD)+(NS2_*VOUT1))/NS1_,0)</f>
        <v>0</v>
      </c>
      <c r="C65" t="s">
        <v>11</v>
      </c>
      <c r="E65" t="s">
        <v>469</v>
      </c>
    </row>
    <row r="66" spans="1:5" ht="15" customHeight="1" x14ac:dyDescent="0.3">
      <c r="A66" t="s">
        <v>606</v>
      </c>
      <c r="B66" s="17">
        <f>IF(EN_OUT_2=1,'Design Converter'!N18/1000,0)</f>
        <v>0</v>
      </c>
    </row>
    <row r="67" spans="1:5" ht="15" customHeight="1" x14ac:dyDescent="0.3"/>
    <row r="68" spans="1:5" ht="15" customHeight="1" x14ac:dyDescent="0.3">
      <c r="A68" t="s">
        <v>463</v>
      </c>
      <c r="B68" s="17">
        <f>IF(EN_OUT_3=1,(NS1_*((VOUT3+VD)/(VOUT1+VD))),0)</f>
        <v>0</v>
      </c>
      <c r="C68" t="s">
        <v>458</v>
      </c>
      <c r="E68" t="s">
        <v>465</v>
      </c>
    </row>
    <row r="69" spans="1:5" ht="15" customHeight="1" x14ac:dyDescent="0.3">
      <c r="A69" t="s">
        <v>464</v>
      </c>
      <c r="B69" s="11">
        <f>'Design Converter'!N25</f>
        <v>0.42</v>
      </c>
      <c r="C69" t="s">
        <v>458</v>
      </c>
      <c r="E69" t="s">
        <v>466</v>
      </c>
    </row>
    <row r="70" spans="1:5" ht="15" customHeight="1" x14ac:dyDescent="0.3">
      <c r="A70" t="s">
        <v>470</v>
      </c>
      <c r="B70" s="17">
        <f>IF(EN_OUT_3=1,((NS3_*VD)-(NS1_*VD)+(NS3_*VOUT1))/NS1_,0)</f>
        <v>0</v>
      </c>
      <c r="C70" t="s">
        <v>11</v>
      </c>
      <c r="E70" t="s">
        <v>469</v>
      </c>
    </row>
    <row r="71" spans="1:5" ht="15" customHeight="1" x14ac:dyDescent="0.3">
      <c r="A71" t="s">
        <v>607</v>
      </c>
      <c r="B71" s="17">
        <f>IF(EN_OUT_3=1,'Design Converter'!N26/1000,0)</f>
        <v>0</v>
      </c>
    </row>
    <row r="72" spans="1:5" ht="15" customHeight="1" x14ac:dyDescent="0.3"/>
    <row r="74" spans="1:5" x14ac:dyDescent="0.3">
      <c r="A74" t="s">
        <v>76</v>
      </c>
      <c r="B74" s="3">
        <f>'Design Converter'!H22/100</f>
        <v>0.6</v>
      </c>
      <c r="E74" t="s">
        <v>92</v>
      </c>
    </row>
    <row r="75" spans="1:5" x14ac:dyDescent="0.3">
      <c r="A75" t="s">
        <v>74</v>
      </c>
      <c r="B75" s="24">
        <f>((Np^2)*(VIN_max^2)*((VOUT1+VD)^2))/(ILrip*POUT_Total*Fsw*((Np*VD)+(NS1_*VIN_max)+(Np*VOUT1))^2)</f>
        <v>7.8303158898270666E-5</v>
      </c>
      <c r="C75" t="s">
        <v>75</v>
      </c>
      <c r="E75" t="s">
        <v>478</v>
      </c>
    </row>
    <row r="76" spans="1:5" x14ac:dyDescent="0.3">
      <c r="A76" t="s">
        <v>77</v>
      </c>
      <c r="B76" s="21">
        <f>'Design Converter'!H24*10^-6</f>
        <v>1.4E-5</v>
      </c>
      <c r="C76" t="s">
        <v>75</v>
      </c>
      <c r="E76" t="s">
        <v>78</v>
      </c>
    </row>
    <row r="77" spans="1:5" x14ac:dyDescent="0.3">
      <c r="A77" t="s">
        <v>80</v>
      </c>
      <c r="B77" s="3">
        <f>'Design Converter'!H25*(10^-3)</f>
        <v>0.02</v>
      </c>
      <c r="C77" s="2" t="s">
        <v>35</v>
      </c>
      <c r="E77" t="s">
        <v>102</v>
      </c>
    </row>
    <row r="78" spans="1:5" x14ac:dyDescent="0.3">
      <c r="A78" t="s">
        <v>103</v>
      </c>
      <c r="B78" s="12">
        <v>0.2</v>
      </c>
      <c r="C78" s="2"/>
      <c r="E78" t="s">
        <v>104</v>
      </c>
    </row>
    <row r="79" spans="1:5" x14ac:dyDescent="0.3">
      <c r="B79" t="s">
        <v>82</v>
      </c>
    </row>
    <row r="80" spans="1:5" x14ac:dyDescent="0.3">
      <c r="A80" t="s">
        <v>479</v>
      </c>
      <c r="B80" s="16">
        <f>POUT_Total/(VIN_min*EFF_est*Dc_VIN_min)</f>
        <v>1.9383333333333337</v>
      </c>
      <c r="C80" t="s">
        <v>12</v>
      </c>
    </row>
    <row r="81" spans="1:5" x14ac:dyDescent="0.3">
      <c r="A81" t="s">
        <v>85</v>
      </c>
      <c r="B81" s="16">
        <f>(VIN_min*Dc_VIN_min)/(Lm*Fsw)</f>
        <v>5.5275764648077628</v>
      </c>
      <c r="C81" t="s">
        <v>12</v>
      </c>
      <c r="E81" t="s">
        <v>86</v>
      </c>
    </row>
    <row r="82" spans="1:5" x14ac:dyDescent="0.3">
      <c r="A82" t="s">
        <v>83</v>
      </c>
      <c r="B82" s="16">
        <f>(IL_avg_VIN_min/EFF_est)+(ILrip_VINmin/2)</f>
        <v>4.7021215657372153</v>
      </c>
      <c r="C82" t="s">
        <v>12</v>
      </c>
      <c r="E82" t="s">
        <v>84</v>
      </c>
    </row>
    <row r="84" spans="1:5" x14ac:dyDescent="0.3">
      <c r="A84" t="s">
        <v>479</v>
      </c>
      <c r="B84" s="16">
        <f>POUT_Total/(VIN_nom*EFF_est*Dc_VIN_nom)</f>
        <v>1.8550000000000002</v>
      </c>
    </row>
    <row r="85" spans="1:5" x14ac:dyDescent="0.3">
      <c r="A85" t="s">
        <v>87</v>
      </c>
      <c r="B85" s="16">
        <f>(VIN_nom*Dc_VIN_nom)/(Lm*Fsw)</f>
        <v>5.7758952637658831</v>
      </c>
      <c r="C85" t="s">
        <v>12</v>
      </c>
      <c r="E85" t="s">
        <v>93</v>
      </c>
    </row>
    <row r="86" spans="1:5" x14ac:dyDescent="0.3">
      <c r="A86" t="s">
        <v>88</v>
      </c>
      <c r="B86" s="16">
        <f>(IL_avg_VIN_nom/EFF_est)+(ILrip_VINnom/2)</f>
        <v>4.7429476318829416</v>
      </c>
      <c r="C86" t="s">
        <v>12</v>
      </c>
      <c r="E86" t="s">
        <v>94</v>
      </c>
    </row>
    <row r="88" spans="1:5" x14ac:dyDescent="0.3">
      <c r="A88" t="s">
        <v>479</v>
      </c>
      <c r="B88" s="16">
        <f>POUT_Total/(VIN_max*EFF_est*Dc_VIN_max)</f>
        <v>1.7868181818181821</v>
      </c>
      <c r="E88" t="s">
        <v>480</v>
      </c>
    </row>
    <row r="89" spans="1:5" x14ac:dyDescent="0.3">
      <c r="A89" t="s">
        <v>89</v>
      </c>
      <c r="B89" s="16">
        <f>(VIN_max*Dc_VIN_max)/(Lm*Fsw)</f>
        <v>5.9962932005669218</v>
      </c>
      <c r="C89" t="s">
        <v>12</v>
      </c>
      <c r="E89" t="s">
        <v>95</v>
      </c>
    </row>
    <row r="90" spans="1:5" x14ac:dyDescent="0.3">
      <c r="A90" t="s">
        <v>90</v>
      </c>
      <c r="B90" s="16">
        <f>(IL_avg_VIN_max/EFF_est)+(ILrip_VINmax/2)</f>
        <v>4.7849647821016426</v>
      </c>
      <c r="C90" t="s">
        <v>12</v>
      </c>
      <c r="E90" t="s">
        <v>96</v>
      </c>
    </row>
    <row r="92" spans="1:5" x14ac:dyDescent="0.3">
      <c r="A92" s="19" t="s">
        <v>91</v>
      </c>
    </row>
    <row r="93" spans="1:5" x14ac:dyDescent="0.3">
      <c r="A93" t="s">
        <v>98</v>
      </c>
      <c r="B93" s="3">
        <f>'Design Converter'!H30/100</f>
        <v>0.3</v>
      </c>
      <c r="E93" t="s">
        <v>99</v>
      </c>
    </row>
    <row r="94" spans="1:5" x14ac:dyDescent="0.3">
      <c r="A94" t="s">
        <v>100</v>
      </c>
      <c r="B94" s="17">
        <f>(1+Ipk_margin)*ILp_VINmin</f>
        <v>6.1127580354583797</v>
      </c>
      <c r="C94" t="s">
        <v>12</v>
      </c>
      <c r="E94" t="s">
        <v>101</v>
      </c>
    </row>
    <row r="95" spans="1:5" x14ac:dyDescent="0.3">
      <c r="B95" s="150"/>
    </row>
    <row r="96" spans="1:5" x14ac:dyDescent="0.3">
      <c r="A96" t="s">
        <v>107</v>
      </c>
      <c r="B96" s="12">
        <v>0.83299999999999996</v>
      </c>
      <c r="E96" t="s">
        <v>108</v>
      </c>
    </row>
    <row r="98" spans="1:11" x14ac:dyDescent="0.3">
      <c r="A98" t="s">
        <v>105</v>
      </c>
      <c r="B98" s="151">
        <f>(1/B96)*((Fsw*Isl*Rsl_int*Lm)/((Np/NS1_)*ABS(VOUT1)))</f>
        <v>4.9511428571428562E-3</v>
      </c>
      <c r="C98" s="2" t="s">
        <v>35</v>
      </c>
      <c r="E98" t="s">
        <v>106</v>
      </c>
    </row>
    <row r="99" spans="1:11" x14ac:dyDescent="0.3">
      <c r="A99" t="s">
        <v>113</v>
      </c>
      <c r="B99" s="24">
        <f>Vcl/Ipk_selected</f>
        <v>1.6359227605596084E-2</v>
      </c>
      <c r="C99" s="2" t="s">
        <v>35</v>
      </c>
      <c r="E99" t="s">
        <v>114</v>
      </c>
    </row>
    <row r="101" spans="1:11" x14ac:dyDescent="0.3">
      <c r="A101" t="s">
        <v>119</v>
      </c>
      <c r="B101" s="12">
        <v>0.83299999999999996</v>
      </c>
      <c r="E101" t="s">
        <v>120</v>
      </c>
    </row>
    <row r="102" spans="1:11" x14ac:dyDescent="0.3">
      <c r="A102" t="s">
        <v>118</v>
      </c>
      <c r="B102" s="23">
        <f>(Lm*NS1_*Fsw*(Vcl+(Dc_VIN_min*Isl*Rsl_int)))/((Dc_VIN_min*Kslope*VOUT1*Np)+(Ipk_selected*Lm*NS1_*Fsw))</f>
        <v>1.2226399457437864E-2</v>
      </c>
      <c r="C102" s="2" t="s">
        <v>35</v>
      </c>
      <c r="E102" t="s">
        <v>129</v>
      </c>
    </row>
    <row r="103" spans="1:11" x14ac:dyDescent="0.3">
      <c r="A103" t="s">
        <v>121</v>
      </c>
      <c r="B103" s="16">
        <f>(Vcl-(Ipk_selected*Rcs_w_sl))/(Isl*Dc_VIN_min)</f>
        <v>1958.7229308486556</v>
      </c>
      <c r="C103" s="2" t="s">
        <v>35</v>
      </c>
      <c r="E103" t="s">
        <v>128</v>
      </c>
    </row>
    <row r="105" spans="1:11" x14ac:dyDescent="0.3">
      <c r="A105" t="s">
        <v>117</v>
      </c>
      <c r="B105" s="1">
        <f>IF(Rcs_wo_sl&gt;Rcs_max,1,0)</f>
        <v>1</v>
      </c>
      <c r="E105" t="s">
        <v>664</v>
      </c>
    </row>
    <row r="106" spans="1:11" x14ac:dyDescent="0.3">
      <c r="A106" t="s">
        <v>122</v>
      </c>
      <c r="B106" s="26">
        <f>IF(B105=0,Rcs_wo_sl,Rcs_w_sl)</f>
        <v>1.2226399457437864E-2</v>
      </c>
      <c r="C106" s="2" t="s">
        <v>35</v>
      </c>
      <c r="E106" t="s">
        <v>126</v>
      </c>
    </row>
    <row r="107" spans="1:11" x14ac:dyDescent="0.3">
      <c r="A107" t="s">
        <v>123</v>
      </c>
      <c r="B107" s="1">
        <f>IF(B105=0,0,B103)</f>
        <v>1958.7229308486556</v>
      </c>
      <c r="C107" s="2" t="s">
        <v>35</v>
      </c>
      <c r="E107" t="s">
        <v>127</v>
      </c>
    </row>
    <row r="109" spans="1:11" x14ac:dyDescent="0.3">
      <c r="A109" t="s">
        <v>124</v>
      </c>
      <c r="B109" s="27">
        <f>'Design Converter'!H34/1000</f>
        <v>1.4999999999999999E-2</v>
      </c>
      <c r="C109" s="2" t="s">
        <v>35</v>
      </c>
      <c r="E109" t="s">
        <v>131</v>
      </c>
    </row>
    <row r="110" spans="1:11" x14ac:dyDescent="0.3">
      <c r="A110" t="s">
        <v>125</v>
      </c>
      <c r="B110" s="3">
        <f>'Design Converter'!H35</f>
        <v>2000</v>
      </c>
      <c r="C110" s="2" t="s">
        <v>35</v>
      </c>
      <c r="E110" t="s">
        <v>132</v>
      </c>
    </row>
    <row r="112" spans="1:11" x14ac:dyDescent="0.3">
      <c r="A112" t="s">
        <v>136</v>
      </c>
      <c r="B112" s="17">
        <f>(Isl*(Rsl_int+R_sl)*Fsw)/(((VOUT1*(Np/NS1_))/Lm)*R_cs)</f>
        <v>0.68748679999999995</v>
      </c>
      <c r="C112" t="s">
        <v>144</v>
      </c>
      <c r="E112" t="s">
        <v>134</v>
      </c>
      <c r="K112">
        <f>IF(B112&lt;0.5,1,0)</f>
        <v>0</v>
      </c>
    </row>
    <row r="113" spans="1:16" x14ac:dyDescent="0.3">
      <c r="A113" t="s">
        <v>138</v>
      </c>
      <c r="B113" s="17">
        <f>(Vcl-(Isl*R_sl*Dc_VIN_min))/R_cs</f>
        <v>4.946976210948697</v>
      </c>
      <c r="C113" t="s">
        <v>12</v>
      </c>
      <c r="E113" t="s">
        <v>140</v>
      </c>
      <c r="K113">
        <f>IF(IL_pk&lt;Ipk_selected,1,0)</f>
        <v>1</v>
      </c>
    </row>
    <row r="114" spans="1:16" x14ac:dyDescent="0.3">
      <c r="A114" t="s">
        <v>139</v>
      </c>
      <c r="B114" s="17">
        <f>(Vcl-(Isl*R_sl*Dc_VIN_max))/R_cs</f>
        <v>5.1403374883405419</v>
      </c>
      <c r="C114" t="s">
        <v>12</v>
      </c>
      <c r="E114" t="s">
        <v>141</v>
      </c>
    </row>
    <row r="115" spans="1:16" x14ac:dyDescent="0.3">
      <c r="A115" t="s">
        <v>142</v>
      </c>
      <c r="B115" s="1">
        <f>0.15</f>
        <v>0.15</v>
      </c>
      <c r="E115" t="s">
        <v>143</v>
      </c>
    </row>
    <row r="117" spans="1:16" x14ac:dyDescent="0.3">
      <c r="A117" s="22" t="s">
        <v>145</v>
      </c>
    </row>
    <row r="118" spans="1:16" x14ac:dyDescent="0.3">
      <c r="A118" t="s">
        <v>653</v>
      </c>
    </row>
    <row r="120" spans="1:16" x14ac:dyDescent="0.3">
      <c r="A120" s="29" t="s">
        <v>146</v>
      </c>
      <c r="E120">
        <f>VIN_min</f>
        <v>45</v>
      </c>
    </row>
    <row r="121" spans="1:16" x14ac:dyDescent="0.3">
      <c r="A121" s="29"/>
    </row>
    <row r="122" spans="1:16" x14ac:dyDescent="0.3">
      <c r="A122" t="s">
        <v>646</v>
      </c>
      <c r="B122" s="1">
        <f>fz_rhp/5</f>
        <v>52784.467061554766</v>
      </c>
      <c r="C122" t="s">
        <v>61</v>
      </c>
      <c r="E122" t="s">
        <v>647</v>
      </c>
      <c r="O122" s="152"/>
      <c r="P122" t="s">
        <v>660</v>
      </c>
    </row>
    <row r="123" spans="1:16" x14ac:dyDescent="0.3">
      <c r="A123" s="29"/>
    </row>
    <row r="124" spans="1:16" x14ac:dyDescent="0.3">
      <c r="A124" s="29"/>
    </row>
    <row r="125" spans="1:16" x14ac:dyDescent="0.3">
      <c r="B125" s="32" t="s">
        <v>489</v>
      </c>
    </row>
    <row r="126" spans="1:16" x14ac:dyDescent="0.3">
      <c r="A126" t="s">
        <v>481</v>
      </c>
      <c r="B126" s="30">
        <f>'Design Converter'!H40/1000</f>
        <v>0.1</v>
      </c>
      <c r="C126" t="s">
        <v>11</v>
      </c>
      <c r="E126" t="s">
        <v>150</v>
      </c>
    </row>
    <row r="127" spans="1:16" x14ac:dyDescent="0.3">
      <c r="A127" t="s">
        <v>648</v>
      </c>
      <c r="B127" s="30">
        <f>IOUT1-(IOUT1/2)</f>
        <v>0.125</v>
      </c>
      <c r="C127" t="s">
        <v>12</v>
      </c>
      <c r="E127" t="s">
        <v>649</v>
      </c>
    </row>
    <row r="128" spans="1:16" x14ac:dyDescent="0.3">
      <c r="A128" t="s">
        <v>482</v>
      </c>
      <c r="B128" s="1">
        <f>B127/(2*PI()*Vout1_rip_sel*B122)</f>
        <v>3.7689814814814818E-6</v>
      </c>
      <c r="C128" t="s">
        <v>151</v>
      </c>
      <c r="E128" t="s">
        <v>152</v>
      </c>
    </row>
    <row r="129" spans="1:16" x14ac:dyDescent="0.3">
      <c r="A129" t="s">
        <v>153</v>
      </c>
      <c r="B129" s="16"/>
      <c r="C129" t="s">
        <v>12</v>
      </c>
      <c r="D129" s="152"/>
      <c r="E129" t="s">
        <v>154</v>
      </c>
    </row>
    <row r="130" spans="1:16" x14ac:dyDescent="0.3">
      <c r="A130" t="s">
        <v>482</v>
      </c>
      <c r="B130" s="3">
        <f>'Design Converter'!H42*(10^-6)</f>
        <v>4.9999999999999996E-5</v>
      </c>
      <c r="C130" t="s">
        <v>151</v>
      </c>
      <c r="E130" t="s">
        <v>156</v>
      </c>
    </row>
    <row r="131" spans="1:16" x14ac:dyDescent="0.3">
      <c r="A131" t="s">
        <v>483</v>
      </c>
      <c r="B131" s="3">
        <f>'Design Converter'!H43/1000</f>
        <v>0.01</v>
      </c>
      <c r="C131" s="2" t="s">
        <v>35</v>
      </c>
      <c r="E131" t="s">
        <v>157</v>
      </c>
    </row>
    <row r="132" spans="1:16" x14ac:dyDescent="0.3">
      <c r="A132" t="s">
        <v>284</v>
      </c>
      <c r="D132" s="152"/>
      <c r="E132" s="72" t="s">
        <v>285</v>
      </c>
    </row>
    <row r="133" spans="1:16" x14ac:dyDescent="0.3">
      <c r="B133" s="32" t="s">
        <v>487</v>
      </c>
    </row>
    <row r="134" spans="1:16" x14ac:dyDescent="0.3">
      <c r="A134" t="s">
        <v>492</v>
      </c>
      <c r="B134" s="30">
        <f>'Design Converter'!N40*(10^-3)</f>
        <v>0.1</v>
      </c>
      <c r="C134" t="s">
        <v>11</v>
      </c>
      <c r="E134" t="s">
        <v>150</v>
      </c>
    </row>
    <row r="135" spans="1:16" x14ac:dyDescent="0.3">
      <c r="B135" s="30">
        <f>IOUT2-(IOUT2/2)</f>
        <v>0</v>
      </c>
      <c r="E135" t="s">
        <v>661</v>
      </c>
    </row>
    <row r="136" spans="1:16" x14ac:dyDescent="0.3">
      <c r="A136" t="s">
        <v>493</v>
      </c>
      <c r="B136" s="1">
        <f>IF(EN_OUT_2=1,B135/(2*PI()*Vout2_rip_sel*B122),0)</f>
        <v>0</v>
      </c>
      <c r="C136" t="s">
        <v>151</v>
      </c>
      <c r="E136" t="s">
        <v>152</v>
      </c>
      <c r="O136" s="152"/>
      <c r="P136" t="s">
        <v>658</v>
      </c>
    </row>
    <row r="137" spans="1:16" x14ac:dyDescent="0.3">
      <c r="A137" t="s">
        <v>153</v>
      </c>
      <c r="B137" s="16"/>
      <c r="C137" t="s">
        <v>12</v>
      </c>
      <c r="E137" t="s">
        <v>154</v>
      </c>
    </row>
    <row r="138" spans="1:16" x14ac:dyDescent="0.3">
      <c r="A138" t="s">
        <v>494</v>
      </c>
      <c r="B138" s="3">
        <f>IF(EN_OUT_2=1,'Design Converter'!N42*(10^-6),0)</f>
        <v>0</v>
      </c>
      <c r="C138" t="s">
        <v>151</v>
      </c>
      <c r="E138" t="s">
        <v>156</v>
      </c>
    </row>
    <row r="139" spans="1:16" x14ac:dyDescent="0.3">
      <c r="A139" t="s">
        <v>495</v>
      </c>
      <c r="B139" s="3">
        <f>IF(EN_OUT_2=1,'Design Converter'!N43*(10^-3),0)</f>
        <v>0</v>
      </c>
      <c r="C139" s="2" t="s">
        <v>35</v>
      </c>
      <c r="E139" t="s">
        <v>157</v>
      </c>
    </row>
    <row r="140" spans="1:16" x14ac:dyDescent="0.3">
      <c r="A140" t="s">
        <v>496</v>
      </c>
      <c r="B140" s="3">
        <f>IF(EN_OUT_2=1,1/(((Np^2)/(NS2_^2))*Resr2),0)</f>
        <v>0</v>
      </c>
      <c r="C140" s="2" t="s">
        <v>35</v>
      </c>
      <c r="E140" t="s">
        <v>497</v>
      </c>
      <c r="O140" t="s">
        <v>662</v>
      </c>
    </row>
    <row r="141" spans="1:16" x14ac:dyDescent="0.3">
      <c r="B141" s="32" t="s">
        <v>488</v>
      </c>
      <c r="E141" s="153"/>
    </row>
    <row r="142" spans="1:16" x14ac:dyDescent="0.3">
      <c r="A142" t="s">
        <v>484</v>
      </c>
      <c r="B142" s="30">
        <f>'Design Converter'!V40*(10^-3)</f>
        <v>0.70000000000000007</v>
      </c>
      <c r="C142" t="s">
        <v>11</v>
      </c>
      <c r="E142" t="s">
        <v>150</v>
      </c>
    </row>
    <row r="143" spans="1:16" x14ac:dyDescent="0.3">
      <c r="B143" s="30">
        <f>IOUT3-(IOUT3/2)</f>
        <v>0</v>
      </c>
    </row>
    <row r="144" spans="1:16" x14ac:dyDescent="0.3">
      <c r="A144" t="s">
        <v>485</v>
      </c>
      <c r="B144" s="1">
        <f>IF(EN_OUT_3=1,B143/(2*PI()*Vout3_rip_sel*B122),0)</f>
        <v>0</v>
      </c>
      <c r="C144" t="s">
        <v>151</v>
      </c>
      <c r="E144" t="s">
        <v>152</v>
      </c>
      <c r="O144" s="152"/>
      <c r="P144" t="s">
        <v>659</v>
      </c>
    </row>
    <row r="145" spans="1:11" x14ac:dyDescent="0.3">
      <c r="A145" t="s">
        <v>153</v>
      </c>
      <c r="B145" s="16"/>
      <c r="C145" t="s">
        <v>12</v>
      </c>
      <c r="E145" t="s">
        <v>154</v>
      </c>
    </row>
    <row r="146" spans="1:11" x14ac:dyDescent="0.3">
      <c r="A146" t="s">
        <v>485</v>
      </c>
      <c r="B146" s="3">
        <f>IF(EN_OUT_3=1,'Design Converter'!V42*(10^-6),0)</f>
        <v>0</v>
      </c>
      <c r="C146" t="s">
        <v>151</v>
      </c>
      <c r="E146" t="s">
        <v>156</v>
      </c>
    </row>
    <row r="147" spans="1:11" x14ac:dyDescent="0.3">
      <c r="A147" t="s">
        <v>486</v>
      </c>
      <c r="B147" s="3">
        <f>IF(EN_OUT_3=1,'Design Converter'!V43*(10^-3),0)</f>
        <v>0</v>
      </c>
      <c r="C147" s="2" t="s">
        <v>35</v>
      </c>
      <c r="E147" t="s">
        <v>157</v>
      </c>
    </row>
    <row r="148" spans="1:11" x14ac:dyDescent="0.3">
      <c r="B148" s="3">
        <f>IF(EN_OUT_3=1,1/(((Np^2)/(NS3_^2))*Resr3),0)</f>
        <v>0</v>
      </c>
      <c r="C148" s="2" t="s">
        <v>35</v>
      </c>
      <c r="E148" t="s">
        <v>497</v>
      </c>
    </row>
    <row r="150" spans="1:11" x14ac:dyDescent="0.3">
      <c r="A150" t="s">
        <v>490</v>
      </c>
      <c r="B150" s="164">
        <f>Cout1+(((NS2_^2)/(NS1_^2))*Cout2)+(((NS3_^2)/(NS1_^2))*Cout3)</f>
        <v>4.9999999999999996E-5</v>
      </c>
      <c r="C150" t="s">
        <v>151</v>
      </c>
      <c r="E150" t="s">
        <v>499</v>
      </c>
      <c r="K150">
        <f>(((NS2_^2)/(NS1_^2))*Cout2)</f>
        <v>0</v>
      </c>
    </row>
    <row r="151" spans="1:11" x14ac:dyDescent="0.3">
      <c r="A151" t="s">
        <v>491</v>
      </c>
      <c r="B151" s="3">
        <f>1/((1/Resr1)+Resr2_Trans+Resr3_Trans)</f>
        <v>0.01</v>
      </c>
      <c r="C151" s="2" t="s">
        <v>35</v>
      </c>
      <c r="E151" t="s">
        <v>498</v>
      </c>
    </row>
    <row r="153" spans="1:11" x14ac:dyDescent="0.3">
      <c r="E153" t="s">
        <v>500</v>
      </c>
    </row>
    <row r="154" spans="1:11" x14ac:dyDescent="0.3">
      <c r="A154" s="29" t="s">
        <v>303</v>
      </c>
    </row>
    <row r="155" spans="1:11" x14ac:dyDescent="0.3">
      <c r="A155" t="s">
        <v>287</v>
      </c>
      <c r="B155" s="12">
        <f>Iss</f>
        <v>9.9999999999999991E-6</v>
      </c>
      <c r="C155" t="s">
        <v>12</v>
      </c>
      <c r="E155" t="s">
        <v>289</v>
      </c>
      <c r="J155" t="s">
        <v>665</v>
      </c>
    </row>
    <row r="156" spans="1:11" x14ac:dyDescent="0.3">
      <c r="A156" t="s">
        <v>290</v>
      </c>
      <c r="B156" s="1">
        <f>Iss*VOUT1*Cout1/(Vref*IOUT1)</f>
        <v>2.9999999999999993E-7</v>
      </c>
      <c r="C156" t="s">
        <v>151</v>
      </c>
      <c r="E156" t="s">
        <v>291</v>
      </c>
    </row>
    <row r="157" spans="1:11" x14ac:dyDescent="0.3">
      <c r="A157" t="s">
        <v>292</v>
      </c>
      <c r="B157" s="3">
        <f>'Design Converter'!H48*(10^-3)</f>
        <v>0.02</v>
      </c>
      <c r="C157" t="s">
        <v>47</v>
      </c>
      <c r="E157" t="s">
        <v>293</v>
      </c>
    </row>
    <row r="158" spans="1:11" x14ac:dyDescent="0.3">
      <c r="A158" t="s">
        <v>296</v>
      </c>
      <c r="B158" s="1">
        <f>(tss*Iss)/(Vref)</f>
        <v>1.9999999999999999E-7</v>
      </c>
      <c r="C158" t="s">
        <v>151</v>
      </c>
      <c r="E158" t="s">
        <v>297</v>
      </c>
    </row>
    <row r="160" spans="1:11" x14ac:dyDescent="0.3">
      <c r="A160" s="29" t="s">
        <v>302</v>
      </c>
    </row>
    <row r="161" spans="1:5" x14ac:dyDescent="0.3">
      <c r="A161" t="s">
        <v>304</v>
      </c>
      <c r="B161" s="3">
        <f>'Design Converter'!H52</f>
        <v>3</v>
      </c>
      <c r="C161" t="s">
        <v>11</v>
      </c>
      <c r="E161" t="s">
        <v>306</v>
      </c>
    </row>
    <row r="162" spans="1:5" x14ac:dyDescent="0.3">
      <c r="A162" t="s">
        <v>305</v>
      </c>
      <c r="B162" s="3">
        <f>'Design Converter'!H53</f>
        <v>1</v>
      </c>
      <c r="C162" t="s">
        <v>11</v>
      </c>
      <c r="E162" t="s">
        <v>307</v>
      </c>
    </row>
    <row r="163" spans="1:5" x14ac:dyDescent="0.3">
      <c r="A163" t="s">
        <v>309</v>
      </c>
      <c r="B163" s="12">
        <f>UV_rise</f>
        <v>1.5</v>
      </c>
      <c r="C163" t="s">
        <v>11</v>
      </c>
      <c r="E163" t="s">
        <v>314</v>
      </c>
    </row>
    <row r="164" spans="1:5" x14ac:dyDescent="0.3">
      <c r="A164" t="s">
        <v>310</v>
      </c>
      <c r="B164" s="12">
        <f>UV_fall</f>
        <v>1.45</v>
      </c>
      <c r="C164" t="s">
        <v>11</v>
      </c>
      <c r="E164" t="s">
        <v>313</v>
      </c>
    </row>
    <row r="165" spans="1:5" x14ac:dyDescent="0.3">
      <c r="A165" t="s">
        <v>315</v>
      </c>
      <c r="B165" s="12">
        <f>UV_I_hyst</f>
        <v>4.9999999999999996E-6</v>
      </c>
      <c r="C165" t="s">
        <v>12</v>
      </c>
      <c r="E165" t="s">
        <v>317</v>
      </c>
    </row>
    <row r="166" spans="1:5" x14ac:dyDescent="0.3">
      <c r="A166" t="s">
        <v>318</v>
      </c>
      <c r="B166" s="18">
        <f>((Vuvlo_on*0.967)-Vuvlo_off)/(UV_I_hyst)</f>
        <v>380200</v>
      </c>
      <c r="C166" s="2" t="s">
        <v>35</v>
      </c>
      <c r="E166" t="s">
        <v>392</v>
      </c>
    </row>
    <row r="167" spans="1:5" x14ac:dyDescent="0.3">
      <c r="A167" t="s">
        <v>318</v>
      </c>
      <c r="B167" s="3">
        <f>'Design Converter'!H55*1000</f>
        <v>100000</v>
      </c>
      <c r="C167" s="2" t="s">
        <v>35</v>
      </c>
      <c r="E167" t="s">
        <v>393</v>
      </c>
    </row>
    <row r="168" spans="1:5" x14ac:dyDescent="0.3">
      <c r="A168" t="s">
        <v>319</v>
      </c>
      <c r="B168" s="18">
        <f>UV_rise*Ruvlo_top/(Vuvlo_on-UV_rise)</f>
        <v>100000</v>
      </c>
      <c r="C168" s="2" t="s">
        <v>35</v>
      </c>
      <c r="E168" t="s">
        <v>394</v>
      </c>
    </row>
    <row r="169" spans="1:5" x14ac:dyDescent="0.3">
      <c r="A169" t="s">
        <v>320</v>
      </c>
      <c r="B169" s="17">
        <f>UV_rise*(Ruvlo_top+Ruvlo_bottom_calc)/Ruvlo_bottom_calc</f>
        <v>3</v>
      </c>
      <c r="E169" t="s">
        <v>322</v>
      </c>
    </row>
    <row r="170" spans="1:5" x14ac:dyDescent="0.3">
      <c r="A170" t="s">
        <v>321</v>
      </c>
      <c r="B170" s="17">
        <f>Ruvlo_top*((UV_fall/Ruvlo_top)-(UV_I_hyst)+(UV_fall/Ruvlo_bottom_calc))</f>
        <v>2.4</v>
      </c>
      <c r="E170" t="s">
        <v>323</v>
      </c>
    </row>
    <row r="173" spans="1:5" x14ac:dyDescent="0.3">
      <c r="A173" s="29" t="s">
        <v>557</v>
      </c>
    </row>
    <row r="174" spans="1:5" x14ac:dyDescent="0.3">
      <c r="A174" s="33" t="s">
        <v>186</v>
      </c>
      <c r="B174" s="3">
        <f>'Design Converter'!H59</f>
        <v>50</v>
      </c>
      <c r="C174" t="s">
        <v>11</v>
      </c>
      <c r="E174" t="s">
        <v>650</v>
      </c>
    </row>
    <row r="175" spans="1:5" x14ac:dyDescent="0.3">
      <c r="A175" s="33" t="s">
        <v>517</v>
      </c>
      <c r="B175">
        <v>1</v>
      </c>
      <c r="E175" t="s">
        <v>518</v>
      </c>
    </row>
    <row r="176" spans="1:5" x14ac:dyDescent="0.3">
      <c r="A176" s="33"/>
    </row>
    <row r="177" spans="1:5" x14ac:dyDescent="0.3">
      <c r="A177" s="33" t="s">
        <v>556</v>
      </c>
    </row>
    <row r="178" spans="1:5" x14ac:dyDescent="0.3">
      <c r="A178" t="s">
        <v>396</v>
      </c>
      <c r="B178" s="20">
        <f>Gcomp*((VOUT1^2)/(POUT_Total))*((1-Dc_VIN_min)/((1+Dc_VIN_min)*((Acs*R_cs)/(Np/NS1_))))</f>
        <v>512.32711966325905</v>
      </c>
      <c r="E178" t="s">
        <v>559</v>
      </c>
    </row>
    <row r="180" spans="1:5" x14ac:dyDescent="0.3">
      <c r="A180" t="s">
        <v>397</v>
      </c>
      <c r="B180" s="12">
        <f>(1+Dc_VIN_min)/(Cout_total*((VOUT1^2)/POUT_Total))</f>
        <v>47.664087130983091</v>
      </c>
      <c r="C180" t="s">
        <v>383</v>
      </c>
      <c r="E180" t="s">
        <v>382</v>
      </c>
    </row>
    <row r="181" spans="1:5" x14ac:dyDescent="0.3">
      <c r="A181" t="s">
        <v>398</v>
      </c>
      <c r="B181" s="18">
        <f>B180/(2*PI())</f>
        <v>7.5859750748587551</v>
      </c>
      <c r="C181" t="s">
        <v>61</v>
      </c>
      <c r="E181" t="s">
        <v>240</v>
      </c>
    </row>
    <row r="183" spans="1:5" x14ac:dyDescent="0.3">
      <c r="A183" t="s">
        <v>399</v>
      </c>
      <c r="B183" s="12">
        <f>1/(Cout_total*Resr_total)</f>
        <v>2000000</v>
      </c>
      <c r="C183" t="s">
        <v>384</v>
      </c>
      <c r="E183" t="s">
        <v>385</v>
      </c>
    </row>
    <row r="184" spans="1:5" x14ac:dyDescent="0.3">
      <c r="A184" t="s">
        <v>400</v>
      </c>
      <c r="B184" s="1">
        <f>B183/(2*PI())</f>
        <v>318309.88618379069</v>
      </c>
      <c r="C184" t="s">
        <v>61</v>
      </c>
      <c r="E184" t="s">
        <v>242</v>
      </c>
    </row>
    <row r="186" spans="1:5" x14ac:dyDescent="0.3">
      <c r="A186" t="s">
        <v>401</v>
      </c>
      <c r="B186" s="12">
        <f>(((VOUT1^2)/POUT_Total)*((1-Dc_VIN_min)^2))/((Lm/((Np/NS1_)^2))*Dc_VIN_min)</f>
        <v>1658272.9394423289</v>
      </c>
      <c r="E186" t="s">
        <v>381</v>
      </c>
    </row>
    <row r="187" spans="1:5" x14ac:dyDescent="0.3">
      <c r="A187" t="s">
        <v>402</v>
      </c>
      <c r="B187" s="18">
        <f>B186/(2*PI())</f>
        <v>263922.33530777384</v>
      </c>
      <c r="C187" t="s">
        <v>61</v>
      </c>
      <c r="E187" t="s">
        <v>241</v>
      </c>
    </row>
    <row r="188" spans="1:5" x14ac:dyDescent="0.3">
      <c r="B188">
        <f>Fsw/10</f>
        <v>25000</v>
      </c>
      <c r="C188" t="s">
        <v>61</v>
      </c>
      <c r="E188" t="s">
        <v>249</v>
      </c>
    </row>
    <row r="189" spans="1:5" x14ac:dyDescent="0.3">
      <c r="B189">
        <f>IF((B187/5)&lt;(B188),0,1)</f>
        <v>1</v>
      </c>
      <c r="E189" t="s">
        <v>251</v>
      </c>
    </row>
    <row r="191" spans="1:5" x14ac:dyDescent="0.3">
      <c r="A191" t="s">
        <v>403</v>
      </c>
      <c r="B191" s="1">
        <f>(Isl*(Rsl_int+R_sl)*Fsw)</f>
        <v>24997.5</v>
      </c>
      <c r="C191" t="s">
        <v>144</v>
      </c>
      <c r="E191" t="s">
        <v>202</v>
      </c>
    </row>
    <row r="192" spans="1:5" x14ac:dyDescent="0.3">
      <c r="A192" t="s">
        <v>404</v>
      </c>
      <c r="B192" s="1">
        <f>(R_cs*VIN_min*Acs)/Lm</f>
        <v>48214.28571428571</v>
      </c>
      <c r="C192" t="s">
        <v>144</v>
      </c>
      <c r="E192" t="s">
        <v>203</v>
      </c>
    </row>
    <row r="193" spans="1:7" x14ac:dyDescent="0.3">
      <c r="B193" s="1"/>
    </row>
    <row r="194" spans="1:7" x14ac:dyDescent="0.3">
      <c r="A194" t="s">
        <v>405</v>
      </c>
      <c r="B194" s="1">
        <f>2*PI()*Fsw</f>
        <v>1570796.3267948965</v>
      </c>
      <c r="C194" t="s">
        <v>205</v>
      </c>
    </row>
    <row r="195" spans="1:7" x14ac:dyDescent="0.3">
      <c r="A195" t="s">
        <v>406</v>
      </c>
      <c r="B195" s="1">
        <f>1/(PI()*(((VIN_min/VOUT1)*(1+(B191/B192)))-0.5))</f>
        <v>-7.1594666258162629</v>
      </c>
    </row>
    <row r="196" spans="1:7" x14ac:dyDescent="0.3">
      <c r="A196" s="33"/>
      <c r="G196">
        <f>Dc_VIN_min</f>
        <v>0.42992261392949266</v>
      </c>
    </row>
    <row r="197" spans="1:7" x14ac:dyDescent="0.3">
      <c r="A197" s="33"/>
    </row>
    <row r="198" spans="1:7" x14ac:dyDescent="0.3">
      <c r="A198" s="33"/>
    </row>
    <row r="199" spans="1:7" x14ac:dyDescent="0.3">
      <c r="A199" s="33"/>
    </row>
    <row r="200" spans="1:7" x14ac:dyDescent="0.3">
      <c r="A200" s="33"/>
    </row>
    <row r="201" spans="1:7" x14ac:dyDescent="0.3">
      <c r="A201" s="33"/>
    </row>
    <row r="202" spans="1:7" x14ac:dyDescent="0.3">
      <c r="A202" s="158" t="s">
        <v>519</v>
      </c>
    </row>
    <row r="203" spans="1:7" x14ac:dyDescent="0.3">
      <c r="A203" s="159" t="s">
        <v>530</v>
      </c>
    </row>
    <row r="204" spans="1:7" x14ac:dyDescent="0.3">
      <c r="A204" s="33" t="s">
        <v>520</v>
      </c>
      <c r="B204" s="3">
        <f>'Design Converter'!H62</f>
        <v>2.5</v>
      </c>
      <c r="C204" t="s">
        <v>11</v>
      </c>
      <c r="E204" t="s">
        <v>521</v>
      </c>
    </row>
    <row r="205" spans="1:7" x14ac:dyDescent="0.3">
      <c r="A205" s="33" t="s">
        <v>522</v>
      </c>
      <c r="B205" s="3">
        <f>'Design Converter'!H63*1000</f>
        <v>29400000</v>
      </c>
      <c r="C205" s="2" t="s">
        <v>35</v>
      </c>
      <c r="E205" t="s">
        <v>526</v>
      </c>
    </row>
    <row r="206" spans="1:7" x14ac:dyDescent="0.3">
      <c r="A206" s="33" t="s">
        <v>523</v>
      </c>
      <c r="B206" s="1">
        <f>(RFBT_iso*Vref_iso)/(VOUT1-Vref_iso)</f>
        <v>498305.0847457627</v>
      </c>
      <c r="C206" s="2" t="s">
        <v>35</v>
      </c>
      <c r="E206" t="s">
        <v>525</v>
      </c>
    </row>
    <row r="207" spans="1:7" x14ac:dyDescent="0.3">
      <c r="A207" s="33" t="s">
        <v>524</v>
      </c>
      <c r="B207" s="3">
        <f>'Design Converter'!H65*1000</f>
        <v>499000</v>
      </c>
      <c r="C207" s="2" t="s">
        <v>35</v>
      </c>
      <c r="E207" t="s">
        <v>527</v>
      </c>
    </row>
    <row r="208" spans="1:7" x14ac:dyDescent="0.3">
      <c r="A208" s="33"/>
    </row>
    <row r="209" spans="1:13" x14ac:dyDescent="0.3">
      <c r="A209" s="159" t="s">
        <v>531</v>
      </c>
    </row>
    <row r="210" spans="1:13" x14ac:dyDescent="0.3">
      <c r="A210" s="33" t="s">
        <v>533</v>
      </c>
      <c r="B210" s="3">
        <f>'Design Converter'!H68</f>
        <v>0.8</v>
      </c>
      <c r="C210" t="s">
        <v>528</v>
      </c>
      <c r="E210" t="s">
        <v>535</v>
      </c>
    </row>
    <row r="211" spans="1:13" x14ac:dyDescent="0.3">
      <c r="A211" s="33" t="s">
        <v>534</v>
      </c>
      <c r="B211" s="3">
        <f>'Design Converter'!H69</f>
        <v>1.6</v>
      </c>
      <c r="C211" t="s">
        <v>528</v>
      </c>
      <c r="E211" t="s">
        <v>536</v>
      </c>
    </row>
    <row r="212" spans="1:13" x14ac:dyDescent="0.3">
      <c r="A212" s="33" t="s">
        <v>537</v>
      </c>
      <c r="B212" s="3">
        <f>'Design Converter'!H70</f>
        <v>1.6</v>
      </c>
      <c r="C212" t="s">
        <v>11</v>
      </c>
      <c r="E212" t="s">
        <v>538</v>
      </c>
    </row>
    <row r="213" spans="1:13" x14ac:dyDescent="0.3">
      <c r="A213" s="33" t="s">
        <v>539</v>
      </c>
      <c r="B213" s="3">
        <f>'Design Converter'!H71/(10^9)</f>
        <v>3.2999999999999998E-9</v>
      </c>
      <c r="C213" t="s">
        <v>151</v>
      </c>
      <c r="E213" t="s">
        <v>546</v>
      </c>
    </row>
    <row r="214" spans="1:13" x14ac:dyDescent="0.3">
      <c r="A214" s="33"/>
      <c r="B214" s="3">
        <f>'Design Converter'!H72/1000</f>
        <v>0.2</v>
      </c>
    </row>
    <row r="215" spans="1:13" x14ac:dyDescent="0.3">
      <c r="A215" s="33" t="s">
        <v>547</v>
      </c>
      <c r="B215" s="3">
        <f>'Design Converter'!H75</f>
        <v>6.8</v>
      </c>
      <c r="C215" t="s">
        <v>11</v>
      </c>
      <c r="E215" t="s">
        <v>548</v>
      </c>
      <c r="M215" t="s">
        <v>666</v>
      </c>
    </row>
    <row r="216" spans="1:13" x14ac:dyDescent="0.3">
      <c r="A216" s="33" t="s">
        <v>544</v>
      </c>
      <c r="B216" s="1">
        <f>(Vpullup-Vcomp_max)/Icomp_sink_max</f>
        <v>2687.4999999999995</v>
      </c>
      <c r="C216" s="2" t="s">
        <v>35</v>
      </c>
      <c r="E216" t="s">
        <v>551</v>
      </c>
    </row>
    <row r="217" spans="1:13" x14ac:dyDescent="0.3">
      <c r="A217" s="33" t="s">
        <v>550</v>
      </c>
      <c r="B217" s="3">
        <f>'Design Converter'!H77*1000</f>
        <v>4990</v>
      </c>
      <c r="C217" s="2" t="s">
        <v>35</v>
      </c>
      <c r="E217" t="s">
        <v>552</v>
      </c>
    </row>
    <row r="218" spans="1:13" x14ac:dyDescent="0.3">
      <c r="A218" s="33" t="s">
        <v>561</v>
      </c>
      <c r="B218" s="18">
        <f>1/(2*PI()*Copto*Rpullup)</f>
        <v>9665.0842953722804</v>
      </c>
      <c r="C218" s="2" t="s">
        <v>61</v>
      </c>
      <c r="E218" t="s">
        <v>563</v>
      </c>
      <c r="M218" t="s">
        <v>667</v>
      </c>
    </row>
    <row r="219" spans="1:13" x14ac:dyDescent="0.3">
      <c r="A219" s="33" t="s">
        <v>567</v>
      </c>
      <c r="B219" s="18">
        <f>((VOUT1-Vref_iso-Vd_opto)/(Vpullup-VCE_sat))*(kopto_min*Rpullup)</f>
        <v>88247.393939393951</v>
      </c>
      <c r="C219" s="2" t="s">
        <v>35</v>
      </c>
      <c r="E219" t="s">
        <v>568</v>
      </c>
    </row>
    <row r="220" spans="1:13" x14ac:dyDescent="0.3">
      <c r="A220" s="33" t="s">
        <v>558</v>
      </c>
      <c r="B220" s="3">
        <f>'Design Converter'!H79*1000</f>
        <v>59000</v>
      </c>
      <c r="C220" s="2" t="s">
        <v>35</v>
      </c>
      <c r="E220" t="s">
        <v>571</v>
      </c>
    </row>
    <row r="221" spans="1:13" x14ac:dyDescent="0.3">
      <c r="A221" s="33"/>
    </row>
    <row r="222" spans="1:13" x14ac:dyDescent="0.3">
      <c r="A222" s="33" t="s">
        <v>554</v>
      </c>
      <c r="E222">
        <f>NS1_</f>
        <v>4.42</v>
      </c>
      <c r="F222">
        <f>Np</f>
        <v>1</v>
      </c>
      <c r="G222">
        <f>Gcomp</f>
        <v>0.14199999999999999</v>
      </c>
      <c r="K222">
        <f>fcross_iso</f>
        <v>1000</v>
      </c>
    </row>
    <row r="223" spans="1:13" x14ac:dyDescent="0.3">
      <c r="A223" s="33" t="s">
        <v>560</v>
      </c>
      <c r="B223">
        <f>fz_rhp/5</f>
        <v>52784.467061554766</v>
      </c>
      <c r="C223" t="s">
        <v>61</v>
      </c>
    </row>
    <row r="224" spans="1:13" x14ac:dyDescent="0.3">
      <c r="A224" s="33" t="s">
        <v>561</v>
      </c>
      <c r="B224">
        <f>fopto</f>
        <v>9665.0842953722804</v>
      </c>
      <c r="C224" t="s">
        <v>61</v>
      </c>
      <c r="E224" t="s">
        <v>562</v>
      </c>
    </row>
    <row r="225" spans="1:11" x14ac:dyDescent="0.3">
      <c r="A225" s="33" t="s">
        <v>565</v>
      </c>
      <c r="B225" s="1">
        <f>IF(B223&lt;B224,B223,B224)</f>
        <v>9665.0842953722804</v>
      </c>
      <c r="C225" t="s">
        <v>61</v>
      </c>
      <c r="E225" t="s">
        <v>555</v>
      </c>
    </row>
    <row r="226" spans="1:11" x14ac:dyDescent="0.3">
      <c r="A226" s="33" t="s">
        <v>564</v>
      </c>
      <c r="B226" s="3">
        <f>'Design Converter'!H83*1000</f>
        <v>1000</v>
      </c>
      <c r="C226" t="s">
        <v>61</v>
      </c>
      <c r="E226" t="s">
        <v>566</v>
      </c>
    </row>
    <row r="227" spans="1:11" x14ac:dyDescent="0.3">
      <c r="A227" s="33"/>
    </row>
    <row r="228" spans="1:11" x14ac:dyDescent="0.3">
      <c r="A228" s="33" t="s">
        <v>572</v>
      </c>
      <c r="B228" s="18">
        <f>(NS1_/Np)*(2*PI()*Acs*Cout_total*RLED*R_cs*fcross_iso)/(Gcomp*(1-Dc_VIN_min)*kopto_max)</f>
        <v>9487.9693270849839</v>
      </c>
      <c r="C228" s="2" t="s">
        <v>35</v>
      </c>
      <c r="E228" t="s">
        <v>576</v>
      </c>
    </row>
    <row r="229" spans="1:11" x14ac:dyDescent="0.3">
      <c r="A229" s="33" t="s">
        <v>573</v>
      </c>
      <c r="B229" s="3">
        <f>'Design Converter'!H86*1000</f>
        <v>200000</v>
      </c>
      <c r="C229" s="2" t="s">
        <v>35</v>
      </c>
      <c r="E229" t="s">
        <v>574</v>
      </c>
      <c r="K229">
        <f>Gcomp</f>
        <v>0.14199999999999999</v>
      </c>
    </row>
    <row r="230" spans="1:11" x14ac:dyDescent="0.3">
      <c r="A230" s="33" t="s">
        <v>575</v>
      </c>
      <c r="B230" s="1">
        <f>SQRT(((VOUT1^2)*Cout_total)/(2*PI()*(Rcomp_iso^2)*POUT_Total*fcross_iso*(1+Dc_VIN_max)))</f>
        <v>9.2950625795473902E-9</v>
      </c>
      <c r="C230" s="2" t="s">
        <v>151</v>
      </c>
      <c r="E230">
        <f>(2*PI()*(Rcomp_iso^2)*POUT_Total*fcross_iso*(1+Dc_VIN_max))</f>
        <v>1.3021106360961204E+16</v>
      </c>
      <c r="H230">
        <f>Acs</f>
        <v>1</v>
      </c>
    </row>
    <row r="231" spans="1:11" x14ac:dyDescent="0.3">
      <c r="A231" s="33" t="s">
        <v>577</v>
      </c>
      <c r="B231" s="3">
        <f>'Design Converter'!$H$87*(10^-9)</f>
        <v>4.7000000000000007E-9</v>
      </c>
      <c r="C231" s="2" t="s">
        <v>151</v>
      </c>
      <c r="E231">
        <f>(1+Dc_VIN_max)</f>
        <v>1.3815822945815315</v>
      </c>
      <c r="H231">
        <f>(NS1_/Np)</f>
        <v>4.42</v>
      </c>
      <c r="I231">
        <f>R_cs</f>
        <v>1.4999999999999999E-2</v>
      </c>
    </row>
    <row r="232" spans="1:11" x14ac:dyDescent="0.3">
      <c r="A232" s="33"/>
      <c r="E232">
        <f>fcross_iso</f>
        <v>1000</v>
      </c>
      <c r="F232">
        <f>POUT_Total</f>
        <v>37.5</v>
      </c>
    </row>
    <row r="233" spans="1:11" x14ac:dyDescent="0.3">
      <c r="A233" s="33"/>
    </row>
    <row r="234" spans="1:11" x14ac:dyDescent="0.3">
      <c r="A234" s="33"/>
    </row>
    <row r="235" spans="1:11" x14ac:dyDescent="0.3">
      <c r="A235" s="33"/>
    </row>
    <row r="236" spans="1:11" x14ac:dyDescent="0.3">
      <c r="A236" s="158" t="s">
        <v>532</v>
      </c>
    </row>
    <row r="237" spans="1:11" x14ac:dyDescent="0.3">
      <c r="A237" t="s">
        <v>243</v>
      </c>
    </row>
    <row r="238" spans="1:11" x14ac:dyDescent="0.3">
      <c r="A238" t="s">
        <v>178</v>
      </c>
      <c r="B238" s="3">
        <f>'Design Converter'!H63*(10^3)</f>
        <v>29400000</v>
      </c>
      <c r="C238" s="2" t="s">
        <v>35</v>
      </c>
      <c r="E238" t="s">
        <v>229</v>
      </c>
    </row>
    <row r="239" spans="1:11" x14ac:dyDescent="0.3">
      <c r="A239" t="s">
        <v>233</v>
      </c>
      <c r="B239" s="18">
        <f>(RFBT*Vref)/(VOUT1-Vref)</f>
        <v>197315.43624161073</v>
      </c>
      <c r="C239" s="2" t="s">
        <v>35</v>
      </c>
      <c r="E239" t="s">
        <v>236</v>
      </c>
    </row>
    <row r="240" spans="1:11" x14ac:dyDescent="0.3">
      <c r="A240" t="s">
        <v>179</v>
      </c>
      <c r="B240" s="3">
        <f>'Design Converter'!H65*(10^3)</f>
        <v>499000</v>
      </c>
      <c r="C240" s="2" t="s">
        <v>35</v>
      </c>
      <c r="E240" t="s">
        <v>237</v>
      </c>
    </row>
    <row r="241" spans="1:5" x14ac:dyDescent="0.3">
      <c r="A241" t="s">
        <v>238</v>
      </c>
      <c r="B241" s="1">
        <f>VOUT1/(RFBB+RFBT)</f>
        <v>5.0168901969965552E-6</v>
      </c>
      <c r="C241" s="2" t="s">
        <v>12</v>
      </c>
      <c r="E241" t="s">
        <v>239</v>
      </c>
    </row>
    <row r="242" spans="1:5" x14ac:dyDescent="0.3">
      <c r="C242" s="2"/>
    </row>
    <row r="243" spans="1:5" x14ac:dyDescent="0.3">
      <c r="A243" s="32" t="s">
        <v>244</v>
      </c>
      <c r="E243" t="s">
        <v>386</v>
      </c>
    </row>
    <row r="249" spans="1:5" x14ac:dyDescent="0.3">
      <c r="A249" s="29" t="s">
        <v>557</v>
      </c>
    </row>
    <row r="252" spans="1:5" x14ac:dyDescent="0.3">
      <c r="A252" t="s">
        <v>245</v>
      </c>
      <c r="B252" s="17">
        <f>IF(B189=0,fz_rhp/5,Fsw/10)</f>
        <v>25000</v>
      </c>
      <c r="C252" t="s">
        <v>61</v>
      </c>
      <c r="E252" t="s">
        <v>250</v>
      </c>
    </row>
    <row r="253" spans="1:5" x14ac:dyDescent="0.3">
      <c r="A253" t="s">
        <v>247</v>
      </c>
      <c r="B253" s="3">
        <f>'Design Converter'!H83*1000</f>
        <v>1000</v>
      </c>
      <c r="C253" t="s">
        <v>61</v>
      </c>
      <c r="E253" t="s">
        <v>248</v>
      </c>
    </row>
    <row r="255" spans="1:5" x14ac:dyDescent="0.3">
      <c r="A255" t="s">
        <v>256</v>
      </c>
      <c r="B255" s="20">
        <f>Gplant_fc_dB</f>
        <v>11.791580926221856</v>
      </c>
      <c r="C255" t="s">
        <v>228</v>
      </c>
      <c r="E255" t="s">
        <v>257</v>
      </c>
    </row>
    <row r="256" spans="1:5" x14ac:dyDescent="0.3">
      <c r="A256" t="s">
        <v>252</v>
      </c>
      <c r="B256" s="20">
        <f>10^(B255/20)</f>
        <v>3.8866823335535923</v>
      </c>
      <c r="C256" t="s">
        <v>144</v>
      </c>
      <c r="E256" t="s">
        <v>253</v>
      </c>
    </row>
    <row r="257" spans="1:5" x14ac:dyDescent="0.3">
      <c r="A257" t="s">
        <v>258</v>
      </c>
      <c r="B257" s="20">
        <f>1/B256</f>
        <v>0.25728884281769959</v>
      </c>
      <c r="C257" t="s">
        <v>144</v>
      </c>
      <c r="E257" t="s">
        <v>259</v>
      </c>
    </row>
    <row r="259" spans="1:5" x14ac:dyDescent="0.3">
      <c r="A259" t="s">
        <v>265</v>
      </c>
      <c r="B259">
        <f>fcross/10</f>
        <v>100</v>
      </c>
      <c r="C259" t="s">
        <v>61</v>
      </c>
      <c r="E259" t="s">
        <v>263</v>
      </c>
    </row>
    <row r="260" spans="1:5" x14ac:dyDescent="0.3">
      <c r="A260" t="s">
        <v>266</v>
      </c>
      <c r="B260" s="52">
        <f>SQRT(B181*fcross)</f>
        <v>87.097503264208186</v>
      </c>
      <c r="C260" t="s">
        <v>61</v>
      </c>
      <c r="E260" t="s">
        <v>264</v>
      </c>
    </row>
    <row r="261" spans="1:5" x14ac:dyDescent="0.3">
      <c r="A261" t="s">
        <v>262</v>
      </c>
      <c r="B261" s="52">
        <f>B260</f>
        <v>87.097503264208186</v>
      </c>
      <c r="C261" t="s">
        <v>61</v>
      </c>
    </row>
    <row r="263" spans="1:5" x14ac:dyDescent="0.3">
      <c r="A263" t="s">
        <v>269</v>
      </c>
      <c r="B263" s="31">
        <f>fz_rhp</f>
        <v>263922.33530777384</v>
      </c>
      <c r="C263" t="s">
        <v>61</v>
      </c>
      <c r="E263" t="s">
        <v>415</v>
      </c>
    </row>
    <row r="264" spans="1:5" x14ac:dyDescent="0.3">
      <c r="E264" t="s">
        <v>416</v>
      </c>
    </row>
    <row r="267" spans="1:5" x14ac:dyDescent="0.3">
      <c r="A267" t="s">
        <v>260</v>
      </c>
      <c r="B267" s="17">
        <f>(2*PI()*Acs*Cout_total*NS1_*R_cs*VOUT1*fcross)/(Gcomp*Np*gm_ea*(1-Dc_VIN_min))</f>
        <v>19297.564733054205</v>
      </c>
      <c r="C267" s="2" t="s">
        <v>35</v>
      </c>
      <c r="E267" t="s">
        <v>261</v>
      </c>
    </row>
    <row r="268" spans="1:5" x14ac:dyDescent="0.3">
      <c r="A268" t="s">
        <v>168</v>
      </c>
      <c r="B268" s="3">
        <f>'Design Converter'!H86*1000</f>
        <v>200000</v>
      </c>
      <c r="C268" s="2" t="s">
        <v>35</v>
      </c>
      <c r="E268" t="s">
        <v>175</v>
      </c>
    </row>
    <row r="269" spans="1:5" x14ac:dyDescent="0.3">
      <c r="A269" t="s">
        <v>267</v>
      </c>
      <c r="B269" s="13">
        <f>SQRT((Cout_total*(VOUT1^2))/(2*PI()*(RCOMP^2)*fcross*POUT_Total*(1+Dc_VIN_min)))</f>
        <v>9.136596178256836E-9</v>
      </c>
      <c r="C269" s="2" t="s">
        <v>151</v>
      </c>
    </row>
    <row r="270" spans="1:5" x14ac:dyDescent="0.3">
      <c r="A270" t="s">
        <v>173</v>
      </c>
      <c r="B270" s="3">
        <f>'Design Converter'!H87*(10^-9)</f>
        <v>4.7000000000000007E-9</v>
      </c>
      <c r="C270" t="s">
        <v>151</v>
      </c>
      <c r="E270" t="s">
        <v>176</v>
      </c>
    </row>
    <row r="271" spans="1:5" x14ac:dyDescent="0.3">
      <c r="A271" t="s">
        <v>268</v>
      </c>
      <c r="B271" s="13">
        <f>(Dc_VIN_min*Lm*(NS1_^2)*POUT_Total)/((Np^2)*RCOMP*(VOUT1^2)*(1-Dc_VIN_min)^2)</f>
        <v>3.0151851851851854E-12</v>
      </c>
      <c r="C271" t="s">
        <v>151</v>
      </c>
    </row>
    <row r="272" spans="1:5" x14ac:dyDescent="0.3">
      <c r="A272" t="s">
        <v>174</v>
      </c>
      <c r="B272" s="3">
        <f>'Design Converter'!H88*(10^-12)</f>
        <v>7.2E-10</v>
      </c>
      <c r="C272" t="s">
        <v>151</v>
      </c>
      <c r="E272" t="s">
        <v>177</v>
      </c>
    </row>
    <row r="275" spans="1:8" x14ac:dyDescent="0.3">
      <c r="A275" s="29" t="s">
        <v>330</v>
      </c>
    </row>
    <row r="277" spans="1:8" x14ac:dyDescent="0.3">
      <c r="A277" s="29" t="s">
        <v>345</v>
      </c>
    </row>
    <row r="278" spans="1:8" ht="15.6" x14ac:dyDescent="0.35">
      <c r="A278" t="s">
        <v>353</v>
      </c>
      <c r="B278" s="3">
        <f>'Design Converter'!H93*(10^-3)</f>
        <v>3.4000000000000002E-2</v>
      </c>
      <c r="C278" s="2" t="s">
        <v>35</v>
      </c>
      <c r="E278" s="73" t="s">
        <v>333</v>
      </c>
    </row>
    <row r="279" spans="1:8" ht="15.6" x14ac:dyDescent="0.35">
      <c r="A279" t="s">
        <v>346</v>
      </c>
      <c r="B279" s="3">
        <f>'Design Converter'!H94*(10^-9)</f>
        <v>2.6000000000000001E-8</v>
      </c>
      <c r="C279" t="s">
        <v>151</v>
      </c>
      <c r="E279" s="73" t="s">
        <v>334</v>
      </c>
    </row>
    <row r="280" spans="1:8" ht="15.6" x14ac:dyDescent="0.35">
      <c r="A280" t="s">
        <v>348</v>
      </c>
      <c r="B280" s="3">
        <f>'Design Converter'!H95*(10^-9)</f>
        <v>9.0000000000000012E-9</v>
      </c>
      <c r="C280" t="s">
        <v>151</v>
      </c>
      <c r="E280" s="73" t="s">
        <v>335</v>
      </c>
    </row>
    <row r="281" spans="1:8" ht="15.6" x14ac:dyDescent="0.35">
      <c r="A281" t="s">
        <v>347</v>
      </c>
      <c r="B281" s="3">
        <f>'Design Converter'!H96*(10^-9)</f>
        <v>8.6000000000000009E-9</v>
      </c>
      <c r="C281" t="s">
        <v>151</v>
      </c>
      <c r="E281" s="73" t="s">
        <v>336</v>
      </c>
    </row>
    <row r="282" spans="1:8" ht="15.6" x14ac:dyDescent="0.35">
      <c r="A282" t="s">
        <v>349</v>
      </c>
      <c r="B282" s="3">
        <f>'Design Converter'!H97</f>
        <v>2.7</v>
      </c>
      <c r="C282" s="2" t="s">
        <v>35</v>
      </c>
      <c r="E282" s="73" t="s">
        <v>337</v>
      </c>
    </row>
    <row r="283" spans="1:8" x14ac:dyDescent="0.3">
      <c r="A283" t="s">
        <v>354</v>
      </c>
      <c r="B283" s="12">
        <v>1.5</v>
      </c>
      <c r="C283" s="2"/>
      <c r="E283" s="73" t="s">
        <v>355</v>
      </c>
      <c r="H283" t="s">
        <v>364</v>
      </c>
    </row>
    <row r="284" spans="1:8" ht="15.6" x14ac:dyDescent="0.35">
      <c r="A284" t="s">
        <v>350</v>
      </c>
      <c r="B284" s="12">
        <v>50</v>
      </c>
      <c r="C284" s="2" t="s">
        <v>342</v>
      </c>
      <c r="E284" s="194" t="s">
        <v>669</v>
      </c>
    </row>
    <row r="285" spans="1:8" ht="15.6" x14ac:dyDescent="0.35">
      <c r="A285" t="s">
        <v>351</v>
      </c>
      <c r="B285" s="3">
        <f>'Design Converter'!H98</f>
        <v>4</v>
      </c>
      <c r="C285" s="2" t="s">
        <v>11</v>
      </c>
      <c r="E285" s="73" t="s">
        <v>338</v>
      </c>
    </row>
    <row r="286" spans="1:8" x14ac:dyDescent="0.3">
      <c r="A286" t="s">
        <v>360</v>
      </c>
      <c r="B286" s="12">
        <f>Vcc</f>
        <v>6.75</v>
      </c>
      <c r="C286" s="2" t="s">
        <v>11</v>
      </c>
      <c r="E286" s="73" t="s">
        <v>365</v>
      </c>
    </row>
    <row r="287" spans="1:8" x14ac:dyDescent="0.3">
      <c r="C287" s="2"/>
      <c r="E287" s="73"/>
    </row>
    <row r="288" spans="1:8" x14ac:dyDescent="0.3">
      <c r="C288" s="2"/>
      <c r="E288" s="73"/>
    </row>
    <row r="289" spans="1:5" x14ac:dyDescent="0.3">
      <c r="A289" t="s">
        <v>356</v>
      </c>
      <c r="B289" s="26">
        <f>Vth+(((VOUT1*IOUT1)/VIN_min)/gfs)</f>
        <v>4.0166666666666666</v>
      </c>
      <c r="C289" s="2" t="s">
        <v>11</v>
      </c>
      <c r="E289" s="73" t="s">
        <v>357</v>
      </c>
    </row>
    <row r="290" spans="1:5" x14ac:dyDescent="0.3">
      <c r="A290" t="s">
        <v>366</v>
      </c>
      <c r="B290" s="1">
        <f>(Qgd+(Qgs/2))*((Rgate+B283)/(Vcc-B289))</f>
        <v>2.043658536585366E-8</v>
      </c>
      <c r="C290" s="2" t="s">
        <v>47</v>
      </c>
      <c r="E290" s="73" t="s">
        <v>358</v>
      </c>
    </row>
    <row r="291" spans="1:5" ht="15" thickBot="1" x14ac:dyDescent="0.35">
      <c r="A291" t="s">
        <v>367</v>
      </c>
      <c r="B291" s="1">
        <f>(Qgd+(Qgs/2))*((B283+Rgate)/B289)</f>
        <v>1.3907053941908716E-8</v>
      </c>
      <c r="C291" t="s">
        <v>47</v>
      </c>
      <c r="E291" s="74" t="s">
        <v>359</v>
      </c>
    </row>
  </sheetData>
  <mergeCells count="2">
    <mergeCell ref="A1:J1"/>
    <mergeCell ref="E5:H5"/>
  </mergeCells>
  <conditionalFormatting sqref="Q11:U17">
    <cfRule type="expression" priority="1">
      <formula>$B$23=0</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60960</xdr:colOff>
                <xdr:row>129</xdr:row>
                <xdr:rowOff>137160</xdr:rowOff>
              </from>
              <to>
                <xdr:col>13</xdr:col>
                <xdr:colOff>160020</xdr:colOff>
                <xdr:row>132</xdr:row>
                <xdr:rowOff>22860</xdr:rowOff>
              </to>
            </anchor>
          </objectPr>
        </oleObject>
      </mc:Choice>
      <mc:Fallback>
        <oleObject progId="Mathcad" shapeId="205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708"/>
  <sheetViews>
    <sheetView topLeftCell="A37" zoomScale="55" zoomScaleNormal="55" workbookViewId="0">
      <selection activeCell="H35" sqref="H35"/>
    </sheetView>
  </sheetViews>
  <sheetFormatPr defaultColWidth="8.88671875" defaultRowHeight="14.4" x14ac:dyDescent="0.3"/>
  <cols>
    <col min="1" max="1" width="13.109375" customWidth="1"/>
    <col min="2" max="2" width="25" customWidth="1"/>
    <col min="15" max="15" width="16.6640625" style="35" bestFit="1" customWidth="1"/>
    <col min="16" max="16" width="16.6640625" customWidth="1"/>
    <col min="33" max="33" width="10.109375" customWidth="1"/>
    <col min="34" max="34" width="12" bestFit="1" customWidth="1"/>
    <col min="45" max="45" width="9.109375" customWidth="1"/>
  </cols>
  <sheetData>
    <row r="1" spans="1:50" ht="28.2" x14ac:dyDescent="0.5">
      <c r="A1" s="225" t="s">
        <v>16</v>
      </c>
      <c r="B1" s="225"/>
      <c r="C1" s="225"/>
      <c r="D1" s="225"/>
      <c r="E1" s="225"/>
      <c r="F1" s="225"/>
      <c r="G1" s="225"/>
      <c r="H1" s="225"/>
      <c r="I1" s="225"/>
      <c r="J1" s="225"/>
      <c r="K1" s="225"/>
      <c r="L1" s="225"/>
      <c r="M1" s="225"/>
      <c r="N1" s="225" t="s">
        <v>183</v>
      </c>
      <c r="O1" s="225"/>
      <c r="P1" s="225"/>
      <c r="Q1" s="225"/>
      <c r="R1" s="225"/>
      <c r="S1" s="225"/>
      <c r="T1" s="225"/>
      <c r="U1" s="225"/>
      <c r="V1" s="225"/>
      <c r="W1" s="225"/>
      <c r="X1" s="225"/>
    </row>
    <row r="2" spans="1:50" x14ac:dyDescent="0.3">
      <c r="A2" s="5"/>
      <c r="B2" s="5" t="s">
        <v>17</v>
      </c>
      <c r="C2" s="6"/>
      <c r="D2" s="4"/>
      <c r="E2" s="5"/>
      <c r="F2" s="5"/>
      <c r="G2" s="5"/>
      <c r="H2" s="5"/>
      <c r="I2" s="5"/>
      <c r="J2" s="5"/>
      <c r="K2" s="5"/>
      <c r="L2" s="5"/>
      <c r="M2" s="5"/>
      <c r="O2"/>
    </row>
    <row r="3" spans="1:50" ht="15" thickBot="1" x14ac:dyDescent="0.35">
      <c r="A3" s="5"/>
      <c r="B3" s="5" t="s">
        <v>18</v>
      </c>
      <c r="C3" s="9"/>
      <c r="D3" s="4"/>
      <c r="E3" s="5"/>
      <c r="F3" s="14"/>
      <c r="G3" s="15"/>
      <c r="H3" s="15"/>
      <c r="I3" s="15"/>
      <c r="J3" s="15"/>
      <c r="K3" s="25"/>
      <c r="L3" s="5"/>
      <c r="M3" s="5"/>
      <c r="O3"/>
    </row>
    <row r="4" spans="1:50" ht="15" thickBot="1" x14ac:dyDescent="0.35">
      <c r="A4" s="5"/>
      <c r="B4" s="5" t="s">
        <v>19</v>
      </c>
      <c r="C4" s="7"/>
      <c r="D4" s="4"/>
      <c r="E4" s="5"/>
      <c r="F4" s="14"/>
      <c r="G4" s="15"/>
      <c r="H4" s="15"/>
      <c r="I4" s="15"/>
      <c r="J4" s="15"/>
      <c r="K4" s="25"/>
      <c r="L4" s="5"/>
      <c r="M4" s="5"/>
      <c r="N4" s="62"/>
      <c r="O4" s="68"/>
      <c r="P4" s="227" t="s">
        <v>214</v>
      </c>
      <c r="Q4" s="227"/>
      <c r="R4" s="227"/>
      <c r="S4" s="227"/>
      <c r="T4" s="227"/>
      <c r="U4" s="227"/>
      <c r="V4" s="227"/>
      <c r="W4" s="227"/>
      <c r="X4" s="227"/>
      <c r="Y4" s="227"/>
      <c r="Z4" s="227"/>
      <c r="AA4" s="227"/>
      <c r="AB4" s="227"/>
      <c r="AC4" s="227"/>
      <c r="AD4" s="227"/>
      <c r="AE4" s="228"/>
      <c r="AF4" s="229" t="s">
        <v>215</v>
      </c>
      <c r="AG4" s="227"/>
      <c r="AH4" s="227"/>
      <c r="AI4" s="227"/>
      <c r="AJ4" s="227"/>
      <c r="AK4" s="227"/>
      <c r="AL4" s="227"/>
      <c r="AM4" s="227"/>
      <c r="AN4" s="227"/>
      <c r="AO4" s="227"/>
      <c r="AP4" s="227"/>
      <c r="AQ4" s="227"/>
      <c r="AR4" s="227"/>
      <c r="AS4" s="227"/>
      <c r="AT4" s="227"/>
      <c r="AU4" s="228"/>
      <c r="AV4" s="229" t="s">
        <v>226</v>
      </c>
      <c r="AW4" s="227"/>
      <c r="AX4" s="228"/>
    </row>
    <row r="5" spans="1:50" x14ac:dyDescent="0.3">
      <c r="A5" s="5"/>
      <c r="D5" s="4"/>
      <c r="E5" s="5"/>
      <c r="F5" s="5"/>
      <c r="G5" s="5"/>
      <c r="H5" s="5"/>
      <c r="I5" s="5"/>
      <c r="J5" s="5"/>
      <c r="K5" s="5"/>
      <c r="L5" s="5"/>
      <c r="M5" s="5"/>
      <c r="N5" s="42"/>
      <c r="O5" s="44"/>
      <c r="Q5" s="230" t="s">
        <v>206</v>
      </c>
      <c r="R5" s="230"/>
      <c r="S5" s="230"/>
      <c r="T5" s="231" t="s">
        <v>208</v>
      </c>
      <c r="U5" s="231"/>
      <c r="V5" s="231"/>
      <c r="W5" s="231" t="s">
        <v>208</v>
      </c>
      <c r="X5" s="231"/>
      <c r="Y5" s="231"/>
      <c r="Z5" s="231" t="s">
        <v>211</v>
      </c>
      <c r="AA5" s="231"/>
      <c r="AB5" s="231"/>
      <c r="AC5" s="232" t="s">
        <v>213</v>
      </c>
      <c r="AD5" s="231"/>
      <c r="AE5" s="233"/>
      <c r="AG5" s="231" t="s">
        <v>222</v>
      </c>
      <c r="AH5" s="231"/>
      <c r="AI5" s="231"/>
      <c r="AJ5" s="234" t="s">
        <v>223</v>
      </c>
      <c r="AK5" s="234"/>
      <c r="AL5" s="234"/>
      <c r="AM5" s="234" t="s">
        <v>578</v>
      </c>
      <c r="AN5" s="234"/>
      <c r="AO5" s="234"/>
      <c r="AP5" s="231" t="s">
        <v>579</v>
      </c>
      <c r="AQ5" s="231"/>
      <c r="AR5" s="231"/>
      <c r="AS5" s="232" t="s">
        <v>213</v>
      </c>
      <c r="AT5" s="231"/>
      <c r="AU5" s="233"/>
      <c r="AV5" s="232" t="s">
        <v>213</v>
      </c>
      <c r="AW5" s="231"/>
      <c r="AX5" s="233"/>
    </row>
    <row r="6" spans="1:50" ht="15" thickBot="1" x14ac:dyDescent="0.35">
      <c r="A6" s="8" t="s">
        <v>20</v>
      </c>
      <c r="B6" s="8" t="s">
        <v>21</v>
      </c>
      <c r="C6" s="8" t="s">
        <v>22</v>
      </c>
      <c r="D6" s="4"/>
      <c r="E6" s="226" t="s">
        <v>23</v>
      </c>
      <c r="F6" s="226"/>
      <c r="G6" s="226"/>
      <c r="H6" s="226"/>
      <c r="I6" s="226"/>
      <c r="J6" s="226"/>
      <c r="K6" s="226"/>
      <c r="L6" s="5"/>
      <c r="M6" s="8"/>
      <c r="N6" s="42"/>
      <c r="O6" s="44"/>
      <c r="P6" s="4" t="s">
        <v>189</v>
      </c>
      <c r="Q6" t="s">
        <v>212</v>
      </c>
      <c r="R6" s="4" t="s">
        <v>209</v>
      </c>
      <c r="S6" s="4" t="s">
        <v>210</v>
      </c>
      <c r="T6" s="4" t="s">
        <v>212</v>
      </c>
      <c r="U6" s="4" t="s">
        <v>209</v>
      </c>
      <c r="V6" s="4" t="s">
        <v>210</v>
      </c>
      <c r="W6" s="4" t="s">
        <v>212</v>
      </c>
      <c r="X6" s="4" t="s">
        <v>209</v>
      </c>
      <c r="Y6" s="4" t="s">
        <v>210</v>
      </c>
      <c r="Z6" s="4" t="s">
        <v>212</v>
      </c>
      <c r="AA6" s="4" t="s">
        <v>209</v>
      </c>
      <c r="AB6" s="4" t="s">
        <v>210</v>
      </c>
      <c r="AC6" s="48" t="s">
        <v>227</v>
      </c>
      <c r="AD6" s="4" t="s">
        <v>209</v>
      </c>
      <c r="AE6" s="61" t="s">
        <v>210</v>
      </c>
      <c r="AF6" s="4" t="s">
        <v>224</v>
      </c>
      <c r="AG6" s="4" t="s">
        <v>212</v>
      </c>
      <c r="AH6" s="4" t="s">
        <v>225</v>
      </c>
      <c r="AI6" s="4" t="s">
        <v>210</v>
      </c>
      <c r="AJ6" s="4" t="s">
        <v>212</v>
      </c>
      <c r="AK6" s="4" t="s">
        <v>225</v>
      </c>
      <c r="AL6" s="4" t="s">
        <v>210</v>
      </c>
      <c r="AM6" s="4" t="s">
        <v>212</v>
      </c>
      <c r="AN6" s="4" t="s">
        <v>225</v>
      </c>
      <c r="AO6" s="4" t="s">
        <v>210</v>
      </c>
      <c r="AP6" s="4" t="s">
        <v>212</v>
      </c>
      <c r="AQ6" s="4" t="s">
        <v>225</v>
      </c>
      <c r="AR6" s="4" t="s">
        <v>210</v>
      </c>
      <c r="AS6" s="48" t="s">
        <v>227</v>
      </c>
      <c r="AT6" s="4" t="s">
        <v>209</v>
      </c>
      <c r="AU6" s="61" t="s">
        <v>210</v>
      </c>
      <c r="AV6" s="48" t="s">
        <v>227</v>
      </c>
      <c r="AW6" s="4" t="s">
        <v>209</v>
      </c>
      <c r="AX6" s="61" t="s">
        <v>210</v>
      </c>
    </row>
    <row r="7" spans="1:50" ht="15" thickBot="1" x14ac:dyDescent="0.35">
      <c r="A7" s="8"/>
      <c r="B7" s="8"/>
      <c r="C7" s="8"/>
      <c r="D7" s="4"/>
      <c r="E7" s="5"/>
      <c r="F7" s="5"/>
      <c r="G7" s="5"/>
      <c r="H7" s="5"/>
      <c r="I7" s="5"/>
      <c r="J7" s="5"/>
      <c r="K7" s="5"/>
      <c r="L7" s="5"/>
      <c r="M7" s="8"/>
      <c r="N7" t="s">
        <v>395</v>
      </c>
      <c r="O7" s="68">
        <f>fcross</f>
        <v>1000</v>
      </c>
      <c r="P7" s="34" t="str">
        <f t="shared" ref="P7:P13" si="0">COMPLEX(Adc,0)</f>
        <v>545.10556621881</v>
      </c>
      <c r="Q7" s="4" t="str">
        <f t="shared" ref="Q7" si="1">IMSUM(COMPLEX(1,0),IMDIV(COMPLEX(0,2*PI()*O7),COMPLEX(wp_lf,0)))</f>
        <v>1+134.226204354911i</v>
      </c>
      <c r="R7" s="4">
        <f t="shared" ref="R7" si="2">IMABS(Q7)</f>
        <v>134.22992935827065</v>
      </c>
      <c r="S7" s="4">
        <f t="shared" ref="S7" si="3">IMARGUMENT(Q7)</f>
        <v>1.5633463545332069</v>
      </c>
      <c r="T7" s="4" t="str">
        <f t="shared" ref="T7" si="4">IMSUM(COMPLEX(1,0),IMDIV(COMPLEX(0,2*PI()*O7),COMPLEX(wz_esr,0)))</f>
        <v>1+0.0031415926535898i</v>
      </c>
      <c r="U7" s="4">
        <f t="shared" ref="U7" si="5">IMABS(T7)</f>
        <v>1.0000049347900244</v>
      </c>
      <c r="V7" s="4">
        <f t="shared" ref="V7" si="6">IMARGUMENT(T7)</f>
        <v>3.1415823182254434E-3</v>
      </c>
      <c r="W7" t="str">
        <f t="shared" ref="W7" si="7">IMSUB(COMPLEX(1,0),IMDIV(COMPLEX(0,2*PI()*O7),COMPLEX(wz_rhp,0)))</f>
        <v>1-0.00326348644854907i</v>
      </c>
      <c r="X7" s="4">
        <f t="shared" ref="X7" si="8">IMABS(W7)</f>
        <v>1.0000053251577212</v>
      </c>
      <c r="Y7" s="4">
        <f t="shared" ref="Y7" si="9">IMARGUMENT(W7)</f>
        <v>-3.2634748628722174E-3</v>
      </c>
      <c r="Z7" t="str">
        <f t="shared" ref="Z7" si="10">IMSUM(COMPLEX(1,0),IMDIV(COMPLEX(0,2*PI()*O7),COMPLEX(Q*(wsl/2),0)),IMDIV(IMPOWER(COMPLEX(0,2*PI()*O7),2),IMPOWER(COMPLEX(wsl/2,0),2)))</f>
        <v>0.999936+0.0141323246545152i</v>
      </c>
      <c r="AA7" s="4">
        <f t="shared" ref="AA7" si="11">IMABS(Z7)</f>
        <v>1.0000358627050034</v>
      </c>
      <c r="AB7" s="4">
        <f t="shared" ref="AB7" si="12">IMARGUMENT(Z7)</f>
        <v>1.4132288265073324E-2</v>
      </c>
      <c r="AC7" s="48" t="str">
        <f t="shared" ref="AC7" si="13">(IMDIV(IMPRODUCT(P7,T7,W7),IMPRODUCT(Q7,Z7)))</f>
        <v>-0.0276308599343997-4.06078581029116i</v>
      </c>
      <c r="AD7" s="20">
        <f t="shared" ref="AD7" si="14">20*LOG(IMABS(AC7))</f>
        <v>12.172402724987258</v>
      </c>
      <c r="AE7" s="44">
        <f t="shared" ref="AE7" si="15">(180/PI())*IMARGUMENT(AC7)</f>
        <v>-90.389852432728986</v>
      </c>
      <c r="AF7" t="str">
        <f t="shared" ref="AF7:AF13" si="16">COMPLEX(Adc_ea_iso,0)</f>
        <v>-0.979317078436135</v>
      </c>
      <c r="AG7" t="str">
        <f t="shared" ref="AG7" si="17">COMPLEX(0,1*2*PI()*O7)</f>
        <v>6283.18530717959i</v>
      </c>
      <c r="AH7">
        <f t="shared" ref="AH7" si="18">IMABS(AG7)</f>
        <v>6283.1853071795904</v>
      </c>
      <c r="AI7">
        <f t="shared" ref="AI7" si="19">IMARGUMENT(AG7)</f>
        <v>1.5707963267948966</v>
      </c>
      <c r="AJ7" t="str">
        <f t="shared" ref="AJ7:AJ13" si="20">IMSUM(IMPRODUCT(COMPLEX(wpA_ea_iso,0),IMPOWER(COMPLEX(0,2*PI()*O7),2)),COMPLEX(0,wpB_ea_iso*2*PI()*O7),COMPLEX(1,0))</f>
        <v>0.388914363470502+6.15701894621142i</v>
      </c>
      <c r="AK7">
        <f t="shared" ref="AK7" si="21">IMABS(AJ7)</f>
        <v>6.1692898040309352</v>
      </c>
      <c r="AL7">
        <f t="shared" ref="AL7" si="22">IMARGUMENT(AJ7)</f>
        <v>1.507714118902046</v>
      </c>
      <c r="AM7" t="str">
        <f t="shared" ref="AM7:AM13" si="23">IMSUM(COMPLEX(1,0),IMDIV(COMPLEX(0,2*PI()*O7),COMPLEX(wz1_ea_iso,0)))</f>
        <v>1+874.116739934825i</v>
      </c>
      <c r="AN7">
        <f t="shared" ref="AN7:AN13" si="24">IMABS(AM7)</f>
        <v>874.11731194061497</v>
      </c>
      <c r="AO7">
        <f t="shared" ref="AO7" si="25">IMARGUMENT(AM7)</f>
        <v>1.5696523153396069</v>
      </c>
      <c r="AP7" t="str">
        <f t="shared" ref="AP7:AP13" si="26">IMSUM(COMPLEX(1,0),IMDIV(COMPLEX(0,2*PI()*O7),COMPLEX(wz2_ea_iso,0)))</f>
        <v>1+5.90619418874883i</v>
      </c>
      <c r="AQ7">
        <f t="shared" ref="AQ7" si="27">IMABS(AP7)</f>
        <v>5.9902528991028792</v>
      </c>
      <c r="AR7">
        <f t="shared" ref="AR7" si="28">IMARGUMENT(AP7)</f>
        <v>1.4030732009107361</v>
      </c>
      <c r="AS7" s="42" t="str">
        <f t="shared" ref="AS7" si="29">IMDIV(IMPRODUCT(AF7,AM7,AP7),IMPRODUCT(AG7,AJ7))</f>
        <v>-0.131549331781596+0.0139680787280791i</v>
      </c>
      <c r="AT7">
        <f t="shared" ref="AT7" si="30">20*LOG(IMABS(AS7))</f>
        <v>-17.569536646684391</v>
      </c>
      <c r="AU7" s="44">
        <f t="shared" ref="AU7" si="31">(180/PI())*IMARGUMENT(AS7)</f>
        <v>173.93897000662065</v>
      </c>
      <c r="AV7" s="42" t="str">
        <f>IMPRODUCT(AC7,AS7)</f>
        <v>0.0603561970569346+0.533807709825101i</v>
      </c>
      <c r="AW7" s="20">
        <f t="shared" ref="AW7" si="32">20*LOG(IMABS(AV7))</f>
        <v>-5.3971339216971277</v>
      </c>
      <c r="AX7" s="44">
        <f t="shared" ref="AX7" si="33">(180/PI())*IMARGUMENT(AV7)</f>
        <v>83.549117573891692</v>
      </c>
    </row>
    <row r="8" spans="1:50" ht="15" thickBot="1" x14ac:dyDescent="0.35">
      <c r="A8" s="8"/>
      <c r="B8" s="8"/>
      <c r="C8" s="8"/>
      <c r="D8" s="4"/>
      <c r="E8" s="5"/>
      <c r="F8" s="5"/>
      <c r="G8" s="5"/>
      <c r="H8" s="5"/>
      <c r="I8" s="5"/>
      <c r="J8" s="5"/>
      <c r="K8" s="5"/>
      <c r="L8" s="5"/>
      <c r="M8" s="8"/>
      <c r="N8" s="62" t="s">
        <v>254</v>
      </c>
      <c r="O8" s="68">
        <f>fcross</f>
        <v>1000</v>
      </c>
      <c r="P8" s="34" t="str">
        <f t="shared" si="0"/>
        <v>545.10556621881</v>
      </c>
      <c r="Q8" s="4" t="str">
        <f t="shared" ref="Q8:Q13" si="34">IMSUM(COMPLEX(1,0),IMDIV(COMPLEX(0,2*PI()*O8),COMPLEX(wp_lf,0)))</f>
        <v>1+134.226204354911i</v>
      </c>
      <c r="R8" s="4">
        <f t="shared" ref="R8:R13" si="35">IMABS(Q8)</f>
        <v>134.22992935827065</v>
      </c>
      <c r="S8" s="4">
        <f t="shared" ref="S8:S13" si="36">IMARGUMENT(Q8)</f>
        <v>1.5633463545332069</v>
      </c>
      <c r="T8" s="4" t="str">
        <f t="shared" ref="T8:T13" si="37">IMSUM(COMPLEX(1,0),IMDIV(COMPLEX(0,2*PI()*O8),COMPLEX(wz_esr,0)))</f>
        <v>1+0.0031415926535898i</v>
      </c>
      <c r="U8" s="4">
        <f t="shared" ref="U8:U13" si="38">IMABS(T8)</f>
        <v>1.0000049347900244</v>
      </c>
      <c r="V8" s="4">
        <f t="shared" ref="V8:V13" si="39">IMARGUMENT(T8)</f>
        <v>3.1415823182254434E-3</v>
      </c>
      <c r="W8" t="str">
        <f t="shared" ref="W8:W13" si="40">IMSUB(COMPLEX(1,0),IMDIV(COMPLEX(0,2*PI()*O8),COMPLEX(wz_rhp,0)))</f>
        <v>1-0.00326348644854907i</v>
      </c>
      <c r="X8" s="4">
        <f t="shared" ref="X8:X13" si="41">IMABS(W8)</f>
        <v>1.0000053251577212</v>
      </c>
      <c r="Y8" s="4">
        <f t="shared" ref="Y8:Y13" si="42">IMARGUMENT(W8)</f>
        <v>-3.2634748628722174E-3</v>
      </c>
      <c r="Z8" t="str">
        <f t="shared" ref="Z8:Z13" si="43">IMSUM(COMPLEX(1,0),IMDIV(COMPLEX(0,2*PI()*O8),COMPLEX(Q*(wsl/2),0)),IMDIV(IMPOWER(COMPLEX(0,2*PI()*O8),2),IMPOWER(COMPLEX(wsl/2,0),2)))</f>
        <v>0.999936+0.0141323246545152i</v>
      </c>
      <c r="AA8" s="4">
        <f t="shared" ref="AA8:AA13" si="44">IMABS(Z8)</f>
        <v>1.0000358627050034</v>
      </c>
      <c r="AB8" s="4">
        <f t="shared" ref="AB8:AB13" si="45">IMARGUMENT(Z8)</f>
        <v>1.4132288265073324E-2</v>
      </c>
      <c r="AC8" s="48" t="str">
        <f t="shared" ref="AC8:AC13" si="46">(IMDIV(IMPRODUCT(P8,T8,W8),IMPRODUCT(Q8,Z8)))</f>
        <v>-0.0276308599343997-4.06078581029116i</v>
      </c>
      <c r="AD8" s="20">
        <f t="shared" ref="AD8:AD13" si="47">20*LOG(IMABS(AC8))</f>
        <v>12.172402724987258</v>
      </c>
      <c r="AE8" s="44">
        <f t="shared" ref="AE8:AE13" si="48">(180/PI())*IMARGUMENT(AC8)</f>
        <v>-90.389852432728986</v>
      </c>
      <c r="AF8" t="str">
        <f t="shared" si="16"/>
        <v>-0.979317078436135</v>
      </c>
      <c r="AG8" t="str">
        <f t="shared" ref="AG8:AG13" si="49">COMPLEX(0,1*2*PI()*O8)</f>
        <v>6283.18530717959i</v>
      </c>
      <c r="AH8">
        <f t="shared" ref="AH8:AH13" si="50">IMABS(AG8)</f>
        <v>6283.1853071795904</v>
      </c>
      <c r="AI8">
        <f t="shared" ref="AI8:AI13" si="51">IMARGUMENT(AG8)</f>
        <v>1.5707963267948966</v>
      </c>
      <c r="AJ8" t="str">
        <f t="shared" si="20"/>
        <v>0.388914363470502+6.15701894621142i</v>
      </c>
      <c r="AK8">
        <f t="shared" ref="AK8:AK13" si="52">IMABS(AJ8)</f>
        <v>6.1692898040309352</v>
      </c>
      <c r="AL8">
        <f t="shared" ref="AL8:AL13" si="53">IMARGUMENT(AJ8)</f>
        <v>1.507714118902046</v>
      </c>
      <c r="AM8" t="str">
        <f t="shared" si="23"/>
        <v>1+874.116739934825i</v>
      </c>
      <c r="AN8">
        <f t="shared" si="24"/>
        <v>874.11731194061497</v>
      </c>
      <c r="AO8">
        <f t="shared" ref="AO8:AO13" si="54">IMARGUMENT(AM8)</f>
        <v>1.5696523153396069</v>
      </c>
      <c r="AP8" t="str">
        <f t="shared" si="26"/>
        <v>1+5.90619418874883i</v>
      </c>
      <c r="AQ8">
        <f t="shared" ref="AQ8:AQ13" si="55">IMABS(AP8)</f>
        <v>5.9902528991028792</v>
      </c>
      <c r="AR8">
        <f t="shared" ref="AR8:AR13" si="56">IMARGUMENT(AP8)</f>
        <v>1.4030732009107361</v>
      </c>
      <c r="AS8" s="42" t="str">
        <f t="shared" ref="AS8:AS13" si="57">IMDIV(IMPRODUCT(AF8,AM8,AP8),IMPRODUCT(AG8,AJ8))</f>
        <v>-0.131549331781596+0.0139680787280791i</v>
      </c>
      <c r="AT8">
        <f t="shared" ref="AT8:AT13" si="58">20*LOG(IMABS(AS8))</f>
        <v>-17.569536646684391</v>
      </c>
      <c r="AU8" s="44">
        <f t="shared" ref="AU8:AU13" si="59">(180/PI())*IMARGUMENT(AS8)</f>
        <v>173.93897000662065</v>
      </c>
      <c r="AV8" s="42" t="str">
        <f t="shared" ref="AV8:AV13" si="60">IMPRODUCT(AC8,AS8)</f>
        <v>0.0603561970569346+0.533807709825101i</v>
      </c>
      <c r="AW8" s="20">
        <f t="shared" ref="AW8:AW13" si="61">20*LOG(IMABS(AV8))</f>
        <v>-5.3971339216971277</v>
      </c>
      <c r="AX8" s="44">
        <f t="shared" ref="AX8:AX13" si="62">(180/PI())*IMARGUMENT(AV8)</f>
        <v>83.549117573891692</v>
      </c>
    </row>
    <row r="9" spans="1:50" x14ac:dyDescent="0.3">
      <c r="A9" s="51" t="s">
        <v>159</v>
      </c>
      <c r="B9" s="8"/>
      <c r="C9" s="8"/>
      <c r="D9" s="4"/>
      <c r="E9" s="5"/>
      <c r="F9" s="5"/>
      <c r="G9" s="5"/>
      <c r="H9" s="5"/>
      <c r="I9" s="5"/>
      <c r="J9" s="5"/>
      <c r="K9" s="5"/>
      <c r="L9" s="5"/>
      <c r="M9" s="8"/>
      <c r="N9" s="53" t="s">
        <v>255</v>
      </c>
      <c r="O9" s="69">
        <f>wz_rhp/(2*PI())</f>
        <v>306420.76066980243</v>
      </c>
      <c r="P9" s="34" t="str">
        <f t="shared" si="0"/>
        <v>545.10556621881</v>
      </c>
      <c r="Q9" s="4" t="str">
        <f t="shared" si="34"/>
        <v>1+41129.6956402524i</v>
      </c>
      <c r="R9" s="4">
        <f t="shared" si="35"/>
        <v>41129.695652409071</v>
      </c>
      <c r="S9" s="4">
        <f t="shared" si="36"/>
        <v>1.5707720134615681</v>
      </c>
      <c r="T9" s="4" t="str">
        <f t="shared" si="37"/>
        <v>1+0.96264921062765i</v>
      </c>
      <c r="U9" s="4">
        <f t="shared" si="38"/>
        <v>1.3880538544026444</v>
      </c>
      <c r="V9" s="4">
        <f t="shared" si="39"/>
        <v>0.76636965793657652</v>
      </c>
      <c r="W9" t="str">
        <f t="shared" si="40"/>
        <v>1-i</v>
      </c>
      <c r="X9" s="4">
        <f t="shared" si="41"/>
        <v>1.4142135623730951</v>
      </c>
      <c r="Y9" s="4">
        <f t="shared" si="42"/>
        <v>-0.78539816339744828</v>
      </c>
      <c r="Z9" t="str">
        <f t="shared" si="43"/>
        <v>-5.0091956844455+4.33043767066915i</v>
      </c>
      <c r="AA9" s="4">
        <f t="shared" si="44"/>
        <v>6.6215354582315644</v>
      </c>
      <c r="AB9" s="4">
        <f t="shared" si="45"/>
        <v>2.4287419630367539</v>
      </c>
      <c r="AC9" s="48" t="str">
        <f t="shared" si="46"/>
        <v>-0.00251262477829659+0.00302062290756846i</v>
      </c>
      <c r="AD9" s="20">
        <f t="shared" si="47"/>
        <v>-48.114245478123422</v>
      </c>
      <c r="AE9" s="44">
        <f t="shared" si="48"/>
        <v>129.75447598971144</v>
      </c>
      <c r="AF9" t="str">
        <f t="shared" si="16"/>
        <v>-0.979317078436135</v>
      </c>
      <c r="AG9" t="str">
        <f t="shared" si="49"/>
        <v>1925298.4212553i</v>
      </c>
      <c r="AH9">
        <f t="shared" si="50"/>
        <v>1925298.4212553001</v>
      </c>
      <c r="AI9">
        <f t="shared" si="51"/>
        <v>1.5707963267948966</v>
      </c>
      <c r="AJ9" t="str">
        <f t="shared" si="20"/>
        <v>-57376.0807790575+1886.6384289565i</v>
      </c>
      <c r="AK9">
        <f t="shared" si="52"/>
        <v>57407.090591028442</v>
      </c>
      <c r="AL9">
        <f t="shared" si="53"/>
        <v>3.1087225292336385</v>
      </c>
      <c r="AM9" t="str">
        <f t="shared" si="23"/>
        <v>1+267847.516365037i</v>
      </c>
      <c r="AN9">
        <f t="shared" si="24"/>
        <v>267847.51636690379</v>
      </c>
      <c r="AO9">
        <f t="shared" si="54"/>
        <v>1.5707925933273865</v>
      </c>
      <c r="AP9" t="str">
        <f t="shared" si="26"/>
        <v>1+1809.78051597999i</v>
      </c>
      <c r="AQ9">
        <f t="shared" si="55"/>
        <v>1809.7807922565646</v>
      </c>
      <c r="AR9">
        <f t="shared" si="56"/>
        <v>1.5702437736596415</v>
      </c>
      <c r="AS9" s="42" t="str">
        <f t="shared" si="57"/>
        <v>-0.000138767029436764+0.00429285830084518i</v>
      </c>
      <c r="AT9">
        <f t="shared" si="58"/>
        <v>-47.340533307119898</v>
      </c>
      <c r="AU9" s="44">
        <f t="shared" si="59"/>
        <v>91.851446523139728</v>
      </c>
      <c r="AV9" s="42" t="str">
        <f t="shared" si="60"/>
        <v>-0.0000126184366459049-0.0000112055050043517i</v>
      </c>
      <c r="AW9" s="20">
        <f t="shared" si="61"/>
        <v>-95.45477878524332</v>
      </c>
      <c r="AX9" s="44">
        <f t="shared" si="62"/>
        <v>-138.39407748714876</v>
      </c>
    </row>
    <row r="10" spans="1:50" x14ac:dyDescent="0.3">
      <c r="A10" t="s">
        <v>26</v>
      </c>
      <c r="B10" s="3">
        <f>VIN_min</f>
        <v>45</v>
      </c>
      <c r="C10" t="s">
        <v>11</v>
      </c>
      <c r="E10" t="s">
        <v>29</v>
      </c>
      <c r="N10" s="42" t="s">
        <v>208</v>
      </c>
      <c r="O10" s="70">
        <f>wz_esr/(2*PI())</f>
        <v>318309.88618379069</v>
      </c>
      <c r="P10" s="34" t="str">
        <f t="shared" si="0"/>
        <v>545.10556621881</v>
      </c>
      <c r="Q10" s="4" t="str">
        <f t="shared" si="34"/>
        <v>1+42725.527831094i</v>
      </c>
      <c r="R10" s="4">
        <f t="shared" si="35"/>
        <v>42725.527842796597</v>
      </c>
      <c r="S10" s="4">
        <f t="shared" si="36"/>
        <v>1.5707729215837598</v>
      </c>
      <c r="T10" s="4" t="str">
        <f t="shared" si="37"/>
        <v>1+i</v>
      </c>
      <c r="U10" s="4">
        <f t="shared" si="38"/>
        <v>1.4142135623730951</v>
      </c>
      <c r="V10" s="4">
        <f t="shared" si="39"/>
        <v>0.78539816339744828</v>
      </c>
      <c r="W10" t="str">
        <f t="shared" si="40"/>
        <v>1-1.0388i</v>
      </c>
      <c r="X10" s="4">
        <f t="shared" si="41"/>
        <v>1.4419103439534651</v>
      </c>
      <c r="Y10" s="4">
        <f t="shared" si="42"/>
        <v>-0.80442666885832148</v>
      </c>
      <c r="Z10" t="str">
        <f t="shared" si="43"/>
        <v>-5.48455575310963+4.4984586522911i</v>
      </c>
      <c r="AA10" s="4">
        <f t="shared" si="44"/>
        <v>7.093411172020172</v>
      </c>
      <c r="AB10" s="4">
        <f t="shared" si="45"/>
        <v>2.4546525903339864</v>
      </c>
      <c r="AC10" s="48" t="str">
        <f t="shared" si="46"/>
        <v>-0.00227163573589285+0.00287950329190704i</v>
      </c>
      <c r="AD10" s="20">
        <f t="shared" si="47"/>
        <v>-48.712173989399645</v>
      </c>
      <c r="AE10" s="44">
        <f t="shared" si="48"/>
        <v>128.2698543694745</v>
      </c>
      <c r="AF10" t="str">
        <f t="shared" si="16"/>
        <v>-0.979317078436135</v>
      </c>
      <c r="AG10" t="str">
        <f t="shared" si="49"/>
        <v>2000000i</v>
      </c>
      <c r="AH10">
        <f t="shared" si="50"/>
        <v>2000000</v>
      </c>
      <c r="AI10">
        <f t="shared" si="51"/>
        <v>1.5707963267948966</v>
      </c>
      <c r="AJ10" t="str">
        <f t="shared" si="20"/>
        <v>-61914.92+1959.84000000001i</v>
      </c>
      <c r="AK10">
        <f t="shared" si="52"/>
        <v>61945.93038636195</v>
      </c>
      <c r="AL10">
        <f t="shared" si="53"/>
        <v>3.1099494594700685</v>
      </c>
      <c r="AM10" t="str">
        <f t="shared" si="23"/>
        <v>1+278240i</v>
      </c>
      <c r="AN10">
        <f t="shared" si="24"/>
        <v>278240.00000179699</v>
      </c>
      <c r="AO10">
        <f t="shared" si="54"/>
        <v>1.5707927327753453</v>
      </c>
      <c r="AP10" t="str">
        <f t="shared" si="26"/>
        <v>1+1880i</v>
      </c>
      <c r="AQ10">
        <f t="shared" si="55"/>
        <v>1880.0002659574279</v>
      </c>
      <c r="AR10">
        <f t="shared" si="56"/>
        <v>1.5702644119514451</v>
      </c>
      <c r="AS10" s="42" t="str">
        <f t="shared" si="57"/>
        <v>-0.000128604355761416+0.00413283306220168i</v>
      </c>
      <c r="AT10">
        <f t="shared" si="58"/>
        <v>-47.670839443071991</v>
      </c>
      <c r="AU10" s="44">
        <f t="shared" si="59"/>
        <v>91.782339075631469</v>
      </c>
      <c r="AV10" s="42" t="str">
        <f t="shared" si="60"/>
        <v>-0.0000116083641571729-0.0000097586079403454i</v>
      </c>
      <c r="AW10" s="20">
        <f t="shared" si="61"/>
        <v>-96.383013432471628</v>
      </c>
      <c r="AX10" s="44">
        <f t="shared" si="62"/>
        <v>-139.94780655489404</v>
      </c>
    </row>
    <row r="11" spans="1:50" ht="15" thickBot="1" x14ac:dyDescent="0.35">
      <c r="A11" t="s">
        <v>27</v>
      </c>
      <c r="B11" s="3">
        <f>VIN_nom</f>
        <v>50</v>
      </c>
      <c r="C11" t="s">
        <v>11</v>
      </c>
      <c r="E11" t="s">
        <v>30</v>
      </c>
      <c r="N11" s="45" t="s">
        <v>206</v>
      </c>
      <c r="O11" s="71">
        <f>wp_lf/(2*PI())</f>
        <v>7.4501100944184611</v>
      </c>
      <c r="P11" s="34" t="str">
        <f t="shared" si="0"/>
        <v>545.10556621881</v>
      </c>
      <c r="Q11" s="4" t="str">
        <f t="shared" si="34"/>
        <v>1+i</v>
      </c>
      <c r="R11" s="4">
        <f t="shared" si="35"/>
        <v>1.4142135623730951</v>
      </c>
      <c r="S11" s="4">
        <f t="shared" si="36"/>
        <v>0.78539816339744828</v>
      </c>
      <c r="T11" s="4" t="str">
        <f t="shared" si="37"/>
        <v>1+0.0000234052111410602i</v>
      </c>
      <c r="U11" s="4">
        <f t="shared" si="38"/>
        <v>1.0000000002739018</v>
      </c>
      <c r="V11" s="4">
        <f t="shared" si="39"/>
        <v>2.3405211136786376E-5</v>
      </c>
      <c r="W11" t="str">
        <f t="shared" si="40"/>
        <v>1-0.0000243133333333333i</v>
      </c>
      <c r="X11" s="4">
        <f t="shared" si="41"/>
        <v>1.0000000002955691</v>
      </c>
      <c r="Y11" s="4">
        <f t="shared" si="42"/>
        <v>-2.4313333328542454E-5</v>
      </c>
      <c r="Z11" t="str">
        <f t="shared" si="43"/>
        <v>0.999999996447735+0.000105287374566202i</v>
      </c>
      <c r="AA11" s="4">
        <f t="shared" si="44"/>
        <v>1.0000000019904505</v>
      </c>
      <c r="AB11" s="4">
        <f t="shared" si="45"/>
        <v>1.0528737455115867E-4</v>
      </c>
      <c r="AC11" s="48" t="str">
        <f t="shared" si="46"/>
        <v>272.523837307163-272.581725063354i</v>
      </c>
      <c r="AD11" s="20">
        <f t="shared" si="47"/>
        <v>51.719312365967987</v>
      </c>
      <c r="AE11" s="44">
        <f t="shared" si="48"/>
        <v>-45.006084553766676</v>
      </c>
      <c r="AF11" t="str">
        <f t="shared" si="16"/>
        <v>-0.979317078436135</v>
      </c>
      <c r="AG11" t="str">
        <f t="shared" si="49"/>
        <v>46.8104222821204i</v>
      </c>
      <c r="AH11">
        <f t="shared" si="50"/>
        <v>46.810422282120399</v>
      </c>
      <c r="AI11">
        <f t="shared" si="51"/>
        <v>1.5707963267948966</v>
      </c>
      <c r="AJ11" t="str">
        <f t="shared" si="20"/>
        <v>0.999966082217022+0.0458704690026954i</v>
      </c>
      <c r="AK11">
        <f t="shared" si="52"/>
        <v>1.0010176149853645</v>
      </c>
      <c r="AL11">
        <f t="shared" si="53"/>
        <v>4.5839890151242201E-2</v>
      </c>
      <c r="AM11" t="str">
        <f t="shared" si="23"/>
        <v>1+6.51226594788859i</v>
      </c>
      <c r="AN11">
        <f t="shared" si="24"/>
        <v>6.5885967987143719</v>
      </c>
      <c r="AO11">
        <f t="shared" si="54"/>
        <v>1.4184300822762195</v>
      </c>
      <c r="AP11" t="str">
        <f t="shared" si="26"/>
        <v>1+0.0440017969451933i</v>
      </c>
      <c r="AQ11">
        <f t="shared" si="55"/>
        <v>1.0009676109317454</v>
      </c>
      <c r="AR11">
        <f t="shared" si="56"/>
        <v>4.3973431743923576E-2</v>
      </c>
      <c r="AS11" s="42" t="str">
        <f t="shared" si="57"/>
        <v>-0.136196502842887+0.0211741163197464i</v>
      </c>
      <c r="AT11">
        <f t="shared" si="58"/>
        <v>-17.212959894267328</v>
      </c>
      <c r="AU11" s="44">
        <f t="shared" si="59"/>
        <v>171.16311705944543</v>
      </c>
      <c r="AV11" s="42" t="str">
        <f t="shared" si="60"/>
        <v>-31.3451164294309+42.8951291235556i</v>
      </c>
      <c r="AW11" s="20">
        <f t="shared" si="61"/>
        <v>34.506352471700652</v>
      </c>
      <c r="AX11" s="44">
        <f t="shared" si="62"/>
        <v>126.15703250567877</v>
      </c>
    </row>
    <row r="12" spans="1:50" x14ac:dyDescent="0.3">
      <c r="A12" t="s">
        <v>28</v>
      </c>
      <c r="B12" s="3">
        <f>VIN_max</f>
        <v>55</v>
      </c>
      <c r="C12" t="s">
        <v>11</v>
      </c>
      <c r="E12" t="s">
        <v>31</v>
      </c>
      <c r="N12" s="53" t="s">
        <v>217</v>
      </c>
      <c r="O12" s="59">
        <f>wz2_ea_iso/(2*PI())</f>
        <v>169.31376924669715</v>
      </c>
      <c r="P12" s="34" t="str">
        <f t="shared" si="0"/>
        <v>545.10556621881</v>
      </c>
      <c r="Q12" s="4" t="str">
        <f t="shared" si="34"/>
        <v>1+22.7263445910074i</v>
      </c>
      <c r="R12" s="4">
        <f t="shared" si="35"/>
        <v>22.748334850472272</v>
      </c>
      <c r="S12" s="4">
        <f t="shared" si="36"/>
        <v>1.526822895050973</v>
      </c>
      <c r="T12" s="4" t="str">
        <f t="shared" si="37"/>
        <v>1+0.00053191489361702i</v>
      </c>
      <c r="U12" s="4">
        <f t="shared" si="38"/>
        <v>1.000000141466717</v>
      </c>
      <c r="V12" s="4">
        <f t="shared" si="39"/>
        <v>5.3191484345152247E-4</v>
      </c>
      <c r="W12" t="str">
        <f t="shared" si="40"/>
        <v>1-0.000552553191489359i</v>
      </c>
      <c r="X12" s="4">
        <f t="shared" si="41"/>
        <v>1.0000001526575031</v>
      </c>
      <c r="Y12" s="4">
        <f t="shared" si="42"/>
        <v>-5.5255313525510465E-4</v>
      </c>
      <c r="Z12" t="str">
        <f t="shared" si="43"/>
        <v>0.999998165302243+0.00239279715547399i</v>
      </c>
      <c r="AA12" s="4">
        <f t="shared" si="44"/>
        <v>1.0000010280425111</v>
      </c>
      <c r="AB12" s="4">
        <f t="shared" si="45"/>
        <v>2.3927969788961659E-3</v>
      </c>
      <c r="AC12" s="48" t="str">
        <f t="shared" si="46"/>
        <v>0.995591452037953-23.9417291679858i</v>
      </c>
      <c r="AD12" s="20">
        <f t="shared" si="47"/>
        <v>27.590613713297817</v>
      </c>
      <c r="AE12" s="44">
        <f t="shared" si="48"/>
        <v>-87.618787605505688</v>
      </c>
      <c r="AF12" t="str">
        <f t="shared" si="16"/>
        <v>-0.979317078436135</v>
      </c>
      <c r="AG12" t="str">
        <f t="shared" si="49"/>
        <v>1063.82978723404i</v>
      </c>
      <c r="AH12">
        <f t="shared" si="50"/>
        <v>1063.8297872340399</v>
      </c>
      <c r="AI12">
        <f t="shared" si="51"/>
        <v>1.5707963267948966</v>
      </c>
      <c r="AJ12" t="str">
        <f t="shared" si="20"/>
        <v>0.982481914893617+1.04246808510638i</v>
      </c>
      <c r="AK12">
        <f t="shared" si="52"/>
        <v>1.4324840039450322</v>
      </c>
      <c r="AL12">
        <f t="shared" si="53"/>
        <v>0.81501303409503567</v>
      </c>
      <c r="AM12" t="str">
        <f t="shared" si="23"/>
        <v>1+148i</v>
      </c>
      <c r="AN12">
        <f t="shared" si="24"/>
        <v>148.00337833982033</v>
      </c>
      <c r="AO12">
        <f t="shared" si="54"/>
        <v>1.5640396728591113</v>
      </c>
      <c r="AP12" t="str">
        <f t="shared" si="26"/>
        <v>1+i</v>
      </c>
      <c r="AQ12">
        <f t="shared" si="55"/>
        <v>1.4142135623730951</v>
      </c>
      <c r="AR12">
        <f t="shared" si="56"/>
        <v>0.78539816339744828</v>
      </c>
      <c r="AS12" s="42" t="str">
        <f t="shared" si="57"/>
        <v>-0.134419013141119+0.004891181465999i</v>
      </c>
      <c r="AT12">
        <f t="shared" si="58"/>
        <v>-17.425039451433676</v>
      </c>
      <c r="AU12" s="44">
        <f t="shared" si="59"/>
        <v>177.91606514405163</v>
      </c>
      <c r="AV12" s="42" t="str">
        <f t="shared" si="60"/>
        <v>-0.0167230785042555+3.22309322611051i</v>
      </c>
      <c r="AW12" s="20">
        <f t="shared" si="61"/>
        <v>10.165574261864139</v>
      </c>
      <c r="AX12" s="44">
        <f t="shared" si="62"/>
        <v>90.297277538545956</v>
      </c>
    </row>
    <row r="13" spans="1:50" ht="15" thickBot="1" x14ac:dyDescent="0.35">
      <c r="A13" t="s">
        <v>60</v>
      </c>
      <c r="B13" s="3">
        <f>Fsw</f>
        <v>250000</v>
      </c>
      <c r="C13" t="s">
        <v>61</v>
      </c>
      <c r="E13" t="s">
        <v>62</v>
      </c>
      <c r="M13" s="165"/>
      <c r="N13" s="45" t="s">
        <v>223</v>
      </c>
      <c r="O13" s="46">
        <f>wpB_ea_iso/(2*PI())</f>
        <v>1.5595911183461012E-4</v>
      </c>
      <c r="P13" s="34" t="str">
        <f t="shared" si="0"/>
        <v>545.10556621881</v>
      </c>
      <c r="Q13" s="4" t="str">
        <f t="shared" si="34"/>
        <v>1+0.0000209337996161228i</v>
      </c>
      <c r="R13" s="4">
        <f t="shared" si="35"/>
        <v>1.0000000002191118</v>
      </c>
      <c r="S13" s="4">
        <f t="shared" si="36"/>
        <v>2.0933799613064903E-5</v>
      </c>
      <c r="T13" s="4" t="str">
        <f t="shared" si="37"/>
        <v>1+0.00000000048996i</v>
      </c>
      <c r="U13" s="4">
        <f t="shared" si="38"/>
        <v>1</v>
      </c>
      <c r="V13" s="4">
        <f t="shared" si="39"/>
        <v>4.8996000000000003E-10</v>
      </c>
      <c r="W13" t="str">
        <f t="shared" si="40"/>
        <v>1-5.08970447999999E-10i</v>
      </c>
      <c r="X13" s="4">
        <f t="shared" si="41"/>
        <v>1</v>
      </c>
      <c r="Y13" s="4">
        <f t="shared" si="42"/>
        <v>-5.0897044799999897E-10</v>
      </c>
      <c r="Z13" t="str">
        <f t="shared" si="43"/>
        <v>1+2.20406480127655E-09i</v>
      </c>
      <c r="AA13" s="4">
        <f t="shared" si="44"/>
        <v>1</v>
      </c>
      <c r="AB13" s="4">
        <f t="shared" si="45"/>
        <v>2.20406480127655E-9</v>
      </c>
      <c r="AC13" s="48" t="str">
        <f t="shared" si="46"/>
        <v>545.105565979906-0.0114123424985491i</v>
      </c>
      <c r="AD13" s="20">
        <f t="shared" si="47"/>
        <v>54.729612333047079</v>
      </c>
      <c r="AE13" s="44">
        <f t="shared" si="48"/>
        <v>-1.1995457398305421E-3</v>
      </c>
      <c r="AF13" t="str">
        <f t="shared" si="16"/>
        <v>-0.979317078436135</v>
      </c>
      <c r="AG13" t="str">
        <f t="shared" si="49"/>
        <v>0.00097992i</v>
      </c>
      <c r="AH13">
        <f t="shared" si="50"/>
        <v>9.7992000000000001E-4</v>
      </c>
      <c r="AI13">
        <f t="shared" si="51"/>
        <v>1.5707963267948966</v>
      </c>
      <c r="AJ13" t="str">
        <f t="shared" si="20"/>
        <v>0.999999999999985+0.0000009602432064i</v>
      </c>
      <c r="AK13">
        <f t="shared" si="52"/>
        <v>1.0000000000004459</v>
      </c>
      <c r="AL13">
        <f t="shared" si="53"/>
        <v>9.6024320639971925E-7</v>
      </c>
      <c r="AM13" t="str">
        <f t="shared" si="23"/>
        <v>1+0.0001363264704i</v>
      </c>
      <c r="AN13">
        <f t="shared" si="24"/>
        <v>1.0000000092924533</v>
      </c>
      <c r="AO13">
        <f t="shared" si="54"/>
        <v>1.3632646955546177E-4</v>
      </c>
      <c r="AP13" t="str">
        <f t="shared" si="26"/>
        <v>1+9.21124800000002E-07i</v>
      </c>
      <c r="AQ13">
        <f t="shared" si="55"/>
        <v>1.0000000000004241</v>
      </c>
      <c r="AR13">
        <f t="shared" si="56"/>
        <v>9.2112479999974147E-7</v>
      </c>
      <c r="AS13" s="42" t="str">
        <f t="shared" si="57"/>
        <v>-0.136203497614261+999.384723693093i</v>
      </c>
      <c r="AT13">
        <f t="shared" si="58"/>
        <v>59.994654213806896</v>
      </c>
      <c r="AU13" s="44">
        <f t="shared" si="59"/>
        <v>90.007808690021861</v>
      </c>
      <c r="AV13" s="42" t="str">
        <f t="shared" si="60"/>
        <v>-62.8399639008611+544770.176994796i</v>
      </c>
      <c r="AW13" s="20">
        <f t="shared" si="61"/>
        <v>114.72426654685395</v>
      </c>
      <c r="AX13" s="44">
        <f t="shared" si="62"/>
        <v>90.006609144282024</v>
      </c>
    </row>
    <row r="15" spans="1:50" ht="15" thickBot="1" x14ac:dyDescent="0.35">
      <c r="A15" s="50" t="s">
        <v>216</v>
      </c>
      <c r="O15" s="35" t="s">
        <v>185</v>
      </c>
      <c r="P15">
        <f>B16</f>
        <v>50</v>
      </c>
      <c r="Q15" t="s">
        <v>11</v>
      </c>
    </row>
    <row r="16" spans="1:50" ht="15" thickBot="1" x14ac:dyDescent="0.35">
      <c r="A16" t="s">
        <v>187</v>
      </c>
      <c r="B16" s="30">
        <f>VIN_var</f>
        <v>50</v>
      </c>
      <c r="C16" t="s">
        <v>11</v>
      </c>
      <c r="E16" t="s">
        <v>188</v>
      </c>
      <c r="O16" s="49"/>
      <c r="P16" s="227" t="s">
        <v>214</v>
      </c>
      <c r="Q16" s="227"/>
      <c r="R16" s="227"/>
      <c r="S16" s="227"/>
      <c r="T16" s="227"/>
      <c r="U16" s="227"/>
      <c r="V16" s="227"/>
      <c r="W16" s="227"/>
      <c r="X16" s="227"/>
      <c r="Y16" s="227"/>
      <c r="Z16" s="227"/>
      <c r="AA16" s="227"/>
      <c r="AB16" s="227"/>
      <c r="AC16" s="227"/>
      <c r="AD16" s="227"/>
      <c r="AE16" s="228"/>
      <c r="AF16" s="229" t="s">
        <v>215</v>
      </c>
      <c r="AG16" s="227"/>
      <c r="AH16" s="227"/>
      <c r="AI16" s="227"/>
      <c r="AJ16" s="227"/>
      <c r="AK16" s="227"/>
      <c r="AL16" s="227"/>
      <c r="AM16" s="227"/>
      <c r="AN16" s="227"/>
      <c r="AO16" s="227"/>
      <c r="AP16" s="227"/>
      <c r="AQ16" s="227"/>
      <c r="AR16" s="227"/>
      <c r="AS16" s="227"/>
      <c r="AT16" s="227"/>
      <c r="AU16" s="228"/>
      <c r="AV16" s="229" t="s">
        <v>226</v>
      </c>
      <c r="AW16" s="227"/>
      <c r="AX16" s="228"/>
    </row>
    <row r="17" spans="1:50" x14ac:dyDescent="0.3">
      <c r="A17" t="s">
        <v>501</v>
      </c>
      <c r="B17" s="30">
        <f>POUT_Total</f>
        <v>37.5</v>
      </c>
      <c r="C17" t="s">
        <v>36</v>
      </c>
      <c r="E17" t="s">
        <v>502</v>
      </c>
      <c r="O17" s="37"/>
      <c r="Q17" s="230" t="s">
        <v>206</v>
      </c>
      <c r="R17" s="230"/>
      <c r="S17" s="230"/>
      <c r="T17" s="231" t="s">
        <v>208</v>
      </c>
      <c r="U17" s="231"/>
      <c r="V17" s="231"/>
      <c r="W17" s="231" t="s">
        <v>208</v>
      </c>
      <c r="X17" s="231"/>
      <c r="Y17" s="231"/>
      <c r="Z17" s="231" t="s">
        <v>211</v>
      </c>
      <c r="AA17" s="231"/>
      <c r="AB17" s="231"/>
      <c r="AC17" s="232" t="s">
        <v>213</v>
      </c>
      <c r="AD17" s="231"/>
      <c r="AE17" s="233"/>
      <c r="AF17" s="53"/>
      <c r="AG17" s="234" t="s">
        <v>222</v>
      </c>
      <c r="AH17" s="234"/>
      <c r="AI17" s="234"/>
      <c r="AJ17" s="234" t="s">
        <v>223</v>
      </c>
      <c r="AK17" s="234"/>
      <c r="AL17" s="234"/>
      <c r="AM17" s="234" t="s">
        <v>578</v>
      </c>
      <c r="AN17" s="234"/>
      <c r="AO17" s="234"/>
      <c r="AP17" s="234" t="s">
        <v>217</v>
      </c>
      <c r="AQ17" s="234"/>
      <c r="AR17" s="235"/>
      <c r="AS17" s="232" t="s">
        <v>213</v>
      </c>
      <c r="AT17" s="231"/>
      <c r="AU17" s="233"/>
      <c r="AV17" s="232" t="s">
        <v>213</v>
      </c>
      <c r="AW17" s="231"/>
      <c r="AX17" s="233"/>
    </row>
    <row r="18" spans="1:50" ht="15" thickBot="1" x14ac:dyDescent="0.35">
      <c r="A18" t="s">
        <v>503</v>
      </c>
      <c r="B18" s="1">
        <f>Cout_total</f>
        <v>4.9999999999999996E-5</v>
      </c>
      <c r="C18" t="s">
        <v>151</v>
      </c>
      <c r="N18" s="8"/>
      <c r="O18" s="38" t="s">
        <v>184</v>
      </c>
      <c r="P18" s="39" t="s">
        <v>189</v>
      </c>
      <c r="Q18" s="40" t="s">
        <v>212</v>
      </c>
      <c r="R18" s="39" t="s">
        <v>209</v>
      </c>
      <c r="S18" s="39" t="s">
        <v>210</v>
      </c>
      <c r="T18" s="39" t="s">
        <v>212</v>
      </c>
      <c r="U18" s="39" t="s">
        <v>209</v>
      </c>
      <c r="V18" s="39" t="s">
        <v>210</v>
      </c>
      <c r="W18" s="39" t="s">
        <v>212</v>
      </c>
      <c r="X18" s="39" t="s">
        <v>209</v>
      </c>
      <c r="Y18" s="39" t="s">
        <v>210</v>
      </c>
      <c r="Z18" s="39" t="s">
        <v>212</v>
      </c>
      <c r="AA18" s="39" t="s">
        <v>209</v>
      </c>
      <c r="AB18" s="39" t="s">
        <v>210</v>
      </c>
      <c r="AC18" s="43" t="s">
        <v>227</v>
      </c>
      <c r="AD18" s="39" t="s">
        <v>209</v>
      </c>
      <c r="AE18" s="41" t="s">
        <v>210</v>
      </c>
      <c r="AF18" s="43" t="s">
        <v>224</v>
      </c>
      <c r="AG18" s="39" t="s">
        <v>212</v>
      </c>
      <c r="AH18" s="39" t="s">
        <v>225</v>
      </c>
      <c r="AI18" s="39" t="s">
        <v>210</v>
      </c>
      <c r="AJ18" s="39" t="s">
        <v>212</v>
      </c>
      <c r="AK18" s="39" t="s">
        <v>225</v>
      </c>
      <c r="AL18" s="39" t="s">
        <v>210</v>
      </c>
      <c r="AM18" s="39" t="s">
        <v>212</v>
      </c>
      <c r="AN18" s="39" t="s">
        <v>225</v>
      </c>
      <c r="AO18" s="39" t="s">
        <v>210</v>
      </c>
      <c r="AP18" s="39" t="s">
        <v>212</v>
      </c>
      <c r="AQ18" s="39" t="s">
        <v>225</v>
      </c>
      <c r="AR18" s="41" t="s">
        <v>210</v>
      </c>
      <c r="AS18" s="43" t="s">
        <v>227</v>
      </c>
      <c r="AT18" s="39" t="s">
        <v>209</v>
      </c>
      <c r="AU18" s="41" t="s">
        <v>210</v>
      </c>
      <c r="AV18" s="43" t="s">
        <v>227</v>
      </c>
      <c r="AW18" s="39" t="s">
        <v>209</v>
      </c>
      <c r="AX18" s="41" t="s">
        <v>210</v>
      </c>
    </row>
    <row r="19" spans="1:50" x14ac:dyDescent="0.3">
      <c r="A19" t="s">
        <v>491</v>
      </c>
      <c r="B19" s="1">
        <f>Resr_total</f>
        <v>0.01</v>
      </c>
      <c r="C19" s="2" t="s">
        <v>35</v>
      </c>
      <c r="N19" s="8">
        <v>1</v>
      </c>
      <c r="O19" s="35">
        <f>10^(1+(N19/100))</f>
        <v>10.232929922807543</v>
      </c>
      <c r="P19" s="34" t="str">
        <f>COMPLEX(Adc,0)</f>
        <v>545.10556621881</v>
      </c>
      <c r="Q19" s="4" t="str">
        <f t="shared" ref="Q19:Q82" si="63">IMSUM(COMPLEX(1,0),IMDIV(COMPLEX(0,2*PI()*O19),COMPLEX(wp_lf,0)))</f>
        <v>1+1.37352734296825i</v>
      </c>
      <c r="R19" s="4">
        <f>IMABS(Q19)</f>
        <v>1.698993043505894</v>
      </c>
      <c r="S19" s="4">
        <f>IMARGUMENT(Q19)</f>
        <v>0.94149022356338541</v>
      </c>
      <c r="T19" s="4" t="str">
        <f t="shared" ref="T19:T82" si="64">IMSUM(COMPLEX(1,0),IMDIV(COMPLEX(0,2*PI()*O19),COMPLEX(wz_esr,0)))</f>
        <v>1+0.0000321476974701914i</v>
      </c>
      <c r="U19" s="4">
        <f>IMABS(T19)</f>
        <v>1.0000000005167371</v>
      </c>
      <c r="V19" s="4">
        <f>IMARGUMENT(T19)</f>
        <v>3.214769745911679E-5</v>
      </c>
      <c r="W19" t="str">
        <f t="shared" ref="W19:W82" si="65">IMSUB(COMPLEX(1,0),IMDIV(COMPLEX(0,2*PI()*O19),COMPLEX(wz_rhp,0)))</f>
        <v>1-0.0000333950281320347i</v>
      </c>
      <c r="X19" s="4">
        <f>IMABS(W19)</f>
        <v>1.000000000557614</v>
      </c>
      <c r="Y19" s="4">
        <f>IMARGUMENT(W19)</f>
        <v>-3.3395028119620342E-5</v>
      </c>
      <c r="Z19" t="str">
        <f t="shared" ref="Z19:Z82" si="66">IMSUM(COMPLEX(1,0),IMDIV(COMPLEX(0,2*PI()*O19),COMPLEX(Q*(wsl/2),0)),IMDIV(IMPOWER(COMPLEX(0,2*PI()*O19),2),IMPOWER(COMPLEX(wsl/2,0),2)))</f>
        <v>0.999999993298377+0.000144615087836019i</v>
      </c>
      <c r="AA19" s="4">
        <f>IMABS(Z19)</f>
        <v>1.0000000037551389</v>
      </c>
      <c r="AB19" s="4">
        <f>IMARGUMENT(Z19)</f>
        <v>1.446150877970378E-4</v>
      </c>
      <c r="AC19" s="48" t="str">
        <f>(IMDIV(IMPRODUCT(P19,T19,W19),IMPRODUCT(Q19,Z19)))</f>
        <v>188.803652528288-259.406489615588i</v>
      </c>
      <c r="AD19" s="20">
        <f>20*LOG(IMABS(AC19))</f>
        <v>50.125780298418398</v>
      </c>
      <c r="AE19" s="44">
        <f>(180/PI())*IMARGUMENT(AC19)</f>
        <v>-53.951773563977461</v>
      </c>
      <c r="AF19" t="str">
        <f>COMPLEX(Adc_ea_iso,0)</f>
        <v>-0.979317078436135</v>
      </c>
      <c r="AG19" t="str">
        <f>COMPLEX(0,1*2*PI()*O19)</f>
        <v>64.2953949403827i</v>
      </c>
      <c r="AH19">
        <f>IMABS(AG19)</f>
        <v>64.295394940382707</v>
      </c>
      <c r="AI19">
        <f>IMARGUMENT(AG19)</f>
        <v>1.5707963267948966</v>
      </c>
      <c r="AJ19" t="str">
        <f t="shared" ref="AJ19:AJ82" si="67">IMSUM(IMPRODUCT(COMPLEX(wpA_ea_iso,0),IMPOWER(COMPLEX(0,2*PI()*O19),2)),COMPLEX(0,wpB_ea_iso*2*PI()*O19),COMPLEX(1,0))</f>
        <v>0.999936011478469+0.0630043434099798i</v>
      </c>
      <c r="AK19">
        <f>IMABS(AJ19)</f>
        <v>1.0019189459931335</v>
      </c>
      <c r="AL19">
        <f>IMARGUMENT(AJ19)</f>
        <v>6.2925191034852376E-2</v>
      </c>
      <c r="AM19" t="str">
        <f t="shared" ref="AM19:AM82" si="68">IMSUM(COMPLEX(1,0),IMDIV(COMPLEX(0,2*PI()*O19),COMPLEX(wz1_ea_iso,0)))</f>
        <v>1+8.94477534410604i</v>
      </c>
      <c r="AN19">
        <f>IMABS(AM19)</f>
        <v>9.000500317011678</v>
      </c>
      <c r="AO19">
        <f>IMARGUMENT(AM19)</f>
        <v>1.4594615273443297</v>
      </c>
      <c r="AP19" t="str">
        <f t="shared" ref="AP19:AP82" si="69">IMSUM(COMPLEX(1,0),IMDIV(COMPLEX(0,2*PI()*O19),COMPLEX(wz2_ea_iso,0)))</f>
        <v>1+0.0604376712439599i</v>
      </c>
      <c r="AQ19">
        <f>IMABS(AP19)</f>
        <v>1.00182469130352</v>
      </c>
      <c r="AR19">
        <f>IMARGUMENT(AP19)</f>
        <v>6.0364244962156761E-2</v>
      </c>
      <c r="AS19" s="42" t="str">
        <f>IMDIV(IMPRODUCT(AF19,AM19,AP19),IMPRODUCT(AG19,AJ19))</f>
        <v>-0.136190324907861+0.015578921425374i</v>
      </c>
      <c r="AT19">
        <f>20*LOG(IMABS(AS19))</f>
        <v>-17.260614926902747</v>
      </c>
      <c r="AU19" s="44">
        <f>(180/PI())*IMARGUMENT(AS19)</f>
        <v>173.47425447702102</v>
      </c>
      <c r="AV19" s="42" t="str">
        <f t="shared" ref="AV19:AV82" si="70">IMPRODUCT(AC19,AS19)</f>
        <v>-21.6719574626651+38.2700113715164i</v>
      </c>
      <c r="AW19" s="20">
        <f>20*LOG(IMABS(AV19))</f>
        <v>32.865165371515644</v>
      </c>
      <c r="AX19" s="44">
        <f>(180/PI())*IMARGUMENT(AV19)</f>
        <v>119.52248091304357</v>
      </c>
    </row>
    <row r="20" spans="1:50" x14ac:dyDescent="0.3">
      <c r="N20" s="8">
        <v>2</v>
      </c>
      <c r="O20" s="35">
        <f t="shared" ref="O20:O83" si="71">10^(1+(N20/100))</f>
        <v>10.471285480509</v>
      </c>
      <c r="P20" s="34" t="str">
        <f t="shared" ref="P20:P82" si="72">COMPLEX(Adc,0)</f>
        <v>545.10556621881</v>
      </c>
      <c r="Q20" s="4" t="str">
        <f t="shared" si="63"/>
        <v>1+1.40552090476542i</v>
      </c>
      <c r="R20" s="4">
        <f t="shared" ref="R20:R83" si="73">IMABS(Q20)</f>
        <v>1.7249605832402679</v>
      </c>
      <c r="S20" s="4">
        <f t="shared" ref="S20:S83" si="74">IMARGUMENT(Q20)</f>
        <v>0.95240715147402988</v>
      </c>
      <c r="T20" s="4" t="str">
        <f t="shared" si="64"/>
        <v>1+0.0000328965135392086i</v>
      </c>
      <c r="U20" s="4">
        <f t="shared" ref="U20:U83" si="75">IMABS(T20)</f>
        <v>1.0000000005410903</v>
      </c>
      <c r="V20" s="4">
        <f t="shared" ref="V20:V83" si="76">IMARGUMENT(T20)</f>
        <v>3.2896513527341945E-5</v>
      </c>
      <c r="W20" t="str">
        <f t="shared" si="65"/>
        <v>1-0.0000341728982645297i</v>
      </c>
      <c r="X20" s="4">
        <f t="shared" ref="X20:X83" si="77">IMABS(W20)</f>
        <v>1.0000000005838934</v>
      </c>
      <c r="Y20" s="4">
        <f t="shared" ref="Y20:Y83" si="78">IMARGUMENT(W20)</f>
        <v>-3.4172898251227479E-5</v>
      </c>
      <c r="Z20" t="str">
        <f t="shared" si="66"/>
        <v>0.999999992982539+0.000147983605960664i</v>
      </c>
      <c r="AA20" s="4">
        <f t="shared" ref="AA20:AA83" si="79">IMABS(Z20)</f>
        <v>1.0000000039321129</v>
      </c>
      <c r="AB20" s="4">
        <f t="shared" ref="AB20:AB83" si="80">IMARGUMENT(Z20)</f>
        <v>1.4798360591889489E-4</v>
      </c>
      <c r="AC20" s="48" t="str">
        <f t="shared" ref="AC20:AC83" si="81">(IMDIV(IMPRODUCT(P20,T20,W20),IMPRODUCT(Q20,Z20)))</f>
        <v>183.160213153295-257.516870959428i</v>
      </c>
      <c r="AD20" s="20">
        <f t="shared" ref="AD20:AD83" si="82">20*LOG(IMABS(AC20))</f>
        <v>49.994028799794535</v>
      </c>
      <c r="AE20" s="44">
        <f t="shared" ref="AE20:AE83" si="83">(180/PI())*IMARGUMENT(AC20)</f>
        <v>-54.577462125052698</v>
      </c>
      <c r="AF20" t="str">
        <f t="shared" ref="AF20:AF82" si="84">COMPLEX(Adc_ea_iso,0)</f>
        <v>-0.979317078436135</v>
      </c>
      <c r="AG20" t="str">
        <f t="shared" ref="AG20:AG83" si="85">COMPLEX(0,1*2*PI()*O20)</f>
        <v>65.7930270784171i</v>
      </c>
      <c r="AH20">
        <f t="shared" ref="AH20:AH83" si="86">IMABS(AG20)</f>
        <v>65.793027078417097</v>
      </c>
      <c r="AI20">
        <f t="shared" ref="AI20:AI83" si="87">IMARGUMENT(AG20)</f>
        <v>1.5707963267948966</v>
      </c>
      <c r="AJ20" t="str">
        <f t="shared" si="67"/>
        <v>0.999932995792357+0.0644719030946825i</v>
      </c>
      <c r="AK20">
        <f t="shared" ref="AK20:AK83" si="88">IMABS(AJ20)</f>
        <v>1.0020092925531816</v>
      </c>
      <c r="AL20">
        <f t="shared" ref="AL20:AL83" si="89">IMARGUMENT(AJ20)</f>
        <v>6.4387098976834728E-2</v>
      </c>
      <c r="AM20" t="str">
        <f t="shared" si="68"/>
        <v>1+9.15312592714939i</v>
      </c>
      <c r="AN20">
        <f t="shared" ref="AN20:AN83" si="90">IMABS(AM20)</f>
        <v>9.2075900342192902</v>
      </c>
      <c r="AO20">
        <f t="shared" ref="AO20:AO83" si="91">IMARGUMENT(AM20)</f>
        <v>1.4619756273666002</v>
      </c>
      <c r="AP20" t="str">
        <f t="shared" si="69"/>
        <v>1+0.0618454454537122i</v>
      </c>
      <c r="AQ20">
        <f t="shared" ref="AQ20:AQ83" si="92">IMABS(AP20)</f>
        <v>1.0019106043571793</v>
      </c>
      <c r="AR20">
        <f t="shared" ref="AR20:AR83" si="93">IMARGUMENT(AP20)</f>
        <v>6.1766775876217157E-2</v>
      </c>
      <c r="AS20" s="42" t="str">
        <f t="shared" ref="AS20:AS83" si="94">IMDIV(IMPRODUCT(AF20,AM20,AP20),IMPRODUCT(AG20,AJ20))</f>
        <v>-0.136189706557207+0.0152402625759665i</v>
      </c>
      <c r="AT20">
        <f t="shared" ref="AT20:AT83" si="95">20*LOG(IMABS(AS20))</f>
        <v>-17.263066835534062</v>
      </c>
      <c r="AU20" s="44">
        <f t="shared" ref="AU20:AU83" si="96">(180/PI())*IMARGUMENT(AS20)</f>
        <v>173.6148997444709</v>
      </c>
      <c r="AV20" s="42" t="str">
        <f t="shared" si="70"/>
        <v>-21.0199109511398+37.8625568314208i</v>
      </c>
      <c r="AW20" s="20">
        <f t="shared" ref="AW20:AW83" si="97">20*LOG(IMABS(AV20))</f>
        <v>32.730961964260466</v>
      </c>
      <c r="AX20" s="44">
        <f t="shared" ref="AX20:AX83" si="98">(180/PI())*IMARGUMENT(AV20)</f>
        <v>119.03743761941828</v>
      </c>
    </row>
    <row r="21" spans="1:50" x14ac:dyDescent="0.3">
      <c r="N21" s="8">
        <v>3</v>
      </c>
      <c r="O21" s="35">
        <f t="shared" si="71"/>
        <v>10.715193052376069</v>
      </c>
      <c r="P21" s="34" t="str">
        <f t="shared" si="72"/>
        <v>545.10556621881</v>
      </c>
      <c r="Q21" s="4" t="str">
        <f t="shared" si="63"/>
        <v>1+1.43825969235056i</v>
      </c>
      <c r="R21" s="4">
        <f t="shared" si="73"/>
        <v>1.7517394048888457</v>
      </c>
      <c r="S21" s="4">
        <f t="shared" si="74"/>
        <v>0.96324198928048876</v>
      </c>
      <c r="T21" s="4" t="str">
        <f t="shared" si="64"/>
        <v>1+0.0000336627717751411i</v>
      </c>
      <c r="U21" s="4">
        <f t="shared" si="75"/>
        <v>1.000000000566591</v>
      </c>
      <c r="V21" s="4">
        <f t="shared" si="76"/>
        <v>3.3662771762425746E-5</v>
      </c>
      <c r="W21" t="str">
        <f t="shared" si="65"/>
        <v>1-0.0000349688873200164i</v>
      </c>
      <c r="X21" s="4">
        <f t="shared" si="77"/>
        <v>1.0000000006114116</v>
      </c>
      <c r="Y21" s="4">
        <f t="shared" si="78"/>
        <v>-3.4968887305762815E-5</v>
      </c>
      <c r="Z21" t="str">
        <f t="shared" si="66"/>
        <v>0.999999992651817+0.000151430586951984i</v>
      </c>
      <c r="AA21" s="4">
        <f t="shared" si="79"/>
        <v>1.0000000041174284</v>
      </c>
      <c r="AB21" s="4">
        <f t="shared" si="80"/>
        <v>1.5143058690722749E-4</v>
      </c>
      <c r="AC21" s="48" t="str">
        <f t="shared" si="81"/>
        <v>177.601323329734-255.52008227938i</v>
      </c>
      <c r="AD21" s="20">
        <f t="shared" si="82"/>
        <v>49.86022232113973</v>
      </c>
      <c r="AE21" s="44">
        <f t="shared" si="83"/>
        <v>-55.19845180398498</v>
      </c>
      <c r="AF21" t="str">
        <f t="shared" si="84"/>
        <v>-0.979317078436135</v>
      </c>
      <c r="AG21" t="str">
        <f t="shared" si="85"/>
        <v>67.3255435502821i</v>
      </c>
      <c r="AH21">
        <f t="shared" si="86"/>
        <v>67.325543550282106</v>
      </c>
      <c r="AI21">
        <f t="shared" si="87"/>
        <v>1.5707963267948966</v>
      </c>
      <c r="AJ21" t="str">
        <f t="shared" si="67"/>
        <v>0.999929837981337+0.0659736466357925i</v>
      </c>
      <c r="AK21">
        <f t="shared" si="88"/>
        <v>1.0021038882949249</v>
      </c>
      <c r="AL21">
        <f t="shared" si="89"/>
        <v>6.588278768394433E-2</v>
      </c>
      <c r="AM21" t="str">
        <f t="shared" si="68"/>
        <v>1+9.36632961871525i</v>
      </c>
      <c r="AN21">
        <f t="shared" si="90"/>
        <v>9.4195610580548053</v>
      </c>
      <c r="AO21">
        <f t="shared" si="91"/>
        <v>1.4644338347440913</v>
      </c>
      <c r="AP21" t="str">
        <f t="shared" si="69"/>
        <v>1+0.0632860109372653i</v>
      </c>
      <c r="AQ21">
        <f t="shared" si="92"/>
        <v>1.0020005584730738</v>
      </c>
      <c r="AR21">
        <f t="shared" si="93"/>
        <v>6.3201724053401201E-2</v>
      </c>
      <c r="AS21" s="42" t="str">
        <f t="shared" si="94"/>
        <v>-0.136189059300913+0.0149096806729974i</v>
      </c>
      <c r="AT21">
        <f t="shared" si="95"/>
        <v>-17.265413163001323</v>
      </c>
      <c r="AU21" s="44">
        <f t="shared" si="96"/>
        <v>173.75226447635893</v>
      </c>
      <c r="AV21" s="42" t="str">
        <f t="shared" si="70"/>
        <v>-20.3776343225502+37.4470186560687i</v>
      </c>
      <c r="AW21" s="20">
        <f t="shared" si="97"/>
        <v>32.594809158138396</v>
      </c>
      <c r="AX21" s="44">
        <f t="shared" si="98"/>
        <v>118.55381267237401</v>
      </c>
    </row>
    <row r="22" spans="1:50" x14ac:dyDescent="0.3">
      <c r="N22" s="8">
        <v>4</v>
      </c>
      <c r="O22" s="35">
        <f t="shared" si="71"/>
        <v>10.964781961431854</v>
      </c>
      <c r="P22" s="34" t="str">
        <f t="shared" si="72"/>
        <v>545.10556621881</v>
      </c>
      <c r="Q22" s="4" t="str">
        <f t="shared" si="63"/>
        <v>1+1.4717610642622i</v>
      </c>
      <c r="R22" s="4">
        <f t="shared" si="73"/>
        <v>1.7793483723763046</v>
      </c>
      <c r="S22" s="4">
        <f t="shared" si="74"/>
        <v>0.97399030635108386</v>
      </c>
      <c r="T22" s="4" t="str">
        <f t="shared" si="64"/>
        <v>1+0.0000344468784582482i</v>
      </c>
      <c r="U22" s="4">
        <f t="shared" si="75"/>
        <v>1.0000000005932936</v>
      </c>
      <c r="V22" s="4">
        <f t="shared" si="76"/>
        <v>3.4446878444623461E-5</v>
      </c>
      <c r="W22" t="str">
        <f t="shared" si="65"/>
        <v>1-0.0000357834173424281i</v>
      </c>
      <c r="X22" s="4">
        <f t="shared" si="77"/>
        <v>1.0000000006402263</v>
      </c>
      <c r="Y22" s="4">
        <f t="shared" si="78"/>
        <v>-3.5783417327155105E-5</v>
      </c>
      <c r="Z22" t="str">
        <f t="shared" si="66"/>
        <v>0.999999992305508+0.000154957858444927i</v>
      </c>
      <c r="AA22" s="4">
        <f t="shared" si="79"/>
        <v>1.000000004311477</v>
      </c>
      <c r="AB22" s="4">
        <f t="shared" si="80"/>
        <v>1.549578583969695E-4</v>
      </c>
      <c r="AC22" s="48" t="str">
        <f t="shared" si="81"/>
        <v>172.130855773025-253.420688430187i</v>
      </c>
      <c r="AD22" s="20">
        <f t="shared" si="82"/>
        <v>49.724392600175726</v>
      </c>
      <c r="AE22" s="44">
        <f t="shared" si="83"/>
        <v>-55.814488849896833</v>
      </c>
      <c r="AF22" t="str">
        <f t="shared" si="84"/>
        <v>-0.979317078436135</v>
      </c>
      <c r="AG22" t="str">
        <f t="shared" si="85"/>
        <v>68.8937569164964i</v>
      </c>
      <c r="AH22">
        <f t="shared" si="86"/>
        <v>68.8937569164964</v>
      </c>
      <c r="AI22">
        <f t="shared" si="87"/>
        <v>1.5707963267948966</v>
      </c>
      <c r="AJ22" t="str">
        <f t="shared" si="67"/>
        <v>0.999926531347269+0.0675103702776132i</v>
      </c>
      <c r="AK22">
        <f t="shared" si="88"/>
        <v>1.0022029326374982</v>
      </c>
      <c r="AL22">
        <f t="shared" si="89"/>
        <v>6.741302470755009E-2</v>
      </c>
      <c r="AM22" t="str">
        <f t="shared" si="68"/>
        <v>1+9.58449946222298i</v>
      </c>
      <c r="AN22">
        <f t="shared" si="90"/>
        <v>9.6365258232078972</v>
      </c>
      <c r="AO22">
        <f t="shared" si="91"/>
        <v>1.4668373339508951</v>
      </c>
      <c r="AP22" t="str">
        <f t="shared" si="69"/>
        <v>1+0.0647601315015068i</v>
      </c>
      <c r="AQ22">
        <f t="shared" si="92"/>
        <v>1.0020947433412135</v>
      </c>
      <c r="AR22">
        <f t="shared" si="93"/>
        <v>6.4669826671548233E-2</v>
      </c>
      <c r="AS22" s="42" t="str">
        <f t="shared" si="94"/>
        <v>-0.136188381799352+0.0145870001792667i</v>
      </c>
      <c r="AT22">
        <f t="shared" si="95"/>
        <v>-17.267658716095557</v>
      </c>
      <c r="AU22" s="44">
        <f t="shared" si="96"/>
        <v>173.88641479777652</v>
      </c>
      <c r="AV22" s="42" t="str">
        <f t="shared" si="70"/>
        <v>-19.7455750779049+37.0238262958034i</v>
      </c>
      <c r="AW22" s="20">
        <f t="shared" si="97"/>
        <v>32.456733884080165</v>
      </c>
      <c r="AX22" s="44">
        <f t="shared" si="98"/>
        <v>118.07192594787968</v>
      </c>
    </row>
    <row r="23" spans="1:50" x14ac:dyDescent="0.3">
      <c r="N23" s="8">
        <v>5</v>
      </c>
      <c r="O23" s="35">
        <f t="shared" si="71"/>
        <v>11.220184543019636</v>
      </c>
      <c r="P23" s="34" t="str">
        <f t="shared" si="72"/>
        <v>545.10556621881</v>
      </c>
      <c r="Q23" s="4" t="str">
        <f t="shared" si="63"/>
        <v>1+1.50604278337117i</v>
      </c>
      <c r="R23" s="4">
        <f t="shared" si="73"/>
        <v>1.8078066448999408</v>
      </c>
      <c r="S23" s="4">
        <f t="shared" si="74"/>
        <v>0.98464786791029224</v>
      </c>
      <c r="T23" s="4" t="str">
        <f t="shared" si="64"/>
        <v>1+0.0000352492493322723i</v>
      </c>
      <c r="U23" s="4">
        <f t="shared" si="75"/>
        <v>1.0000000006212548</v>
      </c>
      <c r="V23" s="4">
        <f t="shared" si="76"/>
        <v>3.5249249317673122E-5</v>
      </c>
      <c r="W23" t="str">
        <f t="shared" si="65"/>
        <v>1-0.0000366169202063643i</v>
      </c>
      <c r="X23" s="4">
        <f t="shared" si="77"/>
        <v>1.0000000006703993</v>
      </c>
      <c r="Y23" s="4">
        <f t="shared" si="78"/>
        <v>-3.661692018999899E-5</v>
      </c>
      <c r="Z23" t="str">
        <f t="shared" si="66"/>
        <v>0.999999991942877+0.000158567290645527i</v>
      </c>
      <c r="AA23" s="4">
        <f t="shared" si="79"/>
        <v>1.00000000451467</v>
      </c>
      <c r="AB23" s="4">
        <f t="shared" si="80"/>
        <v>1.5856729059413974E-4</v>
      </c>
      <c r="AC23" s="48" t="str">
        <f t="shared" si="81"/>
        <v>166.752376630385-251.223394871257i</v>
      </c>
      <c r="AD23" s="20">
        <f t="shared" si="82"/>
        <v>49.58657273929628</v>
      </c>
      <c r="AE23" s="44">
        <f t="shared" si="83"/>
        <v>-56.425330736103184</v>
      </c>
      <c r="AF23" t="str">
        <f t="shared" si="84"/>
        <v>-0.979317078436135</v>
      </c>
      <c r="AG23" t="str">
        <f t="shared" si="85"/>
        <v>70.4984986645445i</v>
      </c>
      <c r="AH23">
        <f t="shared" si="86"/>
        <v>70.498498664544499</v>
      </c>
      <c r="AI23">
        <f t="shared" si="87"/>
        <v>1.5707963267948966</v>
      </c>
      <c r="AJ23" t="str">
        <f t="shared" si="67"/>
        <v>0.999923068876339+0.0690828888113604i</v>
      </c>
      <c r="AK23">
        <f t="shared" si="88"/>
        <v>1.0023066343178613</v>
      </c>
      <c r="AL23">
        <f t="shared" si="89"/>
        <v>6.8978594110331207E-2</v>
      </c>
      <c r="AM23" t="str">
        <f t="shared" si="68"/>
        <v>1+9.80775113421143i</v>
      </c>
      <c r="AN23">
        <f t="shared" si="90"/>
        <v>9.8585994091770246</v>
      </c>
      <c r="AO23">
        <f t="shared" si="91"/>
        <v>1.4691872882170669</v>
      </c>
      <c r="AP23" t="str">
        <f t="shared" si="69"/>
        <v>1+0.066268588744672i</v>
      </c>
      <c r="AQ23">
        <f t="shared" si="92"/>
        <v>1.0021933575185031</v>
      </c>
      <c r="AR23">
        <f t="shared" si="93"/>
        <v>6.6171836809919296E-2</v>
      </c>
      <c r="AS23" s="42" t="str">
        <f t="shared" si="94"/>
        <v>-0.136187672651926+0.0142720497288011i</v>
      </c>
      <c r="AT23">
        <f t="shared" si="95"/>
        <v>-17.269808102233046</v>
      </c>
      <c r="AU23" s="44">
        <f t="shared" si="96"/>
        <v>174.01741558167726</v>
      </c>
      <c r="AV23" s="42" t="str">
        <f t="shared" si="70"/>
        <v>-19.1241452978287+36.5934276748969i</v>
      </c>
      <c r="AW23" s="20">
        <f t="shared" si="97"/>
        <v>32.316764637063223</v>
      </c>
      <c r="AX23" s="44">
        <f t="shared" si="98"/>
        <v>117.59208484557404</v>
      </c>
    </row>
    <row r="24" spans="1:50" x14ac:dyDescent="0.3">
      <c r="N24" s="8">
        <v>6</v>
      </c>
      <c r="O24" s="35">
        <f t="shared" si="71"/>
        <v>11.481536214968834</v>
      </c>
      <c r="P24" s="34" t="str">
        <f t="shared" si="72"/>
        <v>545.10556621881</v>
      </c>
      <c r="Q24" s="4" t="str">
        <f t="shared" si="63"/>
        <v>1+1.54112302629872i</v>
      </c>
      <c r="R24" s="4">
        <f t="shared" si="73"/>
        <v>1.837133686531311</v>
      </c>
      <c r="S24" s="4">
        <f t="shared" si="74"/>
        <v>0.9952106404808565</v>
      </c>
      <c r="T24" s="4" t="str">
        <f t="shared" si="64"/>
        <v>1+0.0000360703098248712i</v>
      </c>
      <c r="U24" s="4">
        <f t="shared" si="75"/>
        <v>1.0000000006505336</v>
      </c>
      <c r="V24" s="4">
        <f t="shared" si="76"/>
        <v>3.6070309809227899E-5</v>
      </c>
      <c r="W24" t="str">
        <f t="shared" si="65"/>
        <v>1-0.0000374698378460762i</v>
      </c>
      <c r="X24" s="4">
        <f t="shared" si="77"/>
        <v>1.0000000007019942</v>
      </c>
      <c r="Y24" s="4">
        <f t="shared" si="78"/>
        <v>-3.7469837828540456E-5</v>
      </c>
      <c r="Z24" t="str">
        <f t="shared" si="66"/>
        <v>0.999999991563157+0.000162260797322513i</v>
      </c>
      <c r="AA24" s="4">
        <f t="shared" si="79"/>
        <v>1.0000000047274402</v>
      </c>
      <c r="AB24" s="4">
        <f t="shared" si="80"/>
        <v>1.6226079726745047E-4</v>
      </c>
      <c r="AC24" s="48" t="str">
        <f t="shared" si="81"/>
        <v>161.469141513635-248.933024176933i</v>
      </c>
      <c r="AD24" s="20">
        <f t="shared" si="82"/>
        <v>49.446797092308891</v>
      </c>
      <c r="AE24" s="44">
        <f t="shared" si="83"/>
        <v>-57.030746471977253</v>
      </c>
      <c r="AF24" t="str">
        <f t="shared" si="84"/>
        <v>-0.979317078436135</v>
      </c>
      <c r="AG24" t="str">
        <f t="shared" si="85"/>
        <v>72.1406196497425i</v>
      </c>
      <c r="AH24">
        <f t="shared" si="86"/>
        <v>72.140619649742504</v>
      </c>
      <c r="AI24">
        <f t="shared" si="87"/>
        <v>1.5707963267948966</v>
      </c>
      <c r="AJ24" t="str">
        <f t="shared" si="67"/>
        <v>0.999919443224181+0.0706920360071757i</v>
      </c>
      <c r="AK24">
        <f t="shared" si="88"/>
        <v>1.0024152118222249</v>
      </c>
      <c r="AL24">
        <f t="shared" si="89"/>
        <v>7.058029675470423E-2</v>
      </c>
      <c r="AM24" t="str">
        <f t="shared" si="68"/>
        <v>1+10.0362030056722i</v>
      </c>
      <c r="AN24">
        <f t="shared" si="90"/>
        <v>10.085899601476493</v>
      </c>
      <c r="AO24">
        <f t="shared" si="91"/>
        <v>1.4714848396457518</v>
      </c>
      <c r="AP24" t="str">
        <f t="shared" si="69"/>
        <v>1+0.0678121824707581i</v>
      </c>
      <c r="AQ24">
        <f t="shared" si="92"/>
        <v>1.0022966088396426</v>
      </c>
      <c r="AR24">
        <f t="shared" si="93"/>
        <v>6.7708523730210371E-2</v>
      </c>
      <c r="AS24" s="42" t="str">
        <f t="shared" si="94"/>
        <v>-0.1361869303944+0.0139646620347229i</v>
      </c>
      <c r="AT24">
        <f t="shared" si="95"/>
        <v>-17.271865737954347</v>
      </c>
      <c r="AU24" s="44">
        <f t="shared" si="96"/>
        <v>174.14533045516328</v>
      </c>
      <c r="AV24" s="42" t="str">
        <f t="shared" si="70"/>
        <v>-18.5137211842486+36.1562864267262i</v>
      </c>
      <c r="AW24" s="20">
        <f t="shared" si="97"/>
        <v>32.174931354354541</v>
      </c>
      <c r="AX24" s="44">
        <f t="shared" si="98"/>
        <v>117.11458398318609</v>
      </c>
    </row>
    <row r="25" spans="1:50" x14ac:dyDescent="0.3">
      <c r="A25" t="s">
        <v>32</v>
      </c>
      <c r="B25" s="30">
        <f>VOUT1</f>
        <v>150</v>
      </c>
      <c r="C25" t="s">
        <v>11</v>
      </c>
      <c r="E25" t="s">
        <v>160</v>
      </c>
      <c r="N25" s="8">
        <v>7</v>
      </c>
      <c r="O25" s="35">
        <f t="shared" si="71"/>
        <v>11.748975549395301</v>
      </c>
      <c r="P25" s="34" t="str">
        <f t="shared" si="72"/>
        <v>545.10556621881</v>
      </c>
      <c r="Q25" s="4" t="str">
        <f t="shared" si="63"/>
        <v>1+1.57702039305399i</v>
      </c>
      <c r="R25" s="4">
        <f t="shared" si="73"/>
        <v>1.8673492764097888</v>
      </c>
      <c r="S25" s="4">
        <f t="shared" si="74"/>
        <v>1.0056747963380617</v>
      </c>
      <c r="T25" s="4" t="str">
        <f t="shared" si="64"/>
        <v>1+0.0000369104952731864i</v>
      </c>
      <c r="U25" s="4">
        <f t="shared" si="75"/>
        <v>1.0000000006811922</v>
      </c>
      <c r="V25" s="4">
        <f t="shared" si="76"/>
        <v>3.6910495256424301E-5</v>
      </c>
      <c r="W25" t="str">
        <f t="shared" si="65"/>
        <v>1-0.0000383426224897859i</v>
      </c>
      <c r="X25" s="4">
        <f t="shared" si="77"/>
        <v>1.0000000007350782</v>
      </c>
      <c r="Y25" s="4">
        <f t="shared" si="78"/>
        <v>-3.8342622470996012E-5</v>
      </c>
      <c r="Z25" t="str">
        <f t="shared" si="66"/>
        <v>0.999999991165541+0.000166040336822015i</v>
      </c>
      <c r="AA25" s="4">
        <f t="shared" si="79"/>
        <v>1.0000000049502378</v>
      </c>
      <c r="AB25" s="4">
        <f t="shared" si="80"/>
        <v>1.6604033676301442E-4</v>
      </c>
      <c r="AC25" s="48" t="str">
        <f t="shared" si="81"/>
        <v>156.28409353219-246.554492781774i</v>
      </c>
      <c r="AD25" s="20">
        <f t="shared" si="82"/>
        <v>49.305101150090344</v>
      </c>
      <c r="AE25" s="44">
        <f t="shared" si="83"/>
        <v>-57.630516858220105</v>
      </c>
      <c r="AF25" t="str">
        <f t="shared" si="84"/>
        <v>-0.979317078436135</v>
      </c>
      <c r="AG25" t="str">
        <f t="shared" si="85"/>
        <v>73.8209905463728i</v>
      </c>
      <c r="AH25">
        <f t="shared" si="86"/>
        <v>73.820990546372798</v>
      </c>
      <c r="AI25">
        <f t="shared" si="87"/>
        <v>1.5707963267948966</v>
      </c>
      <c r="AJ25" t="str">
        <f t="shared" si="67"/>
        <v>0.999915646700301+0.0723386650562016i</v>
      </c>
      <c r="AK25">
        <f t="shared" si="88"/>
        <v>1.0025288938370776</v>
      </c>
      <c r="AL25">
        <f t="shared" si="89"/>
        <v>7.2218950591284026E-2</v>
      </c>
      <c r="AM25" t="str">
        <f t="shared" si="68"/>
        <v>1+10.2699762048114i</v>
      </c>
      <c r="AN25">
        <f t="shared" si="90"/>
        <v>10.31854695426601</v>
      </c>
      <c r="AO25">
        <f t="shared" si="91"/>
        <v>1.4737311093504897</v>
      </c>
      <c r="AP25" t="str">
        <f t="shared" si="69"/>
        <v>1+0.0693917311135906i</v>
      </c>
      <c r="AQ25">
        <f t="shared" si="92"/>
        <v>1.0024047148467234</v>
      </c>
      <c r="AR25">
        <f t="shared" si="93"/>
        <v>6.9280673157890174E-2</v>
      </c>
      <c r="AS25" s="42" t="str">
        <f t="shared" si="94"/>
        <v>-0.136186153496123+0.0136646737991962i</v>
      </c>
      <c r="AT25">
        <f t="shared" si="95"/>
        <v>-17.273835857124098</v>
      </c>
      <c r="AU25" s="44">
        <f t="shared" si="96"/>
        <v>174.27022180694388</v>
      </c>
      <c r="AV25" s="42" t="str">
        <f t="shared" si="70"/>
        <v>-17.9146428331881+35.7128791572579i</v>
      </c>
      <c r="AW25" s="20">
        <f t="shared" si="97"/>
        <v>32.031265292966246</v>
      </c>
      <c r="AX25" s="44">
        <f t="shared" si="98"/>
        <v>116.63970494872379</v>
      </c>
    </row>
    <row r="26" spans="1:50" x14ac:dyDescent="0.3">
      <c r="A26" t="s">
        <v>33</v>
      </c>
      <c r="B26" s="30">
        <f>IOUT1</f>
        <v>0.25</v>
      </c>
      <c r="C26" t="s">
        <v>12</v>
      </c>
      <c r="E26" t="s">
        <v>34</v>
      </c>
      <c r="N26" s="8">
        <v>8</v>
      </c>
      <c r="O26" s="35">
        <f t="shared" si="71"/>
        <v>12.022644346174133</v>
      </c>
      <c r="P26" s="34" t="str">
        <f t="shared" si="72"/>
        <v>545.10556621881</v>
      </c>
      <c r="Q26" s="4" t="str">
        <f t="shared" si="63"/>
        <v>1+1.61375391689599i</v>
      </c>
      <c r="R26" s="4">
        <f t="shared" si="73"/>
        <v>1.8984735195143361</v>
      </c>
      <c r="S26" s="4">
        <f t="shared" si="74"/>
        <v>1.0160367169899929</v>
      </c>
      <c r="T26" s="4" t="str">
        <f t="shared" si="64"/>
        <v>1+0.0000377702511546635i</v>
      </c>
      <c r="U26" s="4">
        <f t="shared" si="75"/>
        <v>1.0000000007132959</v>
      </c>
      <c r="V26" s="4">
        <f t="shared" si="76"/>
        <v>3.7770251136702586E-5</v>
      </c>
      <c r="W26" t="str">
        <f t="shared" si="65"/>
        <v>1-0.0000392357368994643i</v>
      </c>
      <c r="X26" s="4">
        <f t="shared" si="77"/>
        <v>1.0000000007697214</v>
      </c>
      <c r="Y26" s="4">
        <f t="shared" si="78"/>
        <v>-3.9235736879330571E-5</v>
      </c>
      <c r="Z26" t="str">
        <f t="shared" si="66"/>
        <v>0.999999990749185+0.000169907913105904i</v>
      </c>
      <c r="AA26" s="4">
        <f t="shared" si="79"/>
        <v>1.0000000051835345</v>
      </c>
      <c r="AB26" s="4">
        <f t="shared" si="80"/>
        <v>1.6990791304268384E-4</v>
      </c>
      <c r="AC26" s="48" t="str">
        <f t="shared" si="81"/>
        <v>151.199863247068-244.092788141872i</v>
      </c>
      <c r="AD26" s="20">
        <f t="shared" si="82"/>
        <v>49.161521425875335</v>
      </c>
      <c r="AE26" s="44">
        <f t="shared" si="83"/>
        <v>-58.224434686325999</v>
      </c>
      <c r="AF26" t="str">
        <f t="shared" si="84"/>
        <v>-0.979317078436135</v>
      </c>
      <c r="AG26" t="str">
        <f t="shared" si="85"/>
        <v>75.540502309327i</v>
      </c>
      <c r="AH26">
        <f t="shared" si="86"/>
        <v>75.540502309326996</v>
      </c>
      <c r="AI26">
        <f t="shared" si="87"/>
        <v>1.5707963267948966</v>
      </c>
      <c r="AJ26" t="str">
        <f t="shared" si="67"/>
        <v>0.999911671251763+0.0740236490229558i</v>
      </c>
      <c r="AK26">
        <f t="shared" si="88"/>
        <v>1.0026479197206601</v>
      </c>
      <c r="AL26">
        <f t="shared" si="89"/>
        <v>7.3895390946927916E-2</v>
      </c>
      <c r="AM26" t="str">
        <f t="shared" si="68"/>
        <v>1+10.5091946812736i</v>
      </c>
      <c r="AN26">
        <f t="shared" si="90"/>
        <v>10.556664854437187</v>
      </c>
      <c r="AO26">
        <f t="shared" si="91"/>
        <v>1.4759271976108892</v>
      </c>
      <c r="AP26" t="str">
        <f t="shared" si="69"/>
        <v>1+0.0710080721707675i</v>
      </c>
      <c r="AQ26">
        <f t="shared" si="92"/>
        <v>1.0025179032383456</v>
      </c>
      <c r="AR26">
        <f t="shared" si="93"/>
        <v>7.0889087563447001E-2</v>
      </c>
      <c r="AS26" s="42" t="str">
        <f t="shared" si="94"/>
        <v>-0.136185340357152+0.0133719256253951i</v>
      </c>
      <c r="AT26">
        <f t="shared" si="95"/>
        <v>-17.27572251883873</v>
      </c>
      <c r="AU26" s="44">
        <f t="shared" si="96"/>
        <v>174.3921507958656</v>
      </c>
      <c r="AV26" s="42" t="str">
        <f t="shared" si="70"/>
        <v>-17.3272142295284+35.2636927577367i</v>
      </c>
      <c r="AW26" s="20">
        <f t="shared" si="97"/>
        <v>31.885798907036602</v>
      </c>
      <c r="AX26" s="44">
        <f t="shared" si="98"/>
        <v>116.16771610953971</v>
      </c>
    </row>
    <row r="27" spans="1:50" x14ac:dyDescent="0.3">
      <c r="N27" s="8">
        <v>9</v>
      </c>
      <c r="O27" s="35">
        <f t="shared" si="71"/>
        <v>12.302687708123818</v>
      </c>
      <c r="P27" s="34" t="str">
        <f t="shared" si="72"/>
        <v>545.10556621881</v>
      </c>
      <c r="Q27" s="4" t="str">
        <f t="shared" si="63"/>
        <v>1+1.65134307442528i</v>
      </c>
      <c r="R27" s="4">
        <f t="shared" si="73"/>
        <v>1.9305268579981829</v>
      </c>
      <c r="S27" s="4">
        <f t="shared" si="74"/>
        <v>1.0262929957049041</v>
      </c>
      <c r="T27" s="4" t="str">
        <f t="shared" si="64"/>
        <v>1+0.0000386500333232513i</v>
      </c>
      <c r="U27" s="4">
        <f t="shared" si="75"/>
        <v>1.0000000007469125</v>
      </c>
      <c r="V27" s="4">
        <f t="shared" si="76"/>
        <v>3.8650033304005838E-5</v>
      </c>
      <c r="W27" t="str">
        <f t="shared" si="65"/>
        <v>1-0.0000401496546161933i</v>
      </c>
      <c r="X27" s="4">
        <f t="shared" si="77"/>
        <v>1.0000000008059973</v>
      </c>
      <c r="Y27" s="4">
        <f t="shared" si="78"/>
        <v>-4.0149654594619623E-5</v>
      </c>
      <c r="Z27" t="str">
        <f t="shared" si="66"/>
        <v>0.999999990313208+0.000173865576814319i</v>
      </c>
      <c r="AA27" s="4">
        <f t="shared" si="79"/>
        <v>1.0000000054278273</v>
      </c>
      <c r="AB27" s="4">
        <f t="shared" si="80"/>
        <v>1.7386557674657735E-4</v>
      </c>
      <c r="AC27" s="48" t="str">
        <f t="shared" si="81"/>
        <v>146.218770450217-241.552946478657i</v>
      </c>
      <c r="AD27" s="20">
        <f t="shared" si="82"/>
        <v>49.016095340866542</v>
      </c>
      <c r="AE27" s="44">
        <f t="shared" si="83"/>
        <v>-58.812304883449997</v>
      </c>
      <c r="AF27" t="str">
        <f t="shared" si="84"/>
        <v>-0.979317078436135</v>
      </c>
      <c r="AG27" t="str">
        <f t="shared" si="85"/>
        <v>77.3000666465025i</v>
      </c>
      <c r="AH27">
        <f t="shared" si="86"/>
        <v>77.300066646502501</v>
      </c>
      <c r="AI27">
        <f t="shared" si="87"/>
        <v>1.5707963267948966</v>
      </c>
      <c r="AJ27" t="str">
        <f t="shared" si="67"/>
        <v>0.999907508446107+0.0757478813082407i</v>
      </c>
      <c r="AK27">
        <f t="shared" si="88"/>
        <v>1.0027725399957803</v>
      </c>
      <c r="AL27">
        <f t="shared" si="89"/>
        <v>7.5610470811865185E-2</v>
      </c>
      <c r="AM27" t="str">
        <f t="shared" si="68"/>
        <v>1+10.7539852718614i</v>
      </c>
      <c r="AN27">
        <f t="shared" si="90"/>
        <v>10.800379587190994</v>
      </c>
      <c r="AO27">
        <f t="shared" si="91"/>
        <v>1.4780741840449618</v>
      </c>
      <c r="AP27" t="str">
        <f t="shared" si="69"/>
        <v>1+0.0726620626477125i</v>
      </c>
      <c r="AQ27">
        <f t="shared" si="92"/>
        <v>1.0026364123390992</v>
      </c>
      <c r="AR27">
        <f t="shared" si="93"/>
        <v>7.2534586443091381E-2</v>
      </c>
      <c r="AS27" s="42" t="str">
        <f t="shared" si="94"/>
        <v>-0.136184489305245+0.0130862619314402i</v>
      </c>
      <c r="AT27">
        <f t="shared" si="95"/>
        <v>-17.277529615052298</v>
      </c>
      <c r="AU27" s="44">
        <f t="shared" si="96"/>
        <v>174.5111773604182</v>
      </c>
      <c r="AV27" s="42" t="str">
        <f t="shared" si="70"/>
        <v>-16.7517034526728+34.8092217857777i</v>
      </c>
      <c r="AW27" s="20">
        <f t="shared" si="97"/>
        <v>31.73856572581424</v>
      </c>
      <c r="AX27" s="44">
        <f t="shared" si="98"/>
        <v>115.69887247696825</v>
      </c>
    </row>
    <row r="28" spans="1:50" x14ac:dyDescent="0.3">
      <c r="A28" t="s">
        <v>161</v>
      </c>
      <c r="N28" s="8">
        <v>10</v>
      </c>
      <c r="O28" s="35">
        <f t="shared" si="71"/>
        <v>12.58925411794168</v>
      </c>
      <c r="P28" s="34" t="str">
        <f t="shared" si="72"/>
        <v>545.10556621881</v>
      </c>
      <c r="Q28" s="4" t="str">
        <f t="shared" si="63"/>
        <v>1+1.68980779591075i</v>
      </c>
      <c r="R28" s="4">
        <f t="shared" si="73"/>
        <v>1.9635300830699658</v>
      </c>
      <c r="S28" s="4">
        <f t="shared" si="74"/>
        <v>1.0364404391135473</v>
      </c>
      <c r="T28" s="4" t="str">
        <f t="shared" si="64"/>
        <v>1+0.0000395503082511007i</v>
      </c>
      <c r="U28" s="4">
        <f t="shared" si="75"/>
        <v>1.0000000007821135</v>
      </c>
      <c r="V28" s="4">
        <f t="shared" si="76"/>
        <v>3.9550308230478819E-5</v>
      </c>
      <c r="W28" t="str">
        <f t="shared" si="65"/>
        <v>1-0.0000410848602112432i</v>
      </c>
      <c r="X28" s="4">
        <f t="shared" si="77"/>
        <v>1.0000000008439829</v>
      </c>
      <c r="Y28" s="4">
        <f t="shared" si="78"/>
        <v>-4.1084860188126588E-5</v>
      </c>
      <c r="Z28" t="str">
        <f t="shared" si="66"/>
        <v>0.999999989856684+0.000177915426352944i</v>
      </c>
      <c r="AA28" s="4">
        <f t="shared" si="79"/>
        <v>1.0000000056836333</v>
      </c>
      <c r="AB28" s="4">
        <f t="shared" si="80"/>
        <v>1.779154262803574E-4</v>
      </c>
      <c r="AC28" s="48" t="str">
        <f t="shared" si="81"/>
        <v>141.342827659207-238.940031255671i</v>
      </c>
      <c r="AD28" s="20">
        <f t="shared" si="82"/>
        <v>48.86886111081526</v>
      </c>
      <c r="AE28" s="44">
        <f t="shared" si="83"/>
        <v>-59.393944604278779</v>
      </c>
      <c r="AF28" t="str">
        <f t="shared" si="84"/>
        <v>-0.979317078436135</v>
      </c>
      <c r="AG28" t="str">
        <f t="shared" si="85"/>
        <v>79.1006165022013i</v>
      </c>
      <c r="AH28">
        <f t="shared" si="86"/>
        <v>79.100616502201305</v>
      </c>
      <c r="AI28">
        <f t="shared" si="87"/>
        <v>1.5707963267948966</v>
      </c>
      <c r="AJ28" t="str">
        <f t="shared" si="67"/>
        <v>0.999903149453465+0.0775122761228371i</v>
      </c>
      <c r="AK28">
        <f t="shared" si="88"/>
        <v>1.0029030168648918</v>
      </c>
      <c r="AL28">
        <f t="shared" si="89"/>
        <v>7.7365061125378123E-2</v>
      </c>
      <c r="AM28" t="str">
        <f t="shared" si="68"/>
        <v>1+11.0044777677862i</v>
      </c>
      <c r="AN28">
        <f t="shared" si="90"/>
        <v>11.049820403142339</v>
      </c>
      <c r="AO28">
        <f t="shared" si="91"/>
        <v>1.4801731277965322</v>
      </c>
      <c r="AP28" t="str">
        <f t="shared" si="69"/>
        <v>1+0.0743545795120694i</v>
      </c>
      <c r="AQ28">
        <f t="shared" si="92"/>
        <v>1.0027604915902983</v>
      </c>
      <c r="AR28">
        <f t="shared" si="93"/>
        <v>7.4218006598417083E-2</v>
      </c>
      <c r="AS28" s="42" t="str">
        <f t="shared" si="94"/>
        <v>-0.13618359859276+0.0128075308662555i</v>
      </c>
      <c r="AT28">
        <f t="shared" si="95"/>
        <v>-17.279260877926358</v>
      </c>
      <c r="AU28" s="44">
        <f t="shared" si="96"/>
        <v>174.62736022912711</v>
      </c>
      <c r="AV28" s="42" t="str">
        <f t="shared" si="70"/>
        <v>-16.188343080416+34.349965932233i</v>
      </c>
      <c r="AW28" s="20">
        <f t="shared" si="97"/>
        <v>31.589600232888898</v>
      </c>
      <c r="AX28" s="44">
        <f t="shared" si="98"/>
        <v>115.23341562484823</v>
      </c>
    </row>
    <row r="29" spans="1:50" x14ac:dyDescent="0.3">
      <c r="A29" t="s">
        <v>162</v>
      </c>
      <c r="B29" s="30">
        <f>Lm</f>
        <v>1.4E-5</v>
      </c>
      <c r="C29" t="s">
        <v>75</v>
      </c>
      <c r="E29" t="s">
        <v>163</v>
      </c>
      <c r="N29" s="8">
        <v>11</v>
      </c>
      <c r="O29" s="35">
        <f t="shared" si="71"/>
        <v>12.882495516931346</v>
      </c>
      <c r="P29" s="34" t="str">
        <f t="shared" si="72"/>
        <v>545.10556621881</v>
      </c>
      <c r="Q29" s="4" t="str">
        <f t="shared" si="63"/>
        <v>1+1.72916847585686i</v>
      </c>
      <c r="R29" s="4">
        <f t="shared" si="73"/>
        <v>1.9975043474038139</v>
      </c>
      <c r="S29" s="4">
        <f t="shared" si="74"/>
        <v>1.0464760679202725</v>
      </c>
      <c r="T29" s="4" t="str">
        <f t="shared" si="64"/>
        <v>1+0.0000404715532758949i</v>
      </c>
      <c r="U29" s="4">
        <f t="shared" si="75"/>
        <v>1.0000000008189733</v>
      </c>
      <c r="V29" s="4">
        <f t="shared" si="76"/>
        <v>4.0471553253798154E-5</v>
      </c>
      <c r="W29" t="str">
        <f t="shared" si="65"/>
        <v>1-0.0000420418495429996i</v>
      </c>
      <c r="X29" s="4">
        <f t="shared" si="77"/>
        <v>1.0000000008837584</v>
      </c>
      <c r="Y29" s="4">
        <f t="shared" si="78"/>
        <v>-4.2041849518229708E-5</v>
      </c>
      <c r="Z29" t="str">
        <f t="shared" si="66"/>
        <v>0.999999989378644+0.00018205960900561i</v>
      </c>
      <c r="AA29" s="4">
        <f t="shared" si="79"/>
        <v>1.0000000059514946</v>
      </c>
      <c r="AB29" s="4">
        <f t="shared" si="80"/>
        <v>1.8205960892783213E-4</v>
      </c>
      <c r="AC29" s="48" t="str">
        <f t="shared" si="81"/>
        <v>136.573745205676-236.259112521818i</v>
      </c>
      <c r="AD29" s="20">
        <f t="shared" si="82"/>
        <v>48.719857634180912</v>
      </c>
      <c r="AE29" s="44">
        <f t="shared" si="83"/>
        <v>-59.969183271837132</v>
      </c>
      <c r="AF29" t="str">
        <f t="shared" si="84"/>
        <v>-0.979317078436135</v>
      </c>
      <c r="AG29" t="str">
        <f t="shared" si="85"/>
        <v>80.9431065517899i</v>
      </c>
      <c r="AH29">
        <f t="shared" si="86"/>
        <v>80.943106551789896</v>
      </c>
      <c r="AI29">
        <f t="shared" si="87"/>
        <v>1.5707963267948966</v>
      </c>
      <c r="AJ29" t="str">
        <f t="shared" si="67"/>
        <v>0.999898585027829+0.07931776897223i</v>
      </c>
      <c r="AK29">
        <f t="shared" si="88"/>
        <v>1.0030396247483879</v>
      </c>
      <c r="AL29">
        <f t="shared" si="89"/>
        <v>7.9160051059448955E-2</v>
      </c>
      <c r="AM29" t="str">
        <f t="shared" si="68"/>
        <v>1+11.260804983485i</v>
      </c>
      <c r="AN29">
        <f t="shared" si="90"/>
        <v>11.305119586987155</v>
      </c>
      <c r="AO29">
        <f t="shared" si="91"/>
        <v>1.4822250677362285</v>
      </c>
      <c r="AP29" t="str">
        <f t="shared" si="69"/>
        <v>1+0.0760865201586827i</v>
      </c>
      <c r="AQ29">
        <f t="shared" si="92"/>
        <v>1.0028904020628864</v>
      </c>
      <c r="AR29">
        <f t="shared" si="93"/>
        <v>7.5940202414487221E-2</v>
      </c>
      <c r="AS29" s="42" t="str">
        <f t="shared" si="94"/>
        <v>-0.136182666393416+0.0125355842272878i</v>
      </c>
      <c r="AT29">
        <f t="shared" si="95"/>
        <v>-17.280919886914926</v>
      </c>
      <c r="AU29" s="44">
        <f t="shared" si="96"/>
        <v>174.74075693175124</v>
      </c>
      <c r="AV29" s="42" t="str">
        <f t="shared" si="70"/>
        <v>-15.6373307769625+33.8864275892252i</v>
      </c>
      <c r="AW29" s="20">
        <f t="shared" si="97"/>
        <v>31.438937747265992</v>
      </c>
      <c r="AX29" s="44">
        <f t="shared" si="98"/>
        <v>114.77157365991413</v>
      </c>
    </row>
    <row r="30" spans="1:50" x14ac:dyDescent="0.3">
      <c r="N30" s="8">
        <v>12</v>
      </c>
      <c r="O30" s="35">
        <f t="shared" si="71"/>
        <v>13.182567385564075</v>
      </c>
      <c r="P30" s="34" t="str">
        <f t="shared" si="72"/>
        <v>545.10556621881</v>
      </c>
      <c r="Q30" s="4" t="str">
        <f t="shared" si="63"/>
        <v>1+1.76944598381711i</v>
      </c>
      <c r="R30" s="4">
        <f t="shared" si="73"/>
        <v>2.0324711780604665</v>
      </c>
      <c r="S30" s="4">
        <f t="shared" si="74"/>
        <v>1.0563971167620474</v>
      </c>
      <c r="T30" s="4" t="str">
        <f t="shared" si="64"/>
        <v>1+0.0000414142568539405i</v>
      </c>
      <c r="U30" s="4">
        <f t="shared" si="75"/>
        <v>1.0000000008575702</v>
      </c>
      <c r="V30" s="4">
        <f t="shared" si="76"/>
        <v>4.141425683026341E-5</v>
      </c>
      <c r="W30" t="str">
        <f t="shared" si="65"/>
        <v>1-0.0000430211300198733i</v>
      </c>
      <c r="X30" s="4">
        <f t="shared" si="77"/>
        <v>1.0000000009254089</v>
      </c>
      <c r="Y30" s="4">
        <f t="shared" si="78"/>
        <v>-4.3021129993331875E-5</v>
      </c>
      <c r="Z30" t="str">
        <f t="shared" si="66"/>
        <v>0.999999988878075+0.000186300322072815i</v>
      </c>
      <c r="AA30" s="4">
        <f t="shared" si="79"/>
        <v>1.00000000623198</v>
      </c>
      <c r="AB30" s="4">
        <f t="shared" si="80"/>
        <v>1.8630032198947447E-4</v>
      </c>
      <c r="AC30" s="48" t="str">
        <f t="shared" si="81"/>
        <v>131.912937786582-233.515247236936i</v>
      </c>
      <c r="AD30" s="20">
        <f t="shared" si="82"/>
        <v>48.569124382429138</v>
      </c>
      <c r="AE30" s="44">
        <f t="shared" si="83"/>
        <v>-60.53786256947658</v>
      </c>
      <c r="AF30" t="str">
        <f t="shared" si="84"/>
        <v>-0.979317078436135</v>
      </c>
      <c r="AG30" t="str">
        <f t="shared" si="85"/>
        <v>82.828513707881i</v>
      </c>
      <c r="AH30">
        <f t="shared" si="86"/>
        <v>82.828513707881001</v>
      </c>
      <c r="AI30">
        <f t="shared" si="87"/>
        <v>1.5707963267948966</v>
      </c>
      <c r="AJ30" t="str">
        <f t="shared" si="67"/>
        <v>0.99989380548744+0.0811653171526268i</v>
      </c>
      <c r="AK30">
        <f t="shared" si="88"/>
        <v>1.0031826508471133</v>
      </c>
      <c r="AL30">
        <f t="shared" si="89"/>
        <v>8.0996348299743337E-2</v>
      </c>
      <c r="AM30" t="str">
        <f t="shared" si="68"/>
        <v>1+11.5231028270404i</v>
      </c>
      <c r="AN30">
        <f t="shared" si="90"/>
        <v>11.566412527769639</v>
      </c>
      <c r="AO30">
        <f t="shared" si="91"/>
        <v>1.4842310226746682</v>
      </c>
      <c r="AP30" t="str">
        <f t="shared" si="69"/>
        <v>1+0.0778588028854083i</v>
      </c>
      <c r="AQ30">
        <f t="shared" si="92"/>
        <v>1.0030264169934653</v>
      </c>
      <c r="AR30">
        <f t="shared" si="93"/>
        <v>7.7702046135760247E-2</v>
      </c>
      <c r="AS30" s="42" t="str">
        <f t="shared" si="94"/>
        <v>-0.136181690798937+0.0122702773800437i</v>
      </c>
      <c r="AT30">
        <f t="shared" si="95"/>
        <v>-17.282510075591297</v>
      </c>
      <c r="AU30" s="44">
        <f t="shared" si="96"/>
        <v>174.85142381120744</v>
      </c>
      <c r="AV30" s="42" t="str">
        <f t="shared" si="70"/>
        <v>-15.098830049965+33.4191095327156i</v>
      </c>
      <c r="AW30" s="20">
        <f t="shared" si="97"/>
        <v>31.286614306837844</v>
      </c>
      <c r="AX30" s="44">
        <f t="shared" si="98"/>
        <v>114.31356124173077</v>
      </c>
    </row>
    <row r="31" spans="1:50" x14ac:dyDescent="0.3">
      <c r="A31" t="s">
        <v>124</v>
      </c>
      <c r="B31" s="30">
        <f>R_cs</f>
        <v>1.4999999999999999E-2</v>
      </c>
      <c r="C31" s="2" t="s">
        <v>35</v>
      </c>
      <c r="E31" t="s">
        <v>164</v>
      </c>
      <c r="N31" s="8">
        <v>13</v>
      </c>
      <c r="O31" s="35">
        <f t="shared" si="71"/>
        <v>13.489628825916535</v>
      </c>
      <c r="P31" s="34" t="str">
        <f t="shared" si="72"/>
        <v>545.10556621881</v>
      </c>
      <c r="Q31" s="4" t="str">
        <f t="shared" si="63"/>
        <v>1+1.81066167545938i</v>
      </c>
      <c r="R31" s="4">
        <f t="shared" si="73"/>
        <v>2.0684524899009329</v>
      </c>
      <c r="S31" s="4">
        <f t="shared" si="74"/>
        <v>1.0662010332589962</v>
      </c>
      <c r="T31" s="4" t="str">
        <f t="shared" si="64"/>
        <v>1+0.0000423789188191525i</v>
      </c>
      <c r="U31" s="4">
        <f t="shared" si="75"/>
        <v>1.0000000008979864</v>
      </c>
      <c r="V31" s="4">
        <f t="shared" si="76"/>
        <v>4.2378918793782043E-5</v>
      </c>
      <c r="W31" t="str">
        <f t="shared" si="65"/>
        <v>1-0.0000440232208693355i</v>
      </c>
      <c r="X31" s="4">
        <f t="shared" si="77"/>
        <v>1.000000000969022</v>
      </c>
      <c r="Y31" s="4">
        <f t="shared" si="78"/>
        <v>-4.4023220840895852E-5</v>
      </c>
      <c r="Z31" t="str">
        <f t="shared" si="66"/>
        <v>0.999999988353914+0.000190639814036759i</v>
      </c>
      <c r="AA31" s="4">
        <f t="shared" si="79"/>
        <v>1.0000000065256835</v>
      </c>
      <c r="AB31" s="4">
        <f t="shared" si="80"/>
        <v>1.9063981394745817E-4</v>
      </c>
      <c r="AC31" s="48" t="str">
        <f t="shared" si="81"/>
        <v>127.361532340574-230.713460677648i</v>
      </c>
      <c r="AD31" s="20">
        <f t="shared" si="82"/>
        <v>48.416701292981024</v>
      </c>
      <c r="AE31" s="44">
        <f t="shared" si="83"/>
        <v>-61.099836386541938</v>
      </c>
      <c r="AF31" t="str">
        <f t="shared" si="84"/>
        <v>-0.979317078436135</v>
      </c>
      <c r="AG31" t="str">
        <f t="shared" si="85"/>
        <v>84.757837638305i</v>
      </c>
      <c r="AH31">
        <f t="shared" si="86"/>
        <v>84.757837638305006</v>
      </c>
      <c r="AI31">
        <f t="shared" si="87"/>
        <v>1.5707963267948966</v>
      </c>
      <c r="AJ31" t="str">
        <f t="shared" si="67"/>
        <v>0.999888800694252+0.0830559002585278i</v>
      </c>
      <c r="AK31">
        <f t="shared" si="88"/>
        <v>1.003332395730121</v>
      </c>
      <c r="AL31">
        <f t="shared" si="89"/>
        <v>8.287487932324332E-2</v>
      </c>
      <c r="AM31" t="str">
        <f t="shared" si="68"/>
        <v>1+11.791510372241i</v>
      </c>
      <c r="AN31">
        <f t="shared" si="90"/>
        <v>11.83383779078736</v>
      </c>
      <c r="AO31">
        <f t="shared" si="91"/>
        <v>1.4861919915865365</v>
      </c>
      <c r="AP31" t="str">
        <f t="shared" si="69"/>
        <v>1+0.0796723673800069i</v>
      </c>
      <c r="AQ31">
        <f t="shared" si="92"/>
        <v>1.0031688223444422</v>
      </c>
      <c r="AR31">
        <f t="shared" si="93"/>
        <v>7.9504428139224065E-2</v>
      </c>
      <c r="AS31" s="42" t="str">
        <f t="shared" si="94"/>
        <v>-0.136180669815583+0.0120114691793903i</v>
      </c>
      <c r="AT31">
        <f t="shared" si="95"/>
        <v>-17.284034738224861</v>
      </c>
      <c r="AU31" s="44">
        <f t="shared" si="96"/>
        <v>174.95941603615171</v>
      </c>
      <c r="AV31" s="42" t="str">
        <f t="shared" si="70"/>
        <v>-14.5729711606784+32.948512730902i</v>
      </c>
      <c r="AW31" s="20">
        <f t="shared" si="97"/>
        <v>31.13266655475617</v>
      </c>
      <c r="AX31" s="44">
        <f t="shared" si="98"/>
        <v>113.85957964960983</v>
      </c>
    </row>
    <row r="32" spans="1:50" x14ac:dyDescent="0.3">
      <c r="A32" t="s">
        <v>125</v>
      </c>
      <c r="B32" s="30">
        <f>R_sl</f>
        <v>2000</v>
      </c>
      <c r="C32" s="2" t="s">
        <v>35</v>
      </c>
      <c r="E32" t="s">
        <v>165</v>
      </c>
      <c r="N32" s="8">
        <v>14</v>
      </c>
      <c r="O32" s="35">
        <f t="shared" si="71"/>
        <v>13.803842646028857</v>
      </c>
      <c r="P32" s="34" t="str">
        <f t="shared" si="72"/>
        <v>545.10556621881</v>
      </c>
      <c r="Q32" s="4" t="str">
        <f t="shared" si="63"/>
        <v>1+1.85283740388891i</v>
      </c>
      <c r="R32" s="4">
        <f t="shared" si="73"/>
        <v>2.105470599474093</v>
      </c>
      <c r="S32" s="4">
        <f t="shared" si="74"/>
        <v>1.0758854763038102</v>
      </c>
      <c r="T32" s="4" t="str">
        <f t="shared" si="64"/>
        <v>1+0.0000433660506480738i</v>
      </c>
      <c r="U32" s="4">
        <f t="shared" si="75"/>
        <v>1.0000000009403072</v>
      </c>
      <c r="V32" s="4">
        <f t="shared" si="76"/>
        <v>4.336605062088886E-5</v>
      </c>
      <c r="W32" t="str">
        <f t="shared" si="65"/>
        <v>1-0.0000450486534132189i</v>
      </c>
      <c r="X32" s="4">
        <f t="shared" si="77"/>
        <v>1.0000000010146906</v>
      </c>
      <c r="Y32" s="4">
        <f t="shared" si="78"/>
        <v>-4.5048653382745267E-5</v>
      </c>
      <c r="Z32" t="str">
        <f t="shared" si="66"/>
        <v>0.999999987805051+0.000195080385753522i</v>
      </c>
      <c r="AA32" s="4">
        <f t="shared" si="79"/>
        <v>1.0000000068332295</v>
      </c>
      <c r="AB32" s="4">
        <f t="shared" si="80"/>
        <v>1.950803856578344E-4</v>
      </c>
      <c r="AC32" s="48" t="str">
        <f t="shared" si="81"/>
        <v>122.920377107291-227.858729003517i</v>
      </c>
      <c r="AD32" s="20">
        <f t="shared" si="82"/>
        <v>48.262628665273411</v>
      </c>
      <c r="AE32" s="44">
        <f t="shared" si="83"/>
        <v>-61.654970720431493</v>
      </c>
      <c r="AF32" t="str">
        <f t="shared" si="84"/>
        <v>-0.979317078436135</v>
      </c>
      <c r="AG32" t="str">
        <f t="shared" si="85"/>
        <v>86.7321012961475i</v>
      </c>
      <c r="AH32">
        <f t="shared" si="86"/>
        <v>86.732101296147505</v>
      </c>
      <c r="AI32">
        <f t="shared" si="87"/>
        <v>1.5707963267948966</v>
      </c>
      <c r="AJ32" t="str">
        <f t="shared" si="67"/>
        <v>0.999883560032428+0.0849905207021209i</v>
      </c>
      <c r="AK32">
        <f t="shared" si="88"/>
        <v>1.0034891739487475</v>
      </c>
      <c r="AL32">
        <f t="shared" si="89"/>
        <v>8.4796589671793335E-2</v>
      </c>
      <c r="AM32" t="str">
        <f t="shared" si="68"/>
        <v>1+12.06616993232i</v>
      </c>
      <c r="AN32">
        <f t="shared" si="90"/>
        <v>12.107537191172417</v>
      </c>
      <c r="AO32">
        <f t="shared" si="91"/>
        <v>1.4881089538443462</v>
      </c>
      <c r="AP32" t="str">
        <f t="shared" si="69"/>
        <v>1+0.0815281752183789i</v>
      </c>
      <c r="AQ32">
        <f t="shared" si="92"/>
        <v>1.0033179173893181</v>
      </c>
      <c r="AR32">
        <f t="shared" si="93"/>
        <v>8.1348257204055405E-2</v>
      </c>
      <c r="AS32" s="42" t="str">
        <f t="shared" si="94"/>
        <v>-0.136179601360534+0.0117590218925705i</v>
      </c>
      <c r="AT32">
        <f t="shared" si="95"/>
        <v>-17.285497036118041</v>
      </c>
      <c r="AU32" s="44">
        <f t="shared" si="96"/>
        <v>175.06478761414994</v>
      </c>
      <c r="AV32" s="42" t="str">
        <f t="shared" si="70"/>
        <v>-14.0598521707918+32.4751342876646i</v>
      </c>
      <c r="AW32" s="20">
        <f t="shared" si="97"/>
        <v>30.977131629155391</v>
      </c>
      <c r="AX32" s="44">
        <f t="shared" si="98"/>
        <v>113.40981689371849</v>
      </c>
    </row>
    <row r="33" spans="1:50" x14ac:dyDescent="0.3">
      <c r="A33" t="s">
        <v>111</v>
      </c>
      <c r="B33" s="12">
        <f>Rsl_int</f>
        <v>1333</v>
      </c>
      <c r="C33" s="2" t="s">
        <v>35</v>
      </c>
      <c r="E33" t="s">
        <v>166</v>
      </c>
      <c r="N33" s="8">
        <v>15</v>
      </c>
      <c r="O33" s="35">
        <f t="shared" si="71"/>
        <v>14.125375446227544</v>
      </c>
      <c r="P33" s="34" t="str">
        <f t="shared" si="72"/>
        <v>545.10556621881</v>
      </c>
      <c r="Q33" s="4" t="str">
        <f t="shared" si="63"/>
        <v>1+1.89599553123518i</v>
      </c>
      <c r="R33" s="4">
        <f t="shared" si="73"/>
        <v>2.1435482393600971</v>
      </c>
      <c r="S33" s="4">
        <f t="shared" si="74"/>
        <v>1.0854483136404827</v>
      </c>
      <c r="T33" s="4" t="str">
        <f t="shared" si="64"/>
        <v>1+0.0000443761757310661i</v>
      </c>
      <c r="U33" s="4">
        <f t="shared" si="75"/>
        <v>1.0000000009846224</v>
      </c>
      <c r="V33" s="4">
        <f t="shared" si="76"/>
        <v>4.4376175701936917E-5</v>
      </c>
      <c r="W33" t="str">
        <f t="shared" si="65"/>
        <v>1-0.0000460979713494313i</v>
      </c>
      <c r="X33" s="4">
        <f t="shared" si="77"/>
        <v>1.0000000010625114</v>
      </c>
      <c r="Y33" s="4">
        <f t="shared" si="78"/>
        <v>-4.6097971316778219E-5</v>
      </c>
      <c r="Z33" t="str">
        <f t="shared" si="66"/>
        <v>0.999999987230321+0.000199624391673005i</v>
      </c>
      <c r="AA33" s="4">
        <f t="shared" si="79"/>
        <v>1.0000000071552699</v>
      </c>
      <c r="AB33" s="4">
        <f t="shared" si="80"/>
        <v>1.9962439157047385E-4</v>
      </c>
      <c r="AC33" s="48" t="str">
        <f t="shared" si="81"/>
        <v>118.590051725167-224.955963045936i</v>
      </c>
      <c r="AD33" s="20">
        <f t="shared" si="82"/>
        <v>48.106947060336978</v>
      </c>
      <c r="AE33" s="44">
        <f t="shared" si="83"/>
        <v>-62.203143537939006</v>
      </c>
      <c r="AF33" t="str">
        <f t="shared" si="84"/>
        <v>-0.979317078436135</v>
      </c>
      <c r="AG33" t="str">
        <f t="shared" si="85"/>
        <v>88.7523514621322i</v>
      </c>
      <c r="AH33">
        <f t="shared" si="86"/>
        <v>88.752351462132197</v>
      </c>
      <c r="AI33">
        <f t="shared" si="87"/>
        <v>1.5707963267948966</v>
      </c>
      <c r="AJ33" t="str">
        <f t="shared" si="67"/>
        <v>0.999878072385821+0.0869702042447726i</v>
      </c>
      <c r="AK33">
        <f t="shared" si="88"/>
        <v>1.0036533146781126</v>
      </c>
      <c r="AL33">
        <f t="shared" si="89"/>
        <v>8.6762444220756463E-2</v>
      </c>
      <c r="AM33" t="str">
        <f t="shared" si="68"/>
        <v>1+12.3472271354118i</v>
      </c>
      <c r="AN33">
        <f t="shared" si="90"/>
        <v>12.387655869188869</v>
      </c>
      <c r="AO33">
        <f t="shared" si="91"/>
        <v>1.4899828694607522</v>
      </c>
      <c r="AP33" t="str">
        <f t="shared" si="69"/>
        <v>1+0.0834272103744045i</v>
      </c>
      <c r="AQ33">
        <f t="shared" si="92"/>
        <v>1.0034740153241912</v>
      </c>
      <c r="AR33">
        <f t="shared" si="93"/>
        <v>8.3234460777065061E-2</v>
      </c>
      <c r="AS33" s="42" t="str">
        <f t="shared" si="94"/>
        <v>-0.136178483258157+0.0115128011238841i</v>
      </c>
      <c r="AT33">
        <f t="shared" si="95"/>
        <v>-17.286900003709594</v>
      </c>
      <c r="AU33" s="44">
        <f t="shared" si="96"/>
        <v>175.16759140537744</v>
      </c>
      <c r="AV33" s="42" t="str">
        <f t="shared" si="70"/>
        <v>-13.5595401092599+31.9994655282566i</v>
      </c>
      <c r="AW33" s="20">
        <f t="shared" si="97"/>
        <v>30.820047056627395</v>
      </c>
      <c r="AX33" s="44">
        <f t="shared" si="98"/>
        <v>112.96444786743832</v>
      </c>
    </row>
    <row r="34" spans="1:50" x14ac:dyDescent="0.3">
      <c r="A34" t="s">
        <v>109</v>
      </c>
      <c r="B34" s="12">
        <f>Isl</f>
        <v>2.9999999999999997E-5</v>
      </c>
      <c r="C34" s="2" t="s">
        <v>12</v>
      </c>
      <c r="E34" t="s">
        <v>167</v>
      </c>
      <c r="N34" s="8">
        <v>16</v>
      </c>
      <c r="O34" s="35">
        <f t="shared" si="71"/>
        <v>14.454397707459275</v>
      </c>
      <c r="P34" s="34" t="str">
        <f t="shared" si="72"/>
        <v>545.10556621881</v>
      </c>
      <c r="Q34" s="4" t="str">
        <f t="shared" si="63"/>
        <v>1+1.94015894050859i</v>
      </c>
      <c r="R34" s="4">
        <f t="shared" si="73"/>
        <v>2.182708572951372</v>
      </c>
      <c r="S34" s="4">
        <f t="shared" si="74"/>
        <v>1.0948876187849712</v>
      </c>
      <c r="T34" s="4" t="str">
        <f t="shared" si="64"/>
        <v>1+0.0000454098296498192i</v>
      </c>
      <c r="U34" s="4">
        <f t="shared" si="75"/>
        <v>1.0000000010310262</v>
      </c>
      <c r="V34" s="4">
        <f t="shared" si="76"/>
        <v>4.5409829618606714E-5</v>
      </c>
      <c r="W34" t="str">
        <f t="shared" si="65"/>
        <v>1-0.0000471717310402321i</v>
      </c>
      <c r="X34" s="4">
        <f t="shared" si="77"/>
        <v>1.000000001112586</v>
      </c>
      <c r="Y34" s="4">
        <f t="shared" si="78"/>
        <v>-4.7171731005243689E-5</v>
      </c>
      <c r="Z34" t="str">
        <f t="shared" si="66"/>
        <v>0.999999986628505+0.000204274241087294i</v>
      </c>
      <c r="AA34" s="4">
        <f t="shared" si="79"/>
        <v>1.000000007492488</v>
      </c>
      <c r="AB34" s="4">
        <f t="shared" si="80"/>
        <v>2.0427424097742983E-4</v>
      </c>
      <c r="AC34" s="48" t="str">
        <f t="shared" si="81"/>
        <v>114.370878223207-222.009993365224i</v>
      </c>
      <c r="AD34" s="20">
        <f t="shared" si="82"/>
        <v>47.949697204247926</v>
      </c>
      <c r="AE34" s="44">
        <f t="shared" si="83"/>
        <v>-62.744244598892074</v>
      </c>
      <c r="AF34" t="str">
        <f t="shared" si="84"/>
        <v>-0.979317078436135</v>
      </c>
      <c r="AG34" t="str">
        <f t="shared" si="85"/>
        <v>90.8196592996384i</v>
      </c>
      <c r="AH34">
        <f t="shared" si="86"/>
        <v>90.819659299638403</v>
      </c>
      <c r="AI34">
        <f t="shared" si="87"/>
        <v>1.5707963267948966</v>
      </c>
      <c r="AJ34" t="str">
        <f t="shared" si="67"/>
        <v>0.999872326114398+0.0889960005409017i</v>
      </c>
      <c r="AK34">
        <f t="shared" si="88"/>
        <v>1.0038251623872025</v>
      </c>
      <c r="AL34">
        <f t="shared" si="89"/>
        <v>8.8773427441924166E-2</v>
      </c>
      <c r="AM34" t="str">
        <f t="shared" si="68"/>
        <v>1+12.6348310017657i</v>
      </c>
      <c r="AN34">
        <f t="shared" si="90"/>
        <v>12.67434236728595</v>
      </c>
      <c r="AO34">
        <f t="shared" si="91"/>
        <v>1.4918146793383673</v>
      </c>
      <c r="AP34" t="str">
        <f t="shared" si="69"/>
        <v>1+0.0853704797416603i</v>
      </c>
      <c r="AQ34">
        <f t="shared" si="92"/>
        <v>1.0036374439065738</v>
      </c>
      <c r="AR34">
        <f t="shared" si="93"/>
        <v>8.5163985233131873E-2</v>
      </c>
      <c r="AS34" s="42" t="str">
        <f t="shared" si="94"/>
        <v>-0.136177313236135+0.0112726757409845i</v>
      </c>
      <c r="AT34">
        <f t="shared" si="95"/>
        <v>-17.288246554453547</v>
      </c>
      <c r="AU34" s="44">
        <f t="shared" si="96"/>
        <v>175.26787913679053</v>
      </c>
      <c r="AV34" s="42" t="str">
        <f t="shared" si="70"/>
        <v>-13.0720722424292+31.5219902324702i</v>
      </c>
      <c r="AW34" s="20">
        <f t="shared" si="97"/>
        <v>30.661450649794382</v>
      </c>
      <c r="AX34" s="44">
        <f t="shared" si="98"/>
        <v>112.52363453789842</v>
      </c>
    </row>
    <row r="35" spans="1:50" x14ac:dyDescent="0.3">
      <c r="C35" s="2"/>
      <c r="N35" s="8">
        <v>17</v>
      </c>
      <c r="O35" s="35">
        <f t="shared" si="71"/>
        <v>14.791083881682074</v>
      </c>
      <c r="P35" s="34" t="str">
        <f t="shared" si="72"/>
        <v>545.10556621881</v>
      </c>
      <c r="Q35" s="4" t="str">
        <f t="shared" si="63"/>
        <v>1+1.98535104773329i</v>
      </c>
      <c r="R35" s="4">
        <f t="shared" si="73"/>
        <v>2.2229752096538711</v>
      </c>
      <c r="S35" s="4">
        <f t="shared" si="74"/>
        <v>1.1042016673420407</v>
      </c>
      <c r="T35" s="4" t="str">
        <f t="shared" si="64"/>
        <v>1+0.0000464675604613228i</v>
      </c>
      <c r="U35" s="4">
        <f t="shared" si="75"/>
        <v>1.0000000010796171</v>
      </c>
      <c r="V35" s="4">
        <f t="shared" si="76"/>
        <v>4.6467560427878015E-5</v>
      </c>
      <c r="W35" t="str">
        <f t="shared" si="65"/>
        <v>1-0.000048270501807222i</v>
      </c>
      <c r="X35" s="4">
        <f t="shared" si="77"/>
        <v>1.0000000011650205</v>
      </c>
      <c r="Y35" s="4">
        <f t="shared" si="78"/>
        <v>-4.8270501769731244E-5</v>
      </c>
      <c r="Z35" t="str">
        <f t="shared" si="66"/>
        <v>0.999999985998326+0.000209032399408097i</v>
      </c>
      <c r="AA35" s="4">
        <f t="shared" si="79"/>
        <v>1.0000000078455982</v>
      </c>
      <c r="AB35" s="4">
        <f t="shared" si="80"/>
        <v>2.0903239929037542E-4</v>
      </c>
      <c r="AC35" s="48" t="str">
        <f t="shared" si="81"/>
        <v>110.262932763883-219.02555660516i</v>
      </c>
      <c r="AD35" s="20">
        <f t="shared" si="82"/>
        <v>47.790919895753973</v>
      </c>
      <c r="AE35" s="44">
        <f t="shared" si="83"/>
        <v>-63.278175245197922</v>
      </c>
      <c r="AF35" t="str">
        <f t="shared" si="84"/>
        <v>-0.979317078436135</v>
      </c>
      <c r="AG35" t="str">
        <f t="shared" si="85"/>
        <v>92.9351209226456i</v>
      </c>
      <c r="AH35">
        <f t="shared" si="86"/>
        <v>92.935120922645595</v>
      </c>
      <c r="AI35">
        <f t="shared" si="87"/>
        <v>1.5707963267948966</v>
      </c>
      <c r="AJ35" t="str">
        <f t="shared" si="67"/>
        <v>0.999866309029545+0.0910689836945189i</v>
      </c>
      <c r="AK35">
        <f t="shared" si="88"/>
        <v>1.0040050775387137</v>
      </c>
      <c r="AL35">
        <f t="shared" si="89"/>
        <v>9.0830543659746243E-2</v>
      </c>
      <c r="AM35" t="str">
        <f t="shared" si="68"/>
        <v>1+12.9291340227585i</v>
      </c>
      <c r="AN35">
        <f t="shared" si="90"/>
        <v>12.967748708949115</v>
      </c>
      <c r="AO35">
        <f t="shared" si="91"/>
        <v>1.493605305526104</v>
      </c>
      <c r="AP35" t="str">
        <f t="shared" si="69"/>
        <v>1+0.0873590136672871i</v>
      </c>
      <c r="AQ35">
        <f t="shared" si="92"/>
        <v>1.0038085461226762</v>
      </c>
      <c r="AR35">
        <f t="shared" si="93"/>
        <v>8.713779612976294E-2</v>
      </c>
      <c r="AS35" s="42" t="str">
        <f t="shared" si="94"/>
        <v>-0.136176088921457+0.0110385178027432i</v>
      </c>
      <c r="AT35">
        <f t="shared" si="95"/>
        <v>-17.289539486481658</v>
      </c>
      <c r="AU35" s="44">
        <f t="shared" si="96"/>
        <v>175.36570141671825</v>
      </c>
      <c r="AV35" s="42" t="str">
        <f t="shared" si="70"/>
        <v>-12.5974574309534+31.0431830186327i</v>
      </c>
      <c r="AW35" s="20">
        <f t="shared" si="97"/>
        <v>30.501380409272318</v>
      </c>
      <c r="AX35" s="44">
        <f t="shared" si="98"/>
        <v>112.08752617152035</v>
      </c>
    </row>
    <row r="36" spans="1:50" x14ac:dyDescent="0.3">
      <c r="A36" t="s">
        <v>190</v>
      </c>
      <c r="B36" s="12">
        <f>Gcomp</f>
        <v>0.14199999999999999</v>
      </c>
      <c r="C36" s="2"/>
      <c r="E36" t="s">
        <v>191</v>
      </c>
      <c r="N36" s="8">
        <v>18</v>
      </c>
      <c r="O36" s="35">
        <f t="shared" si="71"/>
        <v>15.135612484362087</v>
      </c>
      <c r="P36" s="34" t="str">
        <f t="shared" si="72"/>
        <v>545.10556621881</v>
      </c>
      <c r="Q36" s="4" t="str">
        <f t="shared" si="63"/>
        <v>1+2.03159581436273i</v>
      </c>
      <c r="R36" s="4">
        <f t="shared" si="73"/>
        <v>2.2643722204920644</v>
      </c>
      <c r="S36" s="4">
        <f t="shared" si="74"/>
        <v>1.1133889327734647</v>
      </c>
      <c r="T36" s="4" t="str">
        <f t="shared" si="64"/>
        <v>1+0.0000475499289884539i</v>
      </c>
      <c r="U36" s="4">
        <f t="shared" si="75"/>
        <v>1.0000000011304979</v>
      </c>
      <c r="V36" s="4">
        <f t="shared" si="76"/>
        <v>4.754992895261717E-5</v>
      </c>
      <c r="W36" t="str">
        <f t="shared" si="65"/>
        <v>1-0.0000493948662332058i</v>
      </c>
      <c r="X36" s="4">
        <f t="shared" si="77"/>
        <v>1.0000000012199264</v>
      </c>
      <c r="Y36" s="4">
        <f t="shared" si="78"/>
        <v>-4.9394866193033731E-5</v>
      </c>
      <c r="Z36" t="str">
        <f t="shared" si="66"/>
        <v>0.999999985338447+0.000213901389473938i</v>
      </c>
      <c r="AA36" s="4">
        <f t="shared" si="79"/>
        <v>1.0000000082153493</v>
      </c>
      <c r="AB36" s="4">
        <f t="shared" si="80"/>
        <v>2.139013893477971E-4</v>
      </c>
      <c r="AC36" s="48" t="str">
        <f t="shared" si="81"/>
        <v>106.266057997762-216.007283158993i</v>
      </c>
      <c r="AD36" s="20">
        <f t="shared" si="82"/>
        <v>47.630655918324564</v>
      </c>
      <c r="AE36" s="44">
        <f t="shared" si="83"/>
        <v>-63.804848158453453</v>
      </c>
      <c r="AF36" t="str">
        <f t="shared" si="84"/>
        <v>-0.979317078436135</v>
      </c>
      <c r="AG36" t="str">
        <f t="shared" si="85"/>
        <v>95.0998579769078i</v>
      </c>
      <c r="AH36">
        <f t="shared" si="86"/>
        <v>95.099857976907799</v>
      </c>
      <c r="AI36">
        <f t="shared" si="87"/>
        <v>1.5707963267948966</v>
      </c>
      <c r="AJ36" t="str">
        <f t="shared" si="67"/>
        <v>0.99986000836822+0.0931902528287315i</v>
      </c>
      <c r="AK36">
        <f t="shared" si="88"/>
        <v>1.004193437319912</v>
      </c>
      <c r="AL36">
        <f t="shared" si="89"/>
        <v>9.2934817299884634E-2</v>
      </c>
      <c r="AM36" t="str">
        <f t="shared" si="68"/>
        <v>1+13.2302922417474i</v>
      </c>
      <c r="AN36">
        <f t="shared" si="90"/>
        <v>13.268030479390731</v>
      </c>
      <c r="AO36">
        <f t="shared" si="91"/>
        <v>1.4953556514811368</v>
      </c>
      <c r="AP36" t="str">
        <f t="shared" si="69"/>
        <v>1+0.0893938664982935i</v>
      </c>
      <c r="AQ36">
        <f t="shared" si="92"/>
        <v>1.0039876808843398</v>
      </c>
      <c r="AR36">
        <f t="shared" si="93"/>
        <v>8.9156878454854774E-2</v>
      </c>
      <c r="AS36" s="42" t="str">
        <f t="shared" si="94"/>
        <v>-0.136174807836275+0.0108102024886331i</v>
      </c>
      <c r="AT36">
        <f t="shared" si="95"/>
        <v>-17.290781488056783</v>
      </c>
      <c r="AU36" s="44">
        <f t="shared" si="96"/>
        <v>175.46110774982603</v>
      </c>
      <c r="AV36" s="42" t="str">
        <f t="shared" si="70"/>
        <v>-12.1356775573955+30.5635078800363i</v>
      </c>
      <c r="AW36" s="20">
        <f t="shared" si="97"/>
        <v>30.339874430267773</v>
      </c>
      <c r="AX36" s="44">
        <f t="shared" si="98"/>
        <v>111.65625959137265</v>
      </c>
    </row>
    <row r="37" spans="1:50" x14ac:dyDescent="0.3">
      <c r="N37" s="8">
        <v>19</v>
      </c>
      <c r="O37" s="35">
        <f t="shared" si="71"/>
        <v>15.488166189124817</v>
      </c>
      <c r="P37" s="34" t="str">
        <f t="shared" si="72"/>
        <v>545.10556621881</v>
      </c>
      <c r="Q37" s="4" t="str">
        <f t="shared" si="63"/>
        <v>1+2.0789177599843i</v>
      </c>
      <c r="R37" s="4">
        <f t="shared" si="73"/>
        <v>2.3069241541017638</v>
      </c>
      <c r="S37" s="4">
        <f t="shared" si="74"/>
        <v>1.1224480816729767</v>
      </c>
      <c r="T37" s="4" t="str">
        <f t="shared" si="64"/>
        <v>1+0.0000486575091173323i</v>
      </c>
      <c r="U37" s="4">
        <f t="shared" si="75"/>
        <v>1.0000000011837766</v>
      </c>
      <c r="V37" s="4">
        <f t="shared" si="76"/>
        <v>4.8657509078932558E-5</v>
      </c>
      <c r="W37" t="str">
        <f t="shared" si="65"/>
        <v>1-0.0000505454204710847i</v>
      </c>
      <c r="X37" s="4">
        <f t="shared" si="77"/>
        <v>1.0000000012774197</v>
      </c>
      <c r="Y37" s="4">
        <f t="shared" si="78"/>
        <v>-5.0545420428039555E-5</v>
      </c>
      <c r="Z37" t="str">
        <f t="shared" si="66"/>
        <v>0.999999984647469+0.000218883792887797i</v>
      </c>
      <c r="AA37" s="4">
        <f t="shared" si="79"/>
        <v>1.0000000086025265</v>
      </c>
      <c r="AB37" s="4">
        <f t="shared" si="80"/>
        <v>2.1888379275263463E-4</v>
      </c>
      <c r="AC37" s="48" t="str">
        <f t="shared" si="81"/>
        <v>102.379875895366-212.959686146917i</v>
      </c>
      <c r="AD37" s="20">
        <f t="shared" si="82"/>
        <v>47.468945956825323</v>
      </c>
      <c r="AE37" s="44">
        <f t="shared" si="83"/>
        <v>-64.324187089297951</v>
      </c>
      <c r="AF37" t="str">
        <f t="shared" si="84"/>
        <v>-0.979317078436135</v>
      </c>
      <c r="AG37" t="str">
        <f t="shared" si="85"/>
        <v>97.3150182346647i</v>
      </c>
      <c r="AH37">
        <f t="shared" si="86"/>
        <v>97.315018234664706</v>
      </c>
      <c r="AI37">
        <f t="shared" si="87"/>
        <v>1.5707963267948966</v>
      </c>
      <c r="AJ37" t="str">
        <f t="shared" si="67"/>
        <v>0.999853410765875+0.0953609326685127i</v>
      </c>
      <c r="AK37">
        <f t="shared" si="88"/>
        <v>1.0043906364057573</v>
      </c>
      <c r="AL37">
        <f t="shared" si="89"/>
        <v>9.5087293129015774E-2</v>
      </c>
      <c r="AM37" t="str">
        <f t="shared" si="68"/>
        <v>1+13.5384653368066i</v>
      </c>
      <c r="AN37">
        <f t="shared" si="90"/>
        <v>13.575346908124075</v>
      </c>
      <c r="AO37">
        <f t="shared" si="91"/>
        <v>1.4970666023356389</v>
      </c>
      <c r="AP37" t="str">
        <f t="shared" si="69"/>
        <v>1+0.0914761171405851i</v>
      </c>
      <c r="AQ37">
        <f t="shared" si="92"/>
        <v>1.0041752237568491</v>
      </c>
      <c r="AR37">
        <f t="shared" si="93"/>
        <v>9.1222236866657438E-2</v>
      </c>
      <c r="AS37" s="42" t="str">
        <f t="shared" si="94"/>
        <v>-0.136173467393629+0.0105876080295822i</v>
      </c>
      <c r="AT37">
        <f t="shared" si="95"/>
        <v>-17.291975142824562</v>
      </c>
      <c r="AU37" s="44">
        <f t="shared" si="96"/>
        <v>175.5541465524083</v>
      </c>
      <c r="AV37" s="42" t="str">
        <f t="shared" si="70"/>
        <v>-11.686689008975+30.0834168737821i</v>
      </c>
      <c r="AW37" s="20">
        <f t="shared" si="97"/>
        <v>30.176970814000764</v>
      </c>
      <c r="AX37" s="44">
        <f t="shared" si="98"/>
        <v>111.22995946311033</v>
      </c>
    </row>
    <row r="38" spans="1:50" x14ac:dyDescent="0.3">
      <c r="N38" s="8">
        <v>20</v>
      </c>
      <c r="O38" s="35">
        <f t="shared" si="71"/>
        <v>15.848931924611136</v>
      </c>
      <c r="P38" s="34" t="str">
        <f t="shared" si="72"/>
        <v>545.10556621881</v>
      </c>
      <c r="Q38" s="4" t="str">
        <f t="shared" si="63"/>
        <v>1+2.12734197531993i</v>
      </c>
      <c r="R38" s="4">
        <f t="shared" si="73"/>
        <v>2.3506560530962632</v>
      </c>
      <c r="S38" s="4">
        <f t="shared" si="74"/>
        <v>1.1313779686031675</v>
      </c>
      <c r="T38" s="4" t="str">
        <f t="shared" si="64"/>
        <v>1+0.0000497908881016031i</v>
      </c>
      <c r="U38" s="4">
        <f t="shared" si="75"/>
        <v>1.0000000012395662</v>
      </c>
      <c r="V38" s="4">
        <f t="shared" si="76"/>
        <v>4.9790888060457029E-5</v>
      </c>
      <c r="W38" t="str">
        <f t="shared" si="65"/>
        <v>1-0.0000517227745599452i</v>
      </c>
      <c r="X38" s="4">
        <f t="shared" si="77"/>
        <v>1.0000000013376227</v>
      </c>
      <c r="Y38" s="4">
        <f t="shared" si="78"/>
        <v>-5.1722774513821496E-5</v>
      </c>
      <c r="Z38" t="str">
        <f t="shared" si="66"/>
        <v>0.999999983923927+0.000223982251385915i</v>
      </c>
      <c r="AA38" s="4">
        <f t="shared" si="79"/>
        <v>1.0000000090079517</v>
      </c>
      <c r="AB38" s="4">
        <f t="shared" si="80"/>
        <v>2.2398225124108584E-4</v>
      </c>
      <c r="AC38" s="48" t="str">
        <f t="shared" si="81"/>
        <v>98.6038009279278-209.887151692176i</v>
      </c>
      <c r="AD38" s="20">
        <f t="shared" si="82"/>
        <v>47.30583051896815</v>
      </c>
      <c r="AE38" s="44">
        <f t="shared" si="83"/>
        <v>-64.836126561668252</v>
      </c>
      <c r="AF38" t="str">
        <f t="shared" si="84"/>
        <v>-0.979317078436135</v>
      </c>
      <c r="AG38" t="str">
        <f t="shared" si="85"/>
        <v>99.5817762032062i</v>
      </c>
      <c r="AH38">
        <f t="shared" si="86"/>
        <v>99.581776203206203</v>
      </c>
      <c r="AI38">
        <f t="shared" si="87"/>
        <v>1.5707963267948966</v>
      </c>
      <c r="AJ38" t="str">
        <f t="shared" si="67"/>
        <v>0.999846502228111+0.0975821741370458i</v>
      </c>
      <c r="AK38">
        <f t="shared" si="88"/>
        <v>1.0045970877556341</v>
      </c>
      <c r="AL38">
        <f t="shared" si="89"/>
        <v>9.7289036484726962E-2</v>
      </c>
      <c r="AM38" t="str">
        <f t="shared" si="68"/>
        <v>1+13.85381670539i</v>
      </c>
      <c r="AN38">
        <f t="shared" si="90"/>
        <v>13.889860953463252</v>
      </c>
      <c r="AO38">
        <f t="shared" si="91"/>
        <v>1.4987390251675123</v>
      </c>
      <c r="AP38" t="str">
        <f t="shared" si="69"/>
        <v>1+0.0936068696310141i</v>
      </c>
      <c r="AQ38">
        <f t="shared" si="92"/>
        <v>1.0043715677188985</v>
      </c>
      <c r="AR38">
        <f t="shared" si="93"/>
        <v>9.3334895924867989E-2</v>
      </c>
      <c r="AS38" s="42" t="str">
        <f t="shared" si="94"/>
        <v>-0.136172064893004+0.0103706156402503i</v>
      </c>
      <c r="AT38">
        <f t="shared" si="95"/>
        <v>-17.293122934873228</v>
      </c>
      <c r="AU38" s="44">
        <f t="shared" si="96"/>
        <v>175.64486516796828</v>
      </c>
      <c r="AV38" s="42" t="str">
        <f t="shared" si="70"/>
        <v>-11.2504242006282+29.6033489605261i</v>
      </c>
      <c r="AW38" s="20">
        <f t="shared" si="97"/>
        <v>30.012707584094933</v>
      </c>
      <c r="AX38" s="44">
        <f t="shared" si="98"/>
        <v>110.80873860630007</v>
      </c>
    </row>
    <row r="39" spans="1:50" x14ac:dyDescent="0.3">
      <c r="A39" t="s">
        <v>504</v>
      </c>
      <c r="N39" s="8">
        <v>21</v>
      </c>
      <c r="O39" s="35">
        <f t="shared" si="71"/>
        <v>16.218100973589298</v>
      </c>
      <c r="P39" s="34" t="str">
        <f t="shared" si="72"/>
        <v>545.10556621881</v>
      </c>
      <c r="Q39" s="4" t="str">
        <f t="shared" si="63"/>
        <v>1+2.17689413552958i</v>
      </c>
      <c r="R39" s="4">
        <f t="shared" si="73"/>
        <v>2.3955934707923792</v>
      </c>
      <c r="S39" s="4">
        <f t="shared" si="74"/>
        <v>1.1401776305487039</v>
      </c>
      <c r="T39" s="4" t="str">
        <f t="shared" si="64"/>
        <v>1+0.0000509506668738055i</v>
      </c>
      <c r="U39" s="4">
        <f t="shared" si="75"/>
        <v>1.0000000012979853</v>
      </c>
      <c r="V39" s="4">
        <f t="shared" si="76"/>
        <v>5.0950666829716687E-5</v>
      </c>
      <c r="W39" t="str">
        <f t="shared" si="65"/>
        <v>1-0.000052927552748509i</v>
      </c>
      <c r="X39" s="4">
        <f t="shared" si="77"/>
        <v>1.0000000014006629</v>
      </c>
      <c r="Y39" s="4">
        <f t="shared" si="78"/>
        <v>-5.2927552699086561E-5</v>
      </c>
      <c r="Z39" t="str">
        <f t="shared" si="66"/>
        <v>0.999999983166285+0.000229199468238472i</v>
      </c>
      <c r="AA39" s="4">
        <f t="shared" si="79"/>
        <v>1.0000000094324832</v>
      </c>
      <c r="AB39" s="4">
        <f t="shared" si="80"/>
        <v>2.2919946808328475E-4</v>
      </c>
      <c r="AC39" s="48" t="str">
        <f t="shared" si="81"/>
        <v>94.9370534758747-206.793930471436i</v>
      </c>
      <c r="AD39" s="20">
        <f t="shared" si="82"/>
        <v>47.141349861641316</v>
      </c>
      <c r="AE39" s="44">
        <f t="shared" si="83"/>
        <v>-65.340611555071817</v>
      </c>
      <c r="AF39" t="str">
        <f t="shared" si="84"/>
        <v>-0.979317078436135</v>
      </c>
      <c r="AG39" t="str">
        <f t="shared" si="85"/>
        <v>101.901333747611i</v>
      </c>
      <c r="AH39">
        <f t="shared" si="86"/>
        <v>101.90133374761101</v>
      </c>
      <c r="AI39">
        <f t="shared" si="87"/>
        <v>1.5707963267948966</v>
      </c>
      <c r="AJ39" t="str">
        <f t="shared" si="67"/>
        <v>0.999839268100993+0.0998551549659592i</v>
      </c>
      <c r="AK39">
        <f t="shared" si="88"/>
        <v>1.0048132234450367</v>
      </c>
      <c r="AL39">
        <f t="shared" si="89"/>
        <v>9.9541133494268977E-2</v>
      </c>
      <c r="AM39" t="str">
        <f t="shared" si="68"/>
        <v>1+14.1765135509676i</v>
      </c>
      <c r="AN39">
        <f t="shared" si="90"/>
        <v>14.211739388996971</v>
      </c>
      <c r="AO39">
        <f t="shared" si="91"/>
        <v>1.500373769274397</v>
      </c>
      <c r="AP39" t="str">
        <f t="shared" si="69"/>
        <v>1+0.0957872537227546i</v>
      </c>
      <c r="AQ39">
        <f t="shared" si="92"/>
        <v>1.0045771239560193</v>
      </c>
      <c r="AR39">
        <f t="shared" si="93"/>
        <v>9.5495900311702464E-2</v>
      </c>
      <c r="AS39" s="42" t="str">
        <f t="shared" si="94"/>
        <v>-0.13617059751578+0.01015910945268i</v>
      </c>
      <c r="AT39">
        <f t="shared" si="95"/>
        <v>-17.294227253604863</v>
      </c>
      <c r="AU39" s="44">
        <f t="shared" si="96"/>
        <v>175.73330988305077</v>
      </c>
      <c r="AV39" s="42" t="str">
        <f t="shared" si="70"/>
        <v>-10.8267931243882+29.1237289923085i</v>
      </c>
      <c r="AW39" s="20">
        <f t="shared" si="97"/>
        <v>29.847122608036464</v>
      </c>
      <c r="AX39" s="44">
        <f t="shared" si="98"/>
        <v>110.39269832797892</v>
      </c>
    </row>
    <row r="40" spans="1:50" x14ac:dyDescent="0.3">
      <c r="A40" t="s">
        <v>505</v>
      </c>
      <c r="B40" s="20">
        <f>((Np/NS1_)*(VOUT1+VD))/((VIN_var+(Np/NS1_)*(VOUT1+VD)))</f>
        <v>0.4043126684636118</v>
      </c>
      <c r="C40" t="s">
        <v>14</v>
      </c>
      <c r="E40" t="s">
        <v>506</v>
      </c>
      <c r="N40" s="8">
        <v>22</v>
      </c>
      <c r="O40" s="35">
        <f t="shared" si="71"/>
        <v>16.595869074375614</v>
      </c>
      <c r="P40" s="34" t="str">
        <f t="shared" si="72"/>
        <v>545.10556621881</v>
      </c>
      <c r="Q40" s="4" t="str">
        <f t="shared" si="63"/>
        <v>1+2.2276005138245i</v>
      </c>
      <c r="R40" s="4">
        <f t="shared" si="73"/>
        <v>2.4417624882840627</v>
      </c>
      <c r="S40" s="4">
        <f t="shared" si="74"/>
        <v>1.148846281038965</v>
      </c>
      <c r="T40" s="4" t="str">
        <f t="shared" si="64"/>
        <v>1+0.0000521374603639965i</v>
      </c>
      <c r="U40" s="4">
        <f t="shared" si="75"/>
        <v>1.0000000013591572</v>
      </c>
      <c r="V40" s="4">
        <f t="shared" si="76"/>
        <v>5.2137460316754494E-5</v>
      </c>
      <c r="W40" t="str">
        <f t="shared" si="65"/>
        <v>1-0.0000541603938261194i</v>
      </c>
      <c r="X40" s="4">
        <f t="shared" si="77"/>
        <v>1.0000000014666741</v>
      </c>
      <c r="Y40" s="4">
        <f t="shared" si="78"/>
        <v>-5.4160393773162301E-5</v>
      </c>
      <c r="Z40" t="str">
        <f t="shared" si="66"/>
        <v>0.999999982372936+0.000234538209682905i</v>
      </c>
      <c r="AA40" s="4">
        <f t="shared" si="79"/>
        <v>1.0000000098770221</v>
      </c>
      <c r="AB40" s="4">
        <f t="shared" si="80"/>
        <v>2.3453820951661899E-4</v>
      </c>
      <c r="AC40" s="48" t="str">
        <f t="shared" si="81"/>
        <v>91.3786733519218-203.684130505016i</v>
      </c>
      <c r="AD40" s="20">
        <f t="shared" si="82"/>
        <v>46.97554392218386</v>
      </c>
      <c r="AE40" s="44">
        <f t="shared" si="83"/>
        <v>-65.837597167922311</v>
      </c>
      <c r="AF40" t="str">
        <f t="shared" si="84"/>
        <v>-0.979317078436135</v>
      </c>
      <c r="AG40" t="str">
        <f t="shared" si="85"/>
        <v>104.274920727993i</v>
      </c>
      <c r="AH40">
        <f t="shared" si="86"/>
        <v>104.27492072799301</v>
      </c>
      <c r="AI40">
        <f t="shared" si="87"/>
        <v>1.5707963267948966</v>
      </c>
      <c r="AJ40" t="str">
        <f t="shared" si="67"/>
        <v>0.999831693039967+0.102181080319775i</v>
      </c>
      <c r="AK40">
        <f t="shared" si="88"/>
        <v>1.0050394955336248</v>
      </c>
      <c r="AL40">
        <f t="shared" si="89"/>
        <v>0.10184469128083587</v>
      </c>
      <c r="AM40" t="str">
        <f t="shared" si="68"/>
        <v>1+14.5067269716784i</v>
      </c>
      <c r="AN40">
        <f t="shared" si="90"/>
        <v>14.54115289207914</v>
      </c>
      <c r="AO40">
        <f t="shared" si="91"/>
        <v>1.5019716664502782</v>
      </c>
      <c r="AP40" t="str">
        <f t="shared" si="69"/>
        <v>1+0.0980184254843137i</v>
      </c>
      <c r="AQ40">
        <f t="shared" si="92"/>
        <v>1.0047923226888349</v>
      </c>
      <c r="AR40">
        <f t="shared" si="93"/>
        <v>9.7706315041710887E-2</v>
      </c>
      <c r="AS40" s="42" t="str">
        <f t="shared" si="94"/>
        <v>-0.136169062320506+0.00995297645127449i</v>
      </c>
      <c r="AT40">
        <f t="shared" si="95"/>
        <v>-17.295290398429572</v>
      </c>
      <c r="AU40" s="44">
        <f t="shared" si="96"/>
        <v>175.81952594329292</v>
      </c>
      <c r="AV40" s="42" t="str">
        <f t="shared" si="70"/>
        <v>-10.4156849120083+28.644966844456i</v>
      </c>
      <c r="AW40" s="20">
        <f t="shared" si="97"/>
        <v>29.680253523754295</v>
      </c>
      <c r="AX40" s="44">
        <f t="shared" si="98"/>
        <v>109.98192877537068</v>
      </c>
    </row>
    <row r="41" spans="1:50" x14ac:dyDescent="0.3">
      <c r="A41" t="s">
        <v>189</v>
      </c>
      <c r="B41" s="16">
        <f>Gcomp*((VOUT1^2)/(Pout_var))*((1-Dc_var_ccm)/((1+Dc_var_ccm)*((Acs*R_cs)/(Np/NS1_))))</f>
        <v>545.10556621880994</v>
      </c>
      <c r="C41" t="s">
        <v>144</v>
      </c>
      <c r="E41" t="s">
        <v>193</v>
      </c>
      <c r="N41" s="8">
        <v>23</v>
      </c>
      <c r="O41" s="35">
        <f t="shared" si="71"/>
        <v>16.982436524617448</v>
      </c>
      <c r="P41" s="34" t="str">
        <f t="shared" si="72"/>
        <v>545.10556621881</v>
      </c>
      <c r="Q41" s="4" t="str">
        <f t="shared" si="63"/>
        <v>1+2.2794879953976i</v>
      </c>
      <c r="R41" s="4">
        <f t="shared" si="73"/>
        <v>2.4891897318528713</v>
      </c>
      <c r="S41" s="4">
        <f t="shared" si="74"/>
        <v>1.1573833039916042</v>
      </c>
      <c r="T41" s="4" t="str">
        <f t="shared" si="64"/>
        <v>1+0.000053351897825793i</v>
      </c>
      <c r="U41" s="4">
        <f t="shared" si="75"/>
        <v>1.0000000014232124</v>
      </c>
      <c r="V41" s="4">
        <f t="shared" si="76"/>
        <v>5.335189777517227E-5</v>
      </c>
      <c r="W41" t="str">
        <f t="shared" si="65"/>
        <v>1-0.0000554219514614336i</v>
      </c>
      <c r="X41" s="4">
        <f t="shared" si="77"/>
        <v>1.0000000015357964</v>
      </c>
      <c r="Y41" s="4">
        <f t="shared" si="78"/>
        <v>-5.5421951404689044E-5</v>
      </c>
      <c r="Z41" t="str">
        <f t="shared" si="66"/>
        <v>0.999999981542198+0.000240001306390589i</v>
      </c>
      <c r="AA41" s="4">
        <f t="shared" si="79"/>
        <v>1.0000000103425117</v>
      </c>
      <c r="AB41" s="4">
        <f t="shared" si="80"/>
        <v>2.4000130621241032E-4</v>
      </c>
      <c r="AC41" s="48" t="str">
        <f t="shared" si="81"/>
        <v>87.927533334248-200.561711143749i</v>
      </c>
      <c r="AD41" s="20">
        <f t="shared" si="82"/>
        <v>46.808452254625827</v>
      </c>
      <c r="AE41" s="44">
        <f t="shared" si="83"/>
        <v>-66.327048264885548</v>
      </c>
      <c r="AF41" t="str">
        <f t="shared" si="84"/>
        <v>-0.979317078436135</v>
      </c>
      <c r="AG41" t="str">
        <f t="shared" si="85"/>
        <v>106.703795651586i</v>
      </c>
      <c r="AH41">
        <f t="shared" si="86"/>
        <v>106.70379565158601</v>
      </c>
      <c r="AI41">
        <f t="shared" si="87"/>
        <v>1.5707963267948966</v>
      </c>
      <c r="AJ41" t="str">
        <f t="shared" si="67"/>
        <v>0.999823760977314+0.104561183434902i</v>
      </c>
      <c r="AK41">
        <f t="shared" si="88"/>
        <v>1.0052763769710937</v>
      </c>
      <c r="AL41">
        <f t="shared" si="89"/>
        <v>0.10420083815594973</v>
      </c>
      <c r="AM41" t="str">
        <f t="shared" si="68"/>
        <v>1+14.8446320510486i</v>
      </c>
      <c r="AN41">
        <f t="shared" si="90"/>
        <v>14.878276134385308</v>
      </c>
      <c r="AO41">
        <f t="shared" si="91"/>
        <v>1.5035335312640812</v>
      </c>
      <c r="AP41" t="str">
        <f t="shared" si="69"/>
        <v>1+0.100301567912491i</v>
      </c>
      <c r="AQ41">
        <f t="shared" si="92"/>
        <v>1.0050176140375371</v>
      </c>
      <c r="AR41">
        <f t="shared" si="93"/>
        <v>9.9967225659004719E-2</v>
      </c>
      <c r="AS41" s="42" t="str">
        <f t="shared" si="94"/>
        <v>-0.136167456238061+0.00975210640905597i</v>
      </c>
      <c r="AT41">
        <f t="shared" si="95"/>
        <v>-17.296314583285508</v>
      </c>
      <c r="AU41" s="44">
        <f t="shared" si="96"/>
        <v>175.90355756966403</v>
      </c>
      <c r="AV41" s="42" t="str">
        <f t="shared" si="70"/>
        <v>-10.0169693987557+28.1674566865585i</v>
      </c>
      <c r="AW41" s="20">
        <f t="shared" si="97"/>
        <v>29.512137671340323</v>
      </c>
      <c r="AX41" s="44">
        <f t="shared" si="98"/>
        <v>109.57650930477851</v>
      </c>
    </row>
    <row r="42" spans="1:50" x14ac:dyDescent="0.3">
      <c r="A42" t="s">
        <v>206</v>
      </c>
      <c r="B42" s="18">
        <f>(1+Dc_var_ccm)/(Cout_total*((VOUT1^2)/Pout_var))</f>
        <v>46.810422282120392</v>
      </c>
      <c r="C42" t="s">
        <v>205</v>
      </c>
      <c r="E42" t="s">
        <v>196</v>
      </c>
      <c r="N42" s="8">
        <v>24</v>
      </c>
      <c r="O42" s="35">
        <f t="shared" si="71"/>
        <v>17.378008287493756</v>
      </c>
      <c r="P42" s="34" t="str">
        <f t="shared" si="72"/>
        <v>545.10556621881</v>
      </c>
      <c r="Q42" s="4" t="str">
        <f t="shared" si="63"/>
        <v>1+2.33258409167848i</v>
      </c>
      <c r="R42" s="4">
        <f t="shared" si="73"/>
        <v>2.5379023907060572</v>
      </c>
      <c r="S42" s="4">
        <f t="shared" si="74"/>
        <v>1.1657882473265559</v>
      </c>
      <c r="T42" s="4" t="str">
        <f t="shared" si="64"/>
        <v>1+0.000054594623170013i</v>
      </c>
      <c r="U42" s="4">
        <f t="shared" si="75"/>
        <v>1.0000000014902863</v>
      </c>
      <c r="V42" s="4">
        <f t="shared" si="76"/>
        <v>5.4594623115771918E-5</v>
      </c>
      <c r="W42" t="str">
        <f t="shared" si="65"/>
        <v>1-0.0000567128945490093i</v>
      </c>
      <c r="X42" s="4">
        <f t="shared" si="77"/>
        <v>1.0000000016081763</v>
      </c>
      <c r="Y42" s="4">
        <f t="shared" si="78"/>
        <v>-5.6712894488206413E-5</v>
      </c>
      <c r="Z42" t="str">
        <f t="shared" si="66"/>
        <v>0.999999980672309+0.000245591654967717i</v>
      </c>
      <c r="AA42" s="4">
        <f t="shared" si="79"/>
        <v>1.0000000108299394</v>
      </c>
      <c r="AB42" s="4">
        <f t="shared" si="80"/>
        <v>2.4559165477679504E-4</v>
      </c>
      <c r="AC42" s="48" t="str">
        <f t="shared" si="81"/>
        <v>84.5823526142573-197.430478201883i</v>
      </c>
      <c r="AD42" s="20">
        <f t="shared" si="82"/>
        <v>46.640113970879696</v>
      </c>
      <c r="AE42" s="44">
        <f t="shared" si="83"/>
        <v>-66.808939111076867</v>
      </c>
      <c r="AF42" t="str">
        <f t="shared" si="84"/>
        <v>-0.979317078436135</v>
      </c>
      <c r="AG42" t="str">
        <f t="shared" si="85"/>
        <v>109.189246340026i</v>
      </c>
      <c r="AH42">
        <f t="shared" si="86"/>
        <v>109.189246340026</v>
      </c>
      <c r="AI42">
        <f t="shared" si="87"/>
        <v>1.5707963267948966</v>
      </c>
      <c r="AJ42" t="str">
        <f t="shared" si="67"/>
        <v>0.999815455088065+0.106996726273518i</v>
      </c>
      <c r="AK42">
        <f t="shared" si="88"/>
        <v>1.0055243625423527</v>
      </c>
      <c r="AL42">
        <f t="shared" si="89"/>
        <v>0.10661072379643537</v>
      </c>
      <c r="AM42" t="str">
        <f t="shared" si="68"/>
        <v>1+15.1904079508244i</v>
      </c>
      <c r="AN42">
        <f t="shared" si="90"/>
        <v>15.223287874584422</v>
      </c>
      <c r="AO42">
        <f t="shared" si="91"/>
        <v>1.5050601613396914</v>
      </c>
      <c r="AP42" t="str">
        <f t="shared" si="69"/>
        <v>1+0.102637891559625i</v>
      </c>
      <c r="AQ42">
        <f t="shared" si="92"/>
        <v>1.0052534689240349</v>
      </c>
      <c r="AR42">
        <f t="shared" si="93"/>
        <v>0.10227973842049182</v>
      </c>
      <c r="AS42" s="42" t="str">
        <f t="shared" si="94"/>
        <v>-0.136165776066639+0.00955639182515105i</v>
      </c>
      <c r="AT42">
        <f t="shared" si="95"/>
        <v>-17.297301940995517</v>
      </c>
      <c r="AU42" s="44">
        <f t="shared" si="96"/>
        <v>175.98544797486861</v>
      </c>
      <c r="AV42" s="42" t="str">
        <f t="shared" si="70"/>
        <v>-9.63049867733832+27.691576386642i</v>
      </c>
      <c r="AW42" s="20">
        <f t="shared" si="97"/>
        <v>29.34281202988419</v>
      </c>
      <c r="AX42" s="44">
        <f t="shared" si="98"/>
        <v>109.17650886379172</v>
      </c>
    </row>
    <row r="43" spans="1:50" x14ac:dyDescent="0.3">
      <c r="B43" s="18">
        <f>wp_lf/(2*PI())</f>
        <v>7.4501100944184611</v>
      </c>
      <c r="C43" t="s">
        <v>61</v>
      </c>
      <c r="N43" s="8">
        <v>25</v>
      </c>
      <c r="O43" s="35">
        <f t="shared" si="71"/>
        <v>17.782794100389236</v>
      </c>
      <c r="P43" s="34" t="str">
        <f t="shared" si="72"/>
        <v>545.10556621881</v>
      </c>
      <c r="Q43" s="4" t="str">
        <f t="shared" si="63"/>
        <v>1+2.38691695492015i</v>
      </c>
      <c r="R43" s="4">
        <f t="shared" si="73"/>
        <v>2.5879282350338237</v>
      </c>
      <c r="S43" s="4">
        <f t="shared" si="74"/>
        <v>1.174060816397634</v>
      </c>
      <c r="T43" s="4" t="str">
        <f t="shared" si="64"/>
        <v>1+0.0000558662953060825i</v>
      </c>
      <c r="U43" s="4">
        <f t="shared" si="75"/>
        <v>1.0000000015605215</v>
      </c>
      <c r="V43" s="4">
        <f t="shared" si="76"/>
        <v>5.586629524796213E-5</v>
      </c>
      <c r="W43" t="str">
        <f t="shared" si="65"/>
        <v>1-0.0000580339075639583i</v>
      </c>
      <c r="X43" s="4">
        <f t="shared" si="77"/>
        <v>1.0000000016839672</v>
      </c>
      <c r="Y43" s="4">
        <f t="shared" si="78"/>
        <v>-5.803390749880684E-5</v>
      </c>
      <c r="Z43" t="str">
        <f t="shared" si="66"/>
        <v>0.999999979761423+0.000251312219491097i</v>
      </c>
      <c r="AA43" s="4">
        <f t="shared" si="79"/>
        <v>1.0000000113403389</v>
      </c>
      <c r="AB43" s="4">
        <f t="shared" si="80"/>
        <v>2.5131221928652043E-4</v>
      </c>
      <c r="AC43" s="48" t="str">
        <f t="shared" si="81"/>
        <v>81.3417100727812-194.294080179418i</v>
      </c>
      <c r="AD43" s="20">
        <f t="shared" si="82"/>
        <v>46.470567686837555</v>
      </c>
      <c r="AE43" s="44">
        <f t="shared" si="83"/>
        <v>-67.283252995807089</v>
      </c>
      <c r="AF43" t="str">
        <f t="shared" si="84"/>
        <v>-0.979317078436135</v>
      </c>
      <c r="AG43" t="str">
        <f t="shared" si="85"/>
        <v>111.732590612165i</v>
      </c>
      <c r="AH43">
        <f t="shared" si="86"/>
        <v>111.732590612165</v>
      </c>
      <c r="AI43">
        <f t="shared" si="87"/>
        <v>1.5707963267948966</v>
      </c>
      <c r="AJ43" t="str">
        <f t="shared" si="67"/>
        <v>0.999806757754315+0.109489000192673i</v>
      </c>
      <c r="AK43">
        <f t="shared" si="88"/>
        <v>1.00578396985356</v>
      </c>
      <c r="AL43">
        <f t="shared" si="89"/>
        <v>0.10907551940434278</v>
      </c>
      <c r="AM43" t="str">
        <f t="shared" si="68"/>
        <v>1+15.5442380059644i</v>
      </c>
      <c r="AN43">
        <f t="shared" si="90"/>
        <v>15.576371053171149</v>
      </c>
      <c r="AO43">
        <f t="shared" si="91"/>
        <v>1.5065523376368555</v>
      </c>
      <c r="AP43" t="str">
        <f t="shared" si="69"/>
        <v>1+0.105028635175435i</v>
      </c>
      <c r="AQ43">
        <f t="shared" si="92"/>
        <v>1.0055003800132623</v>
      </c>
      <c r="AR43">
        <f t="shared" si="93"/>
        <v>0.10464498046357658</v>
      </c>
      <c r="AS43" s="42" t="str">
        <f t="shared" si="94"/>
        <v>-0.136164018466627+0.0093657278634667i</v>
      </c>
      <c r="AT43">
        <f t="shared" si="95"/>
        <v>-17.298254527462461</v>
      </c>
      <c r="AU43" s="44">
        <f t="shared" si="96"/>
        <v>176.06523937988578</v>
      </c>
      <c r="AV43" s="42" t="str">
        <f t="shared" si="70"/>
        <v>-9.25610863201419+27.2176870419973i</v>
      </c>
      <c r="AW43" s="20">
        <f t="shared" si="97"/>
        <v>29.172313159375104</v>
      </c>
      <c r="AX43" s="44">
        <f t="shared" si="98"/>
        <v>108.78198638407865</v>
      </c>
    </row>
    <row r="44" spans="1:50" x14ac:dyDescent="0.3">
      <c r="N44" s="8">
        <v>26</v>
      </c>
      <c r="O44" s="35">
        <f t="shared" si="71"/>
        <v>18.197008586099841</v>
      </c>
      <c r="P44" s="34" t="str">
        <f t="shared" si="72"/>
        <v>545.10556621881</v>
      </c>
      <c r="Q44" s="4" t="str">
        <f t="shared" si="63"/>
        <v>1+2.44251539312591i</v>
      </c>
      <c r="R44" s="4">
        <f t="shared" si="73"/>
        <v>2.6392956343799416</v>
      </c>
      <c r="S44" s="4">
        <f t="shared" si="74"/>
        <v>1.1822008672865658</v>
      </c>
      <c r="T44" s="4" t="str">
        <f t="shared" si="64"/>
        <v>1+0.0000571675884914015i</v>
      </c>
      <c r="U44" s="4">
        <f t="shared" si="75"/>
        <v>1.0000000016340664</v>
      </c>
      <c r="V44" s="4">
        <f t="shared" si="76"/>
        <v>5.7167588429124406E-5</v>
      </c>
      <c r="W44" t="str">
        <f t="shared" si="65"/>
        <v>1-0.0000593856909248677i</v>
      </c>
      <c r="X44" s="4">
        <f t="shared" si="77"/>
        <v>1.0000000017633301</v>
      </c>
      <c r="Y44" s="4">
        <f t="shared" si="78"/>
        <v>-5.9385690855056649E-5</v>
      </c>
      <c r="Z44" t="str">
        <f t="shared" si="66"/>
        <v>0.999999978807608+0.000257166033079762i</v>
      </c>
      <c r="AA44" s="4">
        <f t="shared" si="79"/>
        <v>1.0000000118747925</v>
      </c>
      <c r="AB44" s="4">
        <f t="shared" si="80"/>
        <v>2.5716603286055431E-4</v>
      </c>
      <c r="AC44" s="48" t="str">
        <f t="shared" si="81"/>
        <v>78.2040573078239-191.15600551241i</v>
      </c>
      <c r="AD44" s="20">
        <f t="shared" si="82"/>
        <v>46.299851473294311</v>
      </c>
      <c r="AE44" s="44">
        <f t="shared" si="83"/>
        <v>-67.749981848450318</v>
      </c>
      <c r="AF44" t="str">
        <f t="shared" si="84"/>
        <v>-0.979317078436135</v>
      </c>
      <c r="AG44" t="str">
        <f t="shared" si="85"/>
        <v>114.335176982803i</v>
      </c>
      <c r="AH44">
        <f t="shared" si="86"/>
        <v>114.33517698280301</v>
      </c>
      <c r="AI44">
        <f t="shared" si="87"/>
        <v>1.5707963267948966</v>
      </c>
      <c r="AJ44" t="str">
        <f t="shared" si="67"/>
        <v>0.999797650527854+0.112039326628989i</v>
      </c>
      <c r="AK44">
        <f t="shared" si="88"/>
        <v>1.0060557403605896</v>
      </c>
      <c r="AL44">
        <f t="shared" si="89"/>
        <v>0.11159641784810134</v>
      </c>
      <c r="AM44" t="str">
        <f t="shared" si="68"/>
        <v>1+15.9063098218476i</v>
      </c>
      <c r="AN44">
        <f t="shared" si="90"/>
        <v>15.937712889514778</v>
      </c>
      <c r="AO44">
        <f t="shared" si="91"/>
        <v>1.508010824732505</v>
      </c>
      <c r="AP44" t="str">
        <f t="shared" si="69"/>
        <v>1+0.107475066363835i</v>
      </c>
      <c r="AQ44">
        <f t="shared" si="92"/>
        <v>1.0057588626951843</v>
      </c>
      <c r="AR44">
        <f t="shared" si="93"/>
        <v>0.10706409995673893</v>
      </c>
      <c r="AS44" s="42" t="str">
        <f t="shared" si="94"/>
        <v>-0.136162179955309+0.00918001229249384i</v>
      </c>
      <c r="AT44">
        <f t="shared" si="95"/>
        <v>-17.29917432571408</v>
      </c>
      <c r="AU44" s="44">
        <f t="shared" si="96"/>
        <v>176.14297303062835</v>
      </c>
      <c r="AV44" s="42" t="str">
        <f t="shared" si="70"/>
        <v>-8.89362044399527+26.7461326295275i</v>
      </c>
      <c r="AW44" s="20">
        <f t="shared" si="97"/>
        <v>29.00067714758023</v>
      </c>
      <c r="AX44" s="44">
        <f t="shared" si="98"/>
        <v>108.39299118217805</v>
      </c>
    </row>
    <row r="45" spans="1:50" x14ac:dyDescent="0.3">
      <c r="A45" t="s">
        <v>207</v>
      </c>
      <c r="B45" s="18">
        <f>(((VOUT1^2)/Pout_var)*((1-Dc_var_ccm)^2))/((Lm/((Np/NS1_)^2))*Dc_var_ccm)</f>
        <v>1925298.4212552952</v>
      </c>
      <c r="C45" t="s">
        <v>205</v>
      </c>
      <c r="E45" t="s">
        <v>197</v>
      </c>
      <c r="N45" s="8">
        <v>27</v>
      </c>
      <c r="O45" s="35">
        <f t="shared" si="71"/>
        <v>18.62087136662868</v>
      </c>
      <c r="P45" s="34" t="str">
        <f t="shared" si="72"/>
        <v>545.10556621881</v>
      </c>
      <c r="Q45" s="4" t="str">
        <f t="shared" si="63"/>
        <v>1+2.49940888532361i</v>
      </c>
      <c r="R45" s="4">
        <f t="shared" si="73"/>
        <v>2.6920335763200671</v>
      </c>
      <c r="S45" s="4">
        <f t="shared" si="74"/>
        <v>1.1902084000014126</v>
      </c>
      <c r="T45" s="4" t="str">
        <f t="shared" si="64"/>
        <v>1+0.000058499192688841i</v>
      </c>
      <c r="U45" s="4">
        <f t="shared" si="75"/>
        <v>1.0000000017110777</v>
      </c>
      <c r="V45" s="4">
        <f t="shared" si="76"/>
        <v>5.8499192622109889E-5</v>
      </c>
      <c r="W45" t="str">
        <f t="shared" si="65"/>
        <v>1-0.0000607689613651679i</v>
      </c>
      <c r="X45" s="4">
        <f t="shared" si="77"/>
        <v>1.0000000018464332</v>
      </c>
      <c r="Y45" s="4">
        <f t="shared" si="78"/>
        <v>-6.0768961290364006E-5</v>
      </c>
      <c r="Z45" t="str">
        <f t="shared" si="66"/>
        <v>0.999999977808842+0.000263156199503161i</v>
      </c>
      <c r="AA45" s="4">
        <f t="shared" si="79"/>
        <v>1.0000000124344348</v>
      </c>
      <c r="AB45" s="4">
        <f t="shared" si="80"/>
        <v>2.6315619926827556E-4</v>
      </c>
      <c r="AC45" s="48" t="str">
        <f t="shared" si="81"/>
        <v>75.1677313463556-188.019580786258i</v>
      </c>
      <c r="AD45" s="20">
        <f t="shared" si="82"/>
        <v>46.128002811595088</v>
      </c>
      <c r="AE45" s="44">
        <f t="shared" si="83"/>
        <v>-68.209125848835441</v>
      </c>
      <c r="AF45" t="str">
        <f t="shared" si="84"/>
        <v>-0.979317078436135</v>
      </c>
      <c r="AG45" t="str">
        <f t="shared" si="85"/>
        <v>116.998385377682i</v>
      </c>
      <c r="AH45">
        <f t="shared" si="86"/>
        <v>116.998385377682</v>
      </c>
      <c r="AI45">
        <f t="shared" si="87"/>
        <v>1.5707963267948966</v>
      </c>
      <c r="AJ45" t="str">
        <f t="shared" si="67"/>
        <v>0.999788114091033+0.114649057799299i</v>
      </c>
      <c r="AK45">
        <f t="shared" si="88"/>
        <v>1.0063402404415573</v>
      </c>
      <c r="AL45">
        <f t="shared" si="89"/>
        <v>0.11417463378303327</v>
      </c>
      <c r="AM45" t="str">
        <f t="shared" si="68"/>
        <v>1+16.2768153737431i</v>
      </c>
      <c r="AN45">
        <f t="shared" si="90"/>
        <v>16.307504981171085</v>
      </c>
      <c r="AO45">
        <f t="shared" si="91"/>
        <v>1.5094363711020369</v>
      </c>
      <c r="AP45" t="str">
        <f t="shared" si="69"/>
        <v>1+0.109978482255021i</v>
      </c>
      <c r="AQ45">
        <f t="shared" si="92"/>
        <v>1.0060294561090735</v>
      </c>
      <c r="AR45">
        <f t="shared" si="93"/>
        <v>0.10953826623121296</v>
      </c>
      <c r="AS45" s="42" t="str">
        <f t="shared" si="94"/>
        <v>-0.13616025690145+0.00899914542620498i</v>
      </c>
      <c r="AT45">
        <f t="shared" si="95"/>
        <v>-17.300063249799859</v>
      </c>
      <c r="AU45" s="44">
        <f t="shared" si="96"/>
        <v>176.21868921469871</v>
      </c>
      <c r="AV45" s="42" t="str">
        <f t="shared" si="70"/>
        <v>-8.54284206034932+26.2772397681036i</v>
      </c>
      <c r="AW45" s="20">
        <f t="shared" si="97"/>
        <v>28.82793956179524</v>
      </c>
      <c r="AX45" s="44">
        <f t="shared" si="98"/>
        <v>108.00956336586326</v>
      </c>
    </row>
    <row r="46" spans="1:50" x14ac:dyDescent="0.3">
      <c r="B46" s="18">
        <f>wz_rhp/(2*PI())</f>
        <v>306420.76066980243</v>
      </c>
      <c r="C46" t="s">
        <v>61</v>
      </c>
      <c r="N46" s="8">
        <v>28</v>
      </c>
      <c r="O46" s="35">
        <f t="shared" si="71"/>
        <v>19.054607179632477</v>
      </c>
      <c r="P46" s="34" t="str">
        <f t="shared" si="72"/>
        <v>545.10556621881</v>
      </c>
      <c r="Q46" s="4" t="str">
        <f t="shared" si="63"/>
        <v>1+2.5576275971959i</v>
      </c>
      <c r="R46" s="4">
        <f t="shared" si="73"/>
        <v>2.7461716854446796</v>
      </c>
      <c r="S46" s="4">
        <f t="shared" si="74"/>
        <v>1.1980835516187078</v>
      </c>
      <c r="T46" s="4" t="str">
        <f t="shared" si="64"/>
        <v>1+0.0000598618139325725i</v>
      </c>
      <c r="U46" s="4">
        <f t="shared" si="75"/>
        <v>1.0000000017917183</v>
      </c>
      <c r="V46" s="4">
        <f t="shared" si="76"/>
        <v>5.9861813861068824E-5</v>
      </c>
      <c r="W46" t="str">
        <f t="shared" si="65"/>
        <v>1-0.0000621844523131561i</v>
      </c>
      <c r="X46" s="4">
        <f t="shared" si="77"/>
        <v>1.000000001933453</v>
      </c>
      <c r="Y46" s="4">
        <f t="shared" si="78"/>
        <v>-6.2184452233002293E-5</v>
      </c>
      <c r="Z46" t="str">
        <f t="shared" si="66"/>
        <v>0.999999976763004+0.000269285894826821i</v>
      </c>
      <c r="AA46" s="4">
        <f t="shared" si="79"/>
        <v>1.0000000130204509</v>
      </c>
      <c r="AB46" s="4">
        <f t="shared" si="80"/>
        <v>2.6928589457513697E-4</v>
      </c>
      <c r="AC46" s="48" t="str">
        <f t="shared" si="81"/>
        <v>72.2309669816834-184.887969844444i</v>
      </c>
      <c r="AD46" s="20">
        <f t="shared" si="82"/>
        <v>45.95505855387831</v>
      </c>
      <c r="AE46" s="44">
        <f t="shared" si="83"/>
        <v>-68.660693034413598</v>
      </c>
      <c r="AF46" t="str">
        <f t="shared" si="84"/>
        <v>-0.979317078436135</v>
      </c>
      <c r="AG46" t="str">
        <f t="shared" si="85"/>
        <v>119.723627865145i</v>
      </c>
      <c r="AH46">
        <f t="shared" si="86"/>
        <v>119.723627865145</v>
      </c>
      <c r="AI46">
        <f t="shared" si="87"/>
        <v>1.5707963267948966</v>
      </c>
      <c r="AJ46" t="str">
        <f t="shared" si="67"/>
        <v>0.999778128215791+0.117319577417613i</v>
      </c>
      <c r="AK46">
        <f t="shared" si="88"/>
        <v>1.0066380625150819</v>
      </c>
      <c r="AL46">
        <f t="shared" si="89"/>
        <v>0.11681140374926589</v>
      </c>
      <c r="AM46" t="str">
        <f t="shared" si="68"/>
        <v>1+16.655951108599i</v>
      </c>
      <c r="AN46">
        <f t="shared" si="90"/>
        <v>16.685943405514724</v>
      </c>
      <c r="AO46">
        <f t="shared" si="91"/>
        <v>1.5108297094001653</v>
      </c>
      <c r="AP46" t="str">
        <f t="shared" si="69"/>
        <v>1+0.112540210193237i</v>
      </c>
      <c r="AQ46">
        <f t="shared" si="92"/>
        <v>1.0063127242116825</v>
      </c>
      <c r="AR46">
        <f t="shared" si="93"/>
        <v>0.11206866989196491</v>
      </c>
      <c r="AS46" s="42" t="str">
        <f t="shared" si="94"/>
        <v>-0.136158245519748+0.00882303006598777i</v>
      </c>
      <c r="AT46">
        <f t="shared" si="95"/>
        <v>-17.300923148546982</v>
      </c>
      <c r="AU46" s="44">
        <f t="shared" si="96"/>
        <v>176.29242727822896</v>
      </c>
      <c r="AV46" s="42" t="str">
        <f t="shared" si="70"/>
        <v>-8.20356961964389+25.8113175851023i</v>
      </c>
      <c r="AW46" s="20">
        <f t="shared" si="97"/>
        <v>28.654135405331317</v>
      </c>
      <c r="AX46" s="44">
        <f t="shared" si="98"/>
        <v>107.63173424381537</v>
      </c>
    </row>
    <row r="47" spans="1:50" x14ac:dyDescent="0.3">
      <c r="B47" s="1"/>
      <c r="N47" s="8">
        <v>29</v>
      </c>
      <c r="O47" s="35">
        <f t="shared" si="71"/>
        <v>19.498445997580465</v>
      </c>
      <c r="P47" s="34" t="str">
        <f t="shared" si="72"/>
        <v>545.10556621881</v>
      </c>
      <c r="Q47" s="4" t="str">
        <f t="shared" si="63"/>
        <v>1+2.61720239707443i</v>
      </c>
      <c r="R47" s="4">
        <f t="shared" si="73"/>
        <v>2.8017402426442288</v>
      </c>
      <c r="S47" s="4">
        <f t="shared" si="74"/>
        <v>1.2058265894056299</v>
      </c>
      <c r="T47" s="4" t="str">
        <f t="shared" si="64"/>
        <v>1+0.000061256174702416i</v>
      </c>
      <c r="U47" s="4">
        <f t="shared" si="75"/>
        <v>1.0000000018761595</v>
      </c>
      <c r="V47" s="4">
        <f t="shared" si="76"/>
        <v>6.1256174625798425E-5</v>
      </c>
      <c r="W47" t="str">
        <f t="shared" si="65"/>
        <v>1-0.0000636329142808696i</v>
      </c>
      <c r="X47" s="4">
        <f t="shared" si="77"/>
        <v>1.0000000020245738</v>
      </c>
      <c r="Y47" s="4">
        <f t="shared" si="78"/>
        <v>-6.3632914194983241E-5</v>
      </c>
      <c r="Z47" t="str">
        <f t="shared" si="66"/>
        <v>0.999999975667879+0.000275558369096339i</v>
      </c>
      <c r="AA47" s="4">
        <f t="shared" si="79"/>
        <v>1.0000000136340867</v>
      </c>
      <c r="AB47" s="4">
        <f t="shared" si="80"/>
        <v>2.7555836882665441E-4</v>
      </c>
      <c r="AC47" s="48" t="str">
        <f t="shared" si="81"/>
        <v>69.3919086867743-181.764173723805i</v>
      </c>
      <c r="AD47" s="20">
        <f t="shared" si="82"/>
        <v>45.78105488776928</v>
      </c>
      <c r="AE47" s="44">
        <f t="shared" si="83"/>
        <v>-69.104698906286643</v>
      </c>
      <c r="AF47" t="str">
        <f t="shared" si="84"/>
        <v>-0.979317078436135</v>
      </c>
      <c r="AG47" t="str">
        <f t="shared" si="85"/>
        <v>122.512349404832i</v>
      </c>
      <c r="AH47">
        <f t="shared" si="86"/>
        <v>122.51234940483199</v>
      </c>
      <c r="AI47">
        <f t="shared" si="87"/>
        <v>1.5707963267948966</v>
      </c>
      <c r="AJ47" t="str">
        <f t="shared" si="67"/>
        <v>0.999767671720748+0.120052301428783i</v>
      </c>
      <c r="AK47">
        <f t="shared" si="88"/>
        <v>1.0069498262059897</v>
      </c>
      <c r="AL47">
        <f t="shared" si="89"/>
        <v>0.11950798624493254</v>
      </c>
      <c r="AM47" t="str">
        <f t="shared" si="68"/>
        <v>1+17.0439180492002i</v>
      </c>
      <c r="AN47">
        <f t="shared" si="90"/>
        <v>17.073228823741935</v>
      </c>
      <c r="AO47">
        <f t="shared" si="91"/>
        <v>1.5121915567409541</v>
      </c>
      <c r="AP47" t="str">
        <f t="shared" si="69"/>
        <v>1+0.115161608440542i</v>
      </c>
      <c r="AQ47">
        <f t="shared" si="92"/>
        <v>1.0066092568909808</v>
      </c>
      <c r="AR47">
        <f t="shared" si="93"/>
        <v>0.11465652290595893</v>
      </c>
      <c r="AS47" s="42" t="str">
        <f t="shared" si="94"/>
        <v>-0.136156141865137+0.00865157144357145i</v>
      </c>
      <c r="AT47">
        <f t="shared" si="95"/>
        <v>-17.301755809182062</v>
      </c>
      <c r="AU47" s="44">
        <f t="shared" si="96"/>
        <v>176.3642256427888</v>
      </c>
      <c r="AV47" s="42" t="str">
        <f t="shared" si="70"/>
        <v>-7.87558882859584+25.3486576791472i</v>
      </c>
      <c r="AW47" s="20">
        <f t="shared" si="97"/>
        <v>28.479299078587211</v>
      </c>
      <c r="AX47" s="44">
        <f t="shared" si="98"/>
        <v>107.25952673650215</v>
      </c>
    </row>
    <row r="48" spans="1:50" x14ac:dyDescent="0.3">
      <c r="A48" t="s">
        <v>208</v>
      </c>
      <c r="B48" s="18">
        <f>1/(Cout_total*Resr_total)</f>
        <v>2000000</v>
      </c>
      <c r="C48" t="s">
        <v>205</v>
      </c>
      <c r="E48" t="s">
        <v>198</v>
      </c>
      <c r="N48" s="8">
        <v>30</v>
      </c>
      <c r="O48" s="35">
        <f t="shared" si="71"/>
        <v>19.952623149688804</v>
      </c>
      <c r="P48" s="34" t="str">
        <f t="shared" si="72"/>
        <v>545.10556621881</v>
      </c>
      <c r="Q48" s="4" t="str">
        <f t="shared" si="63"/>
        <v>1+2.67816487230666i</v>
      </c>
      <c r="R48" s="4">
        <f t="shared" si="73"/>
        <v>2.8587702046959542</v>
      </c>
      <c r="S48" s="4">
        <f t="shared" si="74"/>
        <v>1.2134379039556842</v>
      </c>
      <c r="T48" s="4" t="str">
        <f t="shared" si="64"/>
        <v>1+0.000062683014306908i</v>
      </c>
      <c r="U48" s="4">
        <f t="shared" si="75"/>
        <v>1.0000000019645801</v>
      </c>
      <c r="V48" s="4">
        <f t="shared" si="76"/>
        <v>6.2683014224810806E-5</v>
      </c>
      <c r="W48" t="str">
        <f t="shared" si="65"/>
        <v>1-0.0000651151152620158i</v>
      </c>
      <c r="X48" s="4">
        <f t="shared" si="77"/>
        <v>1.0000000021199891</v>
      </c>
      <c r="Y48" s="4">
        <f t="shared" si="78"/>
        <v>-6.5115115169986899E-5</v>
      </c>
      <c r="Z48" t="str">
        <f t="shared" si="66"/>
        <v>0.999999974521141+0.000281976948060597i</v>
      </c>
      <c r="AA48" s="4">
        <f t="shared" si="79"/>
        <v>1.0000000142766408</v>
      </c>
      <c r="AB48" s="4">
        <f t="shared" si="80"/>
        <v>2.8197694777162493E-4</v>
      </c>
      <c r="AC48" s="48" t="str">
        <f t="shared" si="81"/>
        <v>66.6486220623134-178.651031346799i</v>
      </c>
      <c r="AD48" s="20">
        <f t="shared" si="82"/>
        <v>45.606027305359447</v>
      </c>
      <c r="AE48" s="44">
        <f t="shared" si="83"/>
        <v>-69.541166036008477</v>
      </c>
      <c r="AF48" t="str">
        <f t="shared" si="84"/>
        <v>-0.979317078436135</v>
      </c>
      <c r="AG48" t="str">
        <f t="shared" si="85"/>
        <v>125.366028613816i</v>
      </c>
      <c r="AH48">
        <f t="shared" si="86"/>
        <v>125.366028613816</v>
      </c>
      <c r="AI48">
        <f t="shared" si="87"/>
        <v>1.5707963267948966</v>
      </c>
      <c r="AJ48" t="str">
        <f t="shared" si="67"/>
        <v>0.999756722426275+0.122848678759251i</v>
      </c>
      <c r="AK48">
        <f t="shared" si="88"/>
        <v>1.0072761795602145</v>
      </c>
      <c r="AL48">
        <f t="shared" si="89"/>
        <v>0.12226566177241943</v>
      </c>
      <c r="AM48" t="str">
        <f t="shared" si="68"/>
        <v>1+17.4409219007541i</v>
      </c>
      <c r="AN48">
        <f t="shared" si="90"/>
        <v>17.469566587302729</v>
      </c>
      <c r="AO48">
        <f t="shared" si="91"/>
        <v>1.5135226149767054</v>
      </c>
      <c r="AP48" t="str">
        <f t="shared" si="69"/>
        <v>1+0.117844066896987i</v>
      </c>
      <c r="AQ48">
        <f t="shared" si="92"/>
        <v>1.0069196711271569</v>
      </c>
      <c r="AR48">
        <f t="shared" si="93"/>
        <v>0.1173030586656475</v>
      </c>
      <c r="AS48" s="42" t="str">
        <f t="shared" si="94"/>
        <v>-0.13615394182698+0.0084846771648945i</v>
      </c>
      <c r="AT48">
        <f t="shared" si="95"/>
        <v>-17.302562960821927</v>
      </c>
      <c r="AU48" s="44">
        <f t="shared" si="96"/>
        <v>176.43412182235252</v>
      </c>
      <c r="AV48" s="42" t="str">
        <f t="shared" si="70"/>
        <v>-7.55867628496756+24.8895341710058i</v>
      </c>
      <c r="AW48" s="20">
        <f t="shared" si="97"/>
        <v>28.30346434453751</v>
      </c>
      <c r="AX48" s="44">
        <f t="shared" si="98"/>
        <v>106.89295578634406</v>
      </c>
    </row>
    <row r="49" spans="1:50" x14ac:dyDescent="0.3">
      <c r="B49" s="18">
        <f>wz_esr/(2*PI())</f>
        <v>318309.88618379069</v>
      </c>
      <c r="C49" t="s">
        <v>61</v>
      </c>
      <c r="N49" s="8">
        <v>31</v>
      </c>
      <c r="O49" s="35">
        <f t="shared" si="71"/>
        <v>20.4173794466953</v>
      </c>
      <c r="P49" s="34" t="str">
        <f t="shared" si="72"/>
        <v>545.10556621881</v>
      </c>
      <c r="Q49" s="4" t="str">
        <f t="shared" si="63"/>
        <v>1+2.74054734600388i</v>
      </c>
      <c r="R49" s="4">
        <f t="shared" si="73"/>
        <v>2.9172932241529836</v>
      </c>
      <c r="S49" s="4">
        <f t="shared" si="74"/>
        <v>1.2209180023683854</v>
      </c>
      <c r="T49" s="4" t="str">
        <f t="shared" si="64"/>
        <v>1+0.000064143089275293i</v>
      </c>
      <c r="U49" s="4">
        <f t="shared" si="75"/>
        <v>1.000000002057168</v>
      </c>
      <c r="V49" s="4">
        <f t="shared" si="76"/>
        <v>6.4143089187324259E-5</v>
      </c>
      <c r="W49" t="str">
        <f t="shared" si="65"/>
        <v>1-0.0000666318411391742i</v>
      </c>
      <c r="X49" s="4">
        <f t="shared" si="77"/>
        <v>1.0000000022199012</v>
      </c>
      <c r="Y49" s="4">
        <f t="shared" si="78"/>
        <v>-6.6631841040563466E-5</v>
      </c>
      <c r="Z49" t="str">
        <f t="shared" si="66"/>
        <v>0.99999997332036+0.000288545034935122i</v>
      </c>
      <c r="AA49" s="4">
        <f t="shared" si="79"/>
        <v>1.0000000149494788</v>
      </c>
      <c r="AB49" s="4">
        <f t="shared" si="80"/>
        <v>2.8854503462548263E-4</v>
      </c>
      <c r="AC49" s="48" t="str">
        <f t="shared" si="81"/>
        <v>63.9991047862386-175.551220901585i</v>
      </c>
      <c r="AD49" s="20">
        <f t="shared" si="82"/>
        <v>45.430010576295636</v>
      </c>
      <c r="AE49" s="44">
        <f t="shared" si="83"/>
        <v>-69.97012367491287</v>
      </c>
      <c r="AF49" t="str">
        <f t="shared" si="84"/>
        <v>-0.979317078436135</v>
      </c>
      <c r="AG49" t="str">
        <f t="shared" si="85"/>
        <v>128.286178550586i</v>
      </c>
      <c r="AH49">
        <f t="shared" si="86"/>
        <v>128.28617855058599</v>
      </c>
      <c r="AI49">
        <f t="shared" si="87"/>
        <v>1.5707963267948966</v>
      </c>
      <c r="AJ49" t="str">
        <f t="shared" si="67"/>
        <v>0.999745257107452+0.125710192085291i</v>
      </c>
      <c r="AK49">
        <f t="shared" si="88"/>
        <v>1.0076178003106961</v>
      </c>
      <c r="AL49">
        <f t="shared" si="89"/>
        <v>0.12508573285529323</v>
      </c>
      <c r="AM49" t="str">
        <f t="shared" si="68"/>
        <v>1+17.8471731599575i</v>
      </c>
      <c r="AN49">
        <f t="shared" si="90"/>
        <v>17.875166846815929</v>
      </c>
      <c r="AO49">
        <f t="shared" si="91"/>
        <v>1.5148235709753848</v>
      </c>
      <c r="AP49" t="str">
        <f t="shared" si="69"/>
        <v>1+0.120589007837551i</v>
      </c>
      <c r="AQ49">
        <f t="shared" si="92"/>
        <v>1.0072446122026391</v>
      </c>
      <c r="AR49">
        <f t="shared" si="93"/>
        <v>0.12000953202542328</v>
      </c>
      <c r="AS49" s="42" t="str">
        <f t="shared" si="94"/>
        <v>-0.136151641123129+0.00832225715486662i</v>
      </c>
      <c r="AT49">
        <f t="shared" si="95"/>
        <v>-17.303346277840415</v>
      </c>
      <c r="AU49" s="44">
        <f t="shared" si="96"/>
        <v>176.5021524403133</v>
      </c>
      <c r="AV49" s="42" t="str">
        <f t="shared" si="70"/>
        <v>-7.2526007428637+24.4342038346321i</v>
      </c>
      <c r="AW49" s="20">
        <f t="shared" si="97"/>
        <v>28.126664298455228</v>
      </c>
      <c r="AX49" s="44">
        <f t="shared" si="98"/>
        <v>106.53202876540041</v>
      </c>
    </row>
    <row r="50" spans="1:50" x14ac:dyDescent="0.3">
      <c r="N50" s="8">
        <v>32</v>
      </c>
      <c r="O50" s="35">
        <f t="shared" si="71"/>
        <v>20.8929613085404</v>
      </c>
      <c r="P50" s="34" t="str">
        <f t="shared" si="72"/>
        <v>545.10556621881</v>
      </c>
      <c r="Q50" s="4" t="str">
        <f t="shared" si="63"/>
        <v>1+2.80438289417941i</v>
      </c>
      <c r="R50" s="4">
        <f t="shared" si="73"/>
        <v>2.9773416695377919</v>
      </c>
      <c r="S50" s="4">
        <f t="shared" si="74"/>
        <v>1.2282675015005615</v>
      </c>
      <c r="T50" s="4" t="str">
        <f t="shared" si="64"/>
        <v>1+0.0000656371737586465i</v>
      </c>
      <c r="U50" s="4">
        <f t="shared" si="75"/>
        <v>1.0000000021541193</v>
      </c>
      <c r="V50" s="4">
        <f t="shared" si="76"/>
        <v>6.5637173664386306E-5</v>
      </c>
      <c r="W50" t="str">
        <f t="shared" si="65"/>
        <v>1-0.0000681838961004818i</v>
      </c>
      <c r="X50" s="4">
        <f t="shared" si="77"/>
        <v>1.0000000023245217</v>
      </c>
      <c r="Y50" s="4">
        <f t="shared" si="78"/>
        <v>-6.8183895994818495E-5</v>
      </c>
      <c r="Z50" t="str">
        <f t="shared" si="66"/>
        <v>0.999999972062987+0.000295266112206518i</v>
      </c>
      <c r="AA50" s="4">
        <f t="shared" si="79"/>
        <v>1.0000000156540259</v>
      </c>
      <c r="AB50" s="4">
        <f t="shared" si="80"/>
        <v>2.9526611187473352E-4</v>
      </c>
      <c r="AC50" s="48" t="str">
        <f t="shared" si="81"/>
        <v>61.4412970389597-172.467261841657i</v>
      </c>
      <c r="AD50" s="20">
        <f t="shared" si="82"/>
        <v>45.253038724789867</v>
      </c>
      <c r="AE50" s="44">
        <f t="shared" si="83"/>
        <v>-70.391607367545419</v>
      </c>
      <c r="AF50" t="str">
        <f t="shared" si="84"/>
        <v>-0.979317078436135</v>
      </c>
      <c r="AG50" t="str">
        <f t="shared" si="85"/>
        <v>131.274347517293i</v>
      </c>
      <c r="AH50">
        <f t="shared" si="86"/>
        <v>131.27434751729299</v>
      </c>
      <c r="AI50">
        <f t="shared" si="87"/>
        <v>1.5707963267948966</v>
      </c>
      <c r="AJ50" t="str">
        <f t="shared" si="67"/>
        <v>0.9997332514448+0.128638358619145i</v>
      </c>
      <c r="AK50">
        <f t="shared" si="88"/>
        <v>1.0079753971960919</v>
      </c>
      <c r="AL50">
        <f t="shared" si="89"/>
        <v>0.12796952402337972</v>
      </c>
      <c r="AM50" t="str">
        <f t="shared" si="68"/>
        <v>1+18.2628872266058i</v>
      </c>
      <c r="AN50">
        <f t="shared" si="90"/>
        <v>18.290244663528188</v>
      </c>
      <c r="AO50">
        <f t="shared" si="91"/>
        <v>1.5160950968963098</v>
      </c>
      <c r="AP50" t="str">
        <f t="shared" si="69"/>
        <v>1+0.123397886666256i</v>
      </c>
      <c r="AQ50">
        <f t="shared" si="92"/>
        <v>1.0075847549629253</v>
      </c>
      <c r="AR50">
        <f t="shared" si="93"/>
        <v>0.12277721930868934</v>
      </c>
      <c r="AS50" s="42" t="str">
        <f t="shared" si="94"/>
        <v>-0.136149235293885+0.00816422360297684i</v>
      </c>
      <c r="AT50">
        <f t="shared" si="95"/>
        <v>-17.304107383114292</v>
      </c>
      <c r="AU50" s="44">
        <f t="shared" si="96"/>
        <v>176.56835324653852</v>
      </c>
      <c r="AV50" s="42" t="str">
        <f t="shared" si="70"/>
        <v>-6.95712431745036+23.9829063004548i</v>
      </c>
      <c r="AW50" s="20">
        <f t="shared" si="97"/>
        <v>27.948931341675568</v>
      </c>
      <c r="AX50" s="44">
        <f t="shared" si="98"/>
        <v>106.17674587899309</v>
      </c>
    </row>
    <row r="51" spans="1:50" x14ac:dyDescent="0.3">
      <c r="A51" t="s">
        <v>201</v>
      </c>
      <c r="B51" s="1">
        <f>(Isl*(Rsl_int+R_sl)*Fsw)</f>
        <v>24997.5</v>
      </c>
      <c r="C51" t="s">
        <v>144</v>
      </c>
      <c r="E51" t="s">
        <v>202</v>
      </c>
      <c r="N51" s="8">
        <v>33</v>
      </c>
      <c r="O51" s="35">
        <f t="shared" si="71"/>
        <v>21.379620895022335</v>
      </c>
      <c r="P51" s="34" t="str">
        <f t="shared" si="72"/>
        <v>545.10556621881</v>
      </c>
      <c r="Q51" s="4" t="str">
        <f t="shared" si="63"/>
        <v>1+2.8697053632858i</v>
      </c>
      <c r="R51" s="4">
        <f t="shared" si="73"/>
        <v>3.0389486458430457</v>
      </c>
      <c r="S51" s="4">
        <f t="shared" si="74"/>
        <v>1.2354871213140006</v>
      </c>
      <c r="T51" s="4" t="str">
        <f t="shared" si="64"/>
        <v>1+0.000067166059940337i</v>
      </c>
      <c r="U51" s="4">
        <f t="shared" si="75"/>
        <v>1.0000000022556397</v>
      </c>
      <c r="V51" s="4">
        <f t="shared" si="76"/>
        <v>6.7166059839335364E-5</v>
      </c>
      <c r="W51" t="str">
        <f t="shared" si="65"/>
        <v>1-0.0000697721030660219i</v>
      </c>
      <c r="X51" s="4">
        <f t="shared" si="77"/>
        <v>1.0000000024340732</v>
      </c>
      <c r="Y51" s="4">
        <f t="shared" si="78"/>
        <v>-6.9772102952801634E-5</v>
      </c>
      <c r="Z51" t="str">
        <f t="shared" si="66"/>
        <v>0.999999970746356+0.000302143743478912i</v>
      </c>
      <c r="AA51" s="4">
        <f t="shared" si="79"/>
        <v>1.0000000163917773</v>
      </c>
      <c r="AB51" s="4">
        <f t="shared" si="80"/>
        <v>3.0214374312339859E-4</v>
      </c>
      <c r="AC51" s="48" t="str">
        <f t="shared" si="81"/>
        <v>58.9730913853909-169.401517438466i</v>
      </c>
      <c r="AD51" s="20">
        <f t="shared" si="82"/>
        <v>45.075145010355683</v>
      </c>
      <c r="AE51" s="44">
        <f t="shared" si="83"/>
        <v>-70.805658570618618</v>
      </c>
      <c r="AF51" t="str">
        <f t="shared" si="84"/>
        <v>-0.979317078436135</v>
      </c>
      <c r="AG51" t="str">
        <f t="shared" si="85"/>
        <v>134.332119880674i</v>
      </c>
      <c r="AH51">
        <f t="shared" si="86"/>
        <v>134.33211988067399</v>
      </c>
      <c r="AI51">
        <f t="shared" si="87"/>
        <v>1.5707963267948966</v>
      </c>
      <c r="AJ51" t="str">
        <f t="shared" si="67"/>
        <v>0.999720679972699+0.13163473091347i</v>
      </c>
      <c r="AK51">
        <f t="shared" si="88"/>
        <v>1.0083497113341864</v>
      </c>
      <c r="AL51">
        <f t="shared" si="89"/>
        <v>0.13091838176331505</v>
      </c>
      <c r="AM51" t="str">
        <f t="shared" si="68"/>
        <v>1+18.6882845177994i</v>
      </c>
      <c r="AN51">
        <f t="shared" si="90"/>
        <v>18.715020123372046</v>
      </c>
      <c r="AO51">
        <f t="shared" si="91"/>
        <v>1.5173378504638353</v>
      </c>
      <c r="AP51" t="str">
        <f t="shared" si="69"/>
        <v>1+0.126272192687834i</v>
      </c>
      <c r="AQ51">
        <f t="shared" si="92"/>
        <v>1.00794080513004</v>
      </c>
      <c r="AR51">
        <f t="shared" si="93"/>
        <v>0.12560741828300426</v>
      </c>
      <c r="AS51" s="42" t="str">
        <f t="shared" si="94"/>
        <v>-0.136146719695844+0.00801049090969653i</v>
      </c>
      <c r="AT51">
        <f t="shared" si="95"/>
        <v>-17.30484785115441</v>
      </c>
      <c r="AU51" s="44">
        <f t="shared" si="96"/>
        <v>176.63275913446029</v>
      </c>
      <c r="AV51" s="42" t="str">
        <f t="shared" si="70"/>
        <v>-6.67200362691458+23.5358643232048i</v>
      </c>
      <c r="AW51" s="20">
        <f t="shared" si="97"/>
        <v>27.77029715920126</v>
      </c>
      <c r="AX51" s="44">
        <f t="shared" si="98"/>
        <v>105.8271005638417</v>
      </c>
    </row>
    <row r="52" spans="1:50" x14ac:dyDescent="0.3">
      <c r="A52" t="s">
        <v>204</v>
      </c>
      <c r="B52" s="1">
        <f>(R_cs*VIN_var*Acs*(1-Dc_var_ccm))/Lm</f>
        <v>31911.82133230651</v>
      </c>
      <c r="C52" t="s">
        <v>144</v>
      </c>
      <c r="E52" t="s">
        <v>203</v>
      </c>
      <c r="N52" s="8">
        <v>34</v>
      </c>
      <c r="O52" s="35">
        <f t="shared" si="71"/>
        <v>21.877616239495538</v>
      </c>
      <c r="P52" s="34" t="str">
        <f t="shared" si="72"/>
        <v>545.10556621881</v>
      </c>
      <c r="Q52" s="4" t="str">
        <f t="shared" si="63"/>
        <v>1+2.93654938816086i</v>
      </c>
      <c r="R52" s="4">
        <f t="shared" si="73"/>
        <v>3.1021480153448393</v>
      </c>
      <c r="S52" s="4">
        <f t="shared" si="74"/>
        <v>1.2425776783414892</v>
      </c>
      <c r="T52" s="4" t="str">
        <f t="shared" si="64"/>
        <v>1+0.000068730558456056i</v>
      </c>
      <c r="U52" s="4">
        <f t="shared" si="75"/>
        <v>1.0000000023619449</v>
      </c>
      <c r="V52" s="4">
        <f t="shared" si="76"/>
        <v>6.8730558347830808E-5</v>
      </c>
      <c r="W52" t="str">
        <f t="shared" si="65"/>
        <v>1-0.0000713973041241508i</v>
      </c>
      <c r="X52" s="4">
        <f t="shared" si="77"/>
        <v>1.0000000025487874</v>
      </c>
      <c r="Y52" s="4">
        <f t="shared" si="78"/>
        <v>-7.1397304002833087E-5</v>
      </c>
      <c r="Z52" t="str">
        <f t="shared" si="66"/>
        <v>0.999999969367674+0.000309181575363445i</v>
      </c>
      <c r="AA52" s="4">
        <f t="shared" si="79"/>
        <v>1.0000000171642975</v>
      </c>
      <c r="AB52" s="4">
        <f t="shared" si="80"/>
        <v>3.0918157498250557E-4</v>
      </c>
      <c r="AC52" s="48" t="str">
        <f t="shared" si="81"/>
        <v>56.5923421012334-166.356197822525i</v>
      </c>
      <c r="AD52" s="20">
        <f t="shared" si="82"/>
        <v>44.896361912067292</v>
      </c>
      <c r="AE52" s="44">
        <f t="shared" si="83"/>
        <v>-71.212324278752533</v>
      </c>
      <c r="AF52" t="str">
        <f t="shared" si="84"/>
        <v>-0.979317078436135</v>
      </c>
      <c r="AG52" t="str">
        <f t="shared" si="85"/>
        <v>137.461116912112i</v>
      </c>
      <c r="AH52">
        <f t="shared" si="86"/>
        <v>137.461116912112</v>
      </c>
      <c r="AI52">
        <f t="shared" si="87"/>
        <v>1.5707963267948966</v>
      </c>
      <c r="AJ52" t="str">
        <f t="shared" si="67"/>
        <v>0.999707516025371+0.134700897684517i</v>
      </c>
      <c r="AK52">
        <f t="shared" si="88"/>
        <v>1.008741517651887</v>
      </c>
      <c r="AL52">
        <f t="shared" si="89"/>
        <v>0.13393367443173082</v>
      </c>
      <c r="AM52" t="str">
        <f t="shared" si="68"/>
        <v>1+19.123590584813i</v>
      </c>
      <c r="AN52">
        <f t="shared" si="90"/>
        <v>19.149718453688777</v>
      </c>
      <c r="AO52">
        <f t="shared" si="91"/>
        <v>1.5185524752388186</v>
      </c>
      <c r="AP52" t="str">
        <f t="shared" si="69"/>
        <v>1+0.129213449897386i</v>
      </c>
      <c r="AQ52">
        <f t="shared" si="92"/>
        <v>1.0083135006704931</v>
      </c>
      <c r="AR52">
        <f t="shared" si="93"/>
        <v>0.1285014481006628</v>
      </c>
      <c r="AS52" s="42" t="str">
        <f t="shared" si="94"/>
        <v>-0.136144089495657+0.00786097563362638i</v>
      </c>
      <c r="AT52">
        <f t="shared" si="95"/>
        <v>-17.30556921112521</v>
      </c>
      <c r="AU52" s="44">
        <f t="shared" si="96"/>
        <v>176.69540415819878</v>
      </c>
      <c r="AV52" s="42" t="str">
        <f t="shared" si="70"/>
        <v>-6.39699087021356+23.0932841068147i</v>
      </c>
      <c r="AW52" s="20">
        <f t="shared" si="97"/>
        <v>27.590792700942082</v>
      </c>
      <c r="AX52" s="44">
        <f t="shared" si="98"/>
        <v>105.48307987944624</v>
      </c>
    </row>
    <row r="53" spans="1:50" x14ac:dyDescent="0.3">
      <c r="A53" t="s">
        <v>507</v>
      </c>
      <c r="B53" s="1">
        <f>1+(B51/B52)</f>
        <v>1.7833304072398191</v>
      </c>
      <c r="N53" s="8">
        <v>35</v>
      </c>
      <c r="O53" s="35">
        <f t="shared" si="71"/>
        <v>22.387211385683404</v>
      </c>
      <c r="P53" s="34" t="str">
        <f t="shared" si="72"/>
        <v>545.10556621881</v>
      </c>
      <c r="Q53" s="4" t="str">
        <f t="shared" si="63"/>
        <v>1+3.00495041039135i</v>
      </c>
      <c r="R53" s="4">
        <f t="shared" si="73"/>
        <v>3.1669744187333029</v>
      </c>
      <c r="S53" s="4">
        <f t="shared" si="74"/>
        <v>1.2495400792904774</v>
      </c>
      <c r="T53" s="4" t="str">
        <f t="shared" si="64"/>
        <v>1+0.000070331498823625i</v>
      </c>
      <c r="U53" s="4">
        <f t="shared" si="75"/>
        <v>1.0000000024732598</v>
      </c>
      <c r="V53" s="4">
        <f t="shared" si="76"/>
        <v>7.0331498707659615E-5</v>
      </c>
      <c r="W53" t="str">
        <f t="shared" si="65"/>
        <v>1-0.0000730603609779814i</v>
      </c>
      <c r="X53" s="4">
        <f t="shared" si="77"/>
        <v>1.0000000026689082</v>
      </c>
      <c r="Y53" s="4">
        <f t="shared" si="78"/>
        <v>-7.3060360847987133E-5</v>
      </c>
      <c r="Z53" t="str">
        <f t="shared" si="66"/>
        <v>0.999999967924017+0.000316383339411737i</v>
      </c>
      <c r="AA53" s="4">
        <f t="shared" si="79"/>
        <v>1.000000017973226</v>
      </c>
      <c r="AB53" s="4">
        <f t="shared" si="80"/>
        <v>3.1638333900355304E-4</v>
      </c>
      <c r="AC53" s="48" t="str">
        <f t="shared" si="81"/>
        <v>54.2968739367505-163.333363451113i</v>
      </c>
      <c r="AD53" s="20">
        <f t="shared" si="82"/>
        <v>44.716721116137627</v>
      </c>
      <c r="AE53" s="44">
        <f t="shared" si="83"/>
        <v>-71.611656658103215</v>
      </c>
      <c r="AF53" t="str">
        <f t="shared" si="84"/>
        <v>-0.979317078436135</v>
      </c>
      <c r="AG53" t="str">
        <f t="shared" si="85"/>
        <v>140.66299764725i</v>
      </c>
      <c r="AH53">
        <f t="shared" si="86"/>
        <v>140.66299764724999</v>
      </c>
      <c r="AI53">
        <f t="shared" si="87"/>
        <v>1.5707963267948966</v>
      </c>
      <c r="AJ53" t="str">
        <f t="shared" si="67"/>
        <v>0.999693731680318+0.137838484654493i</v>
      </c>
      <c r="AK53">
        <f t="shared" si="88"/>
        <v>1.009151626373741</v>
      </c>
      <c r="AL53">
        <f t="shared" si="89"/>
        <v>0.13701679212808657</v>
      </c>
      <c r="AM53" t="str">
        <f t="shared" si="68"/>
        <v>1+19.5690362326854i</v>
      </c>
      <c r="AN53">
        <f t="shared" si="90"/>
        <v>19.594570142673554</v>
      </c>
      <c r="AO53">
        <f t="shared" si="91"/>
        <v>1.5197396008876467</v>
      </c>
      <c r="AP53" t="str">
        <f t="shared" si="69"/>
        <v>1+0.132223217788415i</v>
      </c>
      <c r="AQ53">
        <f t="shared" si="92"/>
        <v>1.008703613219623</v>
      </c>
      <c r="AR53">
        <f t="shared" si="93"/>
        <v>0.13146064920184833</v>
      </c>
      <c r="AS53" s="42" t="str">
        <f t="shared" si="94"/>
        <v>-0.136141339663698+0.00771559643934291i</v>
      </c>
      <c r="AT53">
        <f t="shared" si="95"/>
        <v>-17.306272949757805</v>
      </c>
      <c r="AU53" s="44">
        <f t="shared" si="96"/>
        <v>176.75632154971336</v>
      </c>
      <c r="AV53" s="42" t="str">
        <f t="shared" si="70"/>
        <v>-6.13183483983083+22.6553556792261i</v>
      </c>
      <c r="AW53" s="20">
        <f t="shared" si="97"/>
        <v>27.410448166379837</v>
      </c>
      <c r="AX53" s="44">
        <f t="shared" si="98"/>
        <v>105.14466489161011</v>
      </c>
    </row>
    <row r="54" spans="1:50" x14ac:dyDescent="0.3">
      <c r="A54" t="s">
        <v>199</v>
      </c>
      <c r="B54" s="1">
        <f>2*PI()*Fsw</f>
        <v>1570796.3267948965</v>
      </c>
      <c r="C54" t="s">
        <v>205</v>
      </c>
      <c r="N54" s="8">
        <v>36</v>
      </c>
      <c r="O54" s="35">
        <f t="shared" si="71"/>
        <v>22.908676527677727</v>
      </c>
      <c r="P54" s="34" t="str">
        <f t="shared" si="72"/>
        <v>545.10556621881</v>
      </c>
      <c r="Q54" s="4" t="str">
        <f t="shared" si="63"/>
        <v>1+3.07494469710464i</v>
      </c>
      <c r="R54" s="4">
        <f t="shared" si="73"/>
        <v>3.2334632965679302</v>
      </c>
      <c r="S54" s="4">
        <f t="shared" si="74"/>
        <v>1.2563753148012</v>
      </c>
      <c r="T54" s="4" t="str">
        <f t="shared" si="64"/>
        <v>1+0.0000719697298828175i</v>
      </c>
      <c r="U54" s="4">
        <f t="shared" si="75"/>
        <v>1.000000002589821</v>
      </c>
      <c r="V54" s="4">
        <f t="shared" si="76"/>
        <v>7.1969729758558353E-5</v>
      </c>
      <c r="W54" t="str">
        <f t="shared" si="65"/>
        <v>1-0.0000747621554022706i</v>
      </c>
      <c r="X54" s="4">
        <f t="shared" si="77"/>
        <v>1.0000000027946898</v>
      </c>
      <c r="Y54" s="4">
        <f t="shared" si="78"/>
        <v>-7.4762155262979245E-5</v>
      </c>
      <c r="Z54" t="str">
        <f t="shared" si="66"/>
        <v>0.999999966412323+0.000323752854094414i</v>
      </c>
      <c r="AA54" s="4">
        <f t="shared" si="79"/>
        <v>1.0000000188202787</v>
      </c>
      <c r="AB54" s="4">
        <f t="shared" si="80"/>
        <v>3.2375285365703684E-4</v>
      </c>
      <c r="AC54" s="48" t="str">
        <f t="shared" si="81"/>
        <v>52.0844903164075-160.334928943574i</v>
      </c>
      <c r="AD54" s="20">
        <f t="shared" si="82"/>
        <v>44.536253506607807</v>
      </c>
      <c r="AE54" s="44">
        <f t="shared" si="83"/>
        <v>-72.003712688844857</v>
      </c>
      <c r="AF54" t="str">
        <f t="shared" si="84"/>
        <v>-0.979317078436135</v>
      </c>
      <c r="AG54" t="str">
        <f t="shared" si="85"/>
        <v>143.939459765635i</v>
      </c>
      <c r="AH54">
        <f t="shared" si="86"/>
        <v>143.93945976563501</v>
      </c>
      <c r="AI54">
        <f t="shared" si="87"/>
        <v>1.5707963267948966</v>
      </c>
      <c r="AJ54" t="str">
        <f t="shared" si="67"/>
        <v>0.999679297699098+0.141049155413541i</v>
      </c>
      <c r="AK54">
        <f t="shared" si="88"/>
        <v>1.0095808845709369</v>
      </c>
      <c r="AL54">
        <f t="shared" si="89"/>
        <v>0.14016914652396811</v>
      </c>
      <c r="AM54" t="str">
        <f t="shared" si="68"/>
        <v>1+20.0248576425951i</v>
      </c>
      <c r="AN54">
        <f t="shared" si="90"/>
        <v>20.049811061608523</v>
      </c>
      <c r="AO54">
        <f t="shared" si="91"/>
        <v>1.5208998434486376</v>
      </c>
      <c r="AP54" t="str">
        <f t="shared" si="69"/>
        <v>1+0.135303092179697i</v>
      </c>
      <c r="AQ54">
        <f t="shared" si="92"/>
        <v>1.0091119495642629</v>
      </c>
      <c r="AR54">
        <f t="shared" si="93"/>
        <v>0.13448638317740003</v>
      </c>
      <c r="AS54" s="42" t="str">
        <f t="shared" si="94"/>
        <v>-0.136138464967677+0.00757427404588856i</v>
      </c>
      <c r="AT54">
        <f t="shared" si="95"/>
        <v>-17.306960514158828</v>
      </c>
      <c r="AU54" s="44">
        <f t="shared" si="96"/>
        <v>176.81554373598459</v>
      </c>
      <c r="AV54" s="42" t="str">
        <f t="shared" si="70"/>
        <v>-5.87628186935286+22.2222533102766i</v>
      </c>
      <c r="AW54" s="20">
        <f t="shared" si="97"/>
        <v>27.229292992448968</v>
      </c>
      <c r="AX54" s="44">
        <f t="shared" si="98"/>
        <v>104.81183104713976</v>
      </c>
    </row>
    <row r="55" spans="1:50" x14ac:dyDescent="0.3">
      <c r="A55" t="s">
        <v>200</v>
      </c>
      <c r="B55" s="1">
        <f>1/(PI()*(((1-Dc_var_ccm)*mc)-0.5))</f>
        <v>0.56607813615745484</v>
      </c>
      <c r="N55" s="8">
        <v>37</v>
      </c>
      <c r="O55" s="35">
        <f t="shared" si="71"/>
        <v>23.442288153199236</v>
      </c>
      <c r="P55" s="34" t="str">
        <f t="shared" si="72"/>
        <v>545.10556621881</v>
      </c>
      <c r="Q55" s="4" t="str">
        <f t="shared" si="63"/>
        <v>1+3.14656936019805i</v>
      </c>
      <c r="R55" s="4">
        <f t="shared" si="73"/>
        <v>3.3016509110651246</v>
      </c>
      <c r="S55" s="4">
        <f t="shared" si="74"/>
        <v>1.2630844533735561</v>
      </c>
      <c r="T55" s="4" t="str">
        <f t="shared" si="64"/>
        <v>1+0.000073646120245426i</v>
      </c>
      <c r="U55" s="4">
        <f t="shared" si="75"/>
        <v>1.0000000027118754</v>
      </c>
      <c r="V55" s="4">
        <f t="shared" si="76"/>
        <v>7.3646120112279924E-5</v>
      </c>
      <c r="W55" t="str">
        <f t="shared" si="65"/>
        <v>1-0.0000765035897109483i</v>
      </c>
      <c r="X55" s="4">
        <f t="shared" si="77"/>
        <v>1.0000000029263996</v>
      </c>
      <c r="Y55" s="4">
        <f t="shared" si="78"/>
        <v>-7.650358956169491E-5</v>
      </c>
      <c r="Z55" t="str">
        <f t="shared" si="66"/>
        <v>0.999999964829384+0.000331294026825708i</v>
      </c>
      <c r="AA55" s="4">
        <f t="shared" si="79"/>
        <v>1.0000000197072505</v>
      </c>
      <c r="AB55" s="4">
        <f t="shared" si="80"/>
        <v>3.312940263570501E-4</v>
      </c>
      <c r="AC55" s="48" t="str">
        <f t="shared" si="81"/>
        <v>49.9529809773886-157.362667228379i</v>
      </c>
      <c r="AD55" s="20">
        <f t="shared" si="82"/>
        <v>44.354989158941713</v>
      </c>
      <c r="AE55" s="44">
        <f t="shared" si="83"/>
        <v>-72.388553817321053</v>
      </c>
      <c r="AF55" t="str">
        <f t="shared" si="84"/>
        <v>-0.979317078436135</v>
      </c>
      <c r="AG55" t="str">
        <f t="shared" si="85"/>
        <v>147.292240490852i</v>
      </c>
      <c r="AH55">
        <f t="shared" si="86"/>
        <v>147.29224049085201</v>
      </c>
      <c r="AI55">
        <f t="shared" si="87"/>
        <v>1.5707963267948966</v>
      </c>
      <c r="AJ55" t="str">
        <f t="shared" si="67"/>
        <v>0.9996641834653+0.144334612301795i</v>
      </c>
      <c r="AK55">
        <f t="shared" si="88"/>
        <v>1.0100301777727505</v>
      </c>
      <c r="AL55">
        <f t="shared" si="89"/>
        <v>0.14339217064550619</v>
      </c>
      <c r="AM55" t="str">
        <f t="shared" si="68"/>
        <v>1+20.4912964970873i</v>
      </c>
      <c r="AN55">
        <f t="shared" si="90"/>
        <v>20.51568258994914</v>
      </c>
      <c r="AO55">
        <f t="shared" si="91"/>
        <v>1.5220338055956582</v>
      </c>
      <c r="AP55" t="str">
        <f t="shared" si="69"/>
        <v>1+0.138454706061401i</v>
      </c>
      <c r="AQ55">
        <f t="shared" si="92"/>
        <v>1.009539353185674</v>
      </c>
      <c r="AR55">
        <f t="shared" si="93"/>
        <v>0.13758003258800539</v>
      </c>
      <c r="AS55" s="42" t="str">
        <f t="shared" si="94"/>
        <v>-0.136135459966197+0.00743693117586113i</v>
      </c>
      <c r="AT55">
        <f t="shared" si="95"/>
        <v>-17.307633314519716</v>
      </c>
      <c r="AU55" s="44">
        <f t="shared" si="96"/>
        <v>176.87310235622425</v>
      </c>
      <c r="AV55" s="42" t="str">
        <f t="shared" si="70"/>
        <v>-5.63007671621209+21.7941359662009i</v>
      </c>
      <c r="AW55" s="20">
        <f t="shared" si="97"/>
        <v>27.047355844421993</v>
      </c>
      <c r="AX55" s="44">
        <f t="shared" si="98"/>
        <v>104.48454853890318</v>
      </c>
    </row>
    <row r="56" spans="1:50" x14ac:dyDescent="0.3">
      <c r="N56" s="8">
        <v>38</v>
      </c>
      <c r="O56" s="35">
        <f t="shared" si="71"/>
        <v>23.988329190194907</v>
      </c>
      <c r="P56" s="34" t="str">
        <f t="shared" si="72"/>
        <v>545.10556621881</v>
      </c>
      <c r="Q56" s="4" t="str">
        <f t="shared" si="63"/>
        <v>1+3.21986237601599i</v>
      </c>
      <c r="R56" s="4">
        <f t="shared" si="73"/>
        <v>3.3715743682267099</v>
      </c>
      <c r="S56" s="4">
        <f t="shared" si="74"/>
        <v>1.2696686354747924</v>
      </c>
      <c r="T56" s="4" t="str">
        <f t="shared" si="64"/>
        <v>1+0.00007536155875581i</v>
      </c>
      <c r="U56" s="4">
        <f t="shared" si="75"/>
        <v>1.0000000028396823</v>
      </c>
      <c r="V56" s="4">
        <f t="shared" si="76"/>
        <v>7.5361558613141406E-5</v>
      </c>
      <c r="W56" t="str">
        <f t="shared" si="65"/>
        <v>1-0.0000782855872355352i</v>
      </c>
      <c r="X56" s="4">
        <f t="shared" si="77"/>
        <v>1.0000000030643166</v>
      </c>
      <c r="Y56" s="4">
        <f t="shared" si="78"/>
        <v>-7.8285587075607312E-5</v>
      </c>
      <c r="Z56" t="str">
        <f t="shared" si="66"/>
        <v>0.999999963171844+0.000339010856035218i</v>
      </c>
      <c r="AA56" s="4">
        <f t="shared" si="79"/>
        <v>1.0000000206360249</v>
      </c>
      <c r="AB56" s="4">
        <f t="shared" si="80"/>
        <v>3.3901085553304197E-4</v>
      </c>
      <c r="AC56" s="48" t="str">
        <f t="shared" si="81"/>
        <v>47.9001290540115-154.418213949494i</v>
      </c>
      <c r="AD56" s="20">
        <f t="shared" si="82"/>
        <v>44.17295733632087</v>
      </c>
      <c r="AE56" s="44">
        <f t="shared" si="83"/>
        <v>-72.766245618561001</v>
      </c>
      <c r="AF56" t="str">
        <f t="shared" si="84"/>
        <v>-0.979317078436135</v>
      </c>
      <c r="AG56" t="str">
        <f t="shared" si="85"/>
        <v>150.72311751162i</v>
      </c>
      <c r="AH56">
        <f t="shared" si="86"/>
        <v>150.72311751161999</v>
      </c>
      <c r="AI56">
        <f t="shared" si="87"/>
        <v>1.5707963267948966</v>
      </c>
      <c r="AJ56" t="str">
        <f t="shared" si="67"/>
        <v>0.999648356919608+0.147696597311987i</v>
      </c>
      <c r="AK56">
        <f t="shared" si="88"/>
        <v>1.0105004316424666</v>
      </c>
      <c r="AL56">
        <f t="shared" si="89"/>
        <v>0.14668731860539538</v>
      </c>
      <c r="AM56" t="str">
        <f t="shared" si="68"/>
        <v>1+20.9686001082166i</v>
      </c>
      <c r="AN56">
        <f t="shared" si="90"/>
        <v>20.992431743328385</v>
      </c>
      <c r="AO56">
        <f t="shared" si="91"/>
        <v>1.5231420768987969</v>
      </c>
      <c r="AP56" t="str">
        <f t="shared" si="69"/>
        <v>1+0.141679730460923i</v>
      </c>
      <c r="AQ56">
        <f t="shared" si="92"/>
        <v>1.0099867058647256</v>
      </c>
      <c r="AR56">
        <f t="shared" si="93"/>
        <v>0.14074300073649662</v>
      </c>
      <c r="AS56" s="42" t="str">
        <f t="shared" si="94"/>
        <v>-0.136132319002271+0.00730349250504487i</v>
      </c>
      <c r="AT56">
        <f t="shared" si="95"/>
        <v>-17.308292726729558</v>
      </c>
      <c r="AU56" s="44">
        <f t="shared" si="96"/>
        <v>176.92902827911965</v>
      </c>
      <c r="AV56" s="42" t="str">
        <f t="shared" si="70"/>
        <v>-5.3929633804081+21.3711477946701i</v>
      </c>
      <c r="AW56" s="20">
        <f t="shared" si="97"/>
        <v>26.864664609591308</v>
      </c>
      <c r="AX56" s="44">
        <f t="shared" si="98"/>
        <v>104.16278266055866</v>
      </c>
    </row>
    <row r="57" spans="1:50" x14ac:dyDescent="0.3">
      <c r="N57" s="8">
        <v>39</v>
      </c>
      <c r="O57" s="35">
        <f t="shared" si="71"/>
        <v>24.547089156850316</v>
      </c>
      <c r="P57" s="34" t="str">
        <f t="shared" si="72"/>
        <v>545.10556621881</v>
      </c>
      <c r="Q57" s="4" t="str">
        <f t="shared" si="63"/>
        <v>1+3.29486260548561i</v>
      </c>
      <c r="R57" s="4">
        <f t="shared" si="73"/>
        <v>3.4432716403193377</v>
      </c>
      <c r="S57" s="4">
        <f t="shared" si="74"/>
        <v>1.2761290678379189</v>
      </c>
      <c r="T57" s="4" t="str">
        <f t="shared" si="64"/>
        <v>1+0.0000771169549621745i</v>
      </c>
      <c r="U57" s="4">
        <f t="shared" si="75"/>
        <v>1.0000000029735123</v>
      </c>
      <c r="V57" s="4">
        <f t="shared" si="76"/>
        <v>7.7116954809302354E-5</v>
      </c>
      <c r="W57" t="str">
        <f t="shared" si="65"/>
        <v>1-0.0000801090928147066i</v>
      </c>
      <c r="X57" s="4">
        <f t="shared" si="77"/>
        <v>1.0000000032087333</v>
      </c>
      <c r="Y57" s="4">
        <f t="shared" si="78"/>
        <v>-8.0109092643340795E-5</v>
      </c>
      <c r="Z57" t="str">
        <f t="shared" si="66"/>
        <v>0.999999961436187+0.000346907433287937i</v>
      </c>
      <c r="AA57" s="4">
        <f t="shared" si="79"/>
        <v>1.0000000216085712</v>
      </c>
      <c r="AB57" s="4">
        <f t="shared" si="80"/>
        <v>3.4690743274984554E-4</v>
      </c>
      <c r="AC57" s="48" t="str">
        <f t="shared" si="81"/>
        <v>45.923717618586-151.503072083068i</v>
      </c>
      <c r="AD57" s="20">
        <f t="shared" si="82"/>
        <v>43.99018648843839</v>
      </c>
      <c r="AE57" s="44">
        <f t="shared" si="83"/>
        <v>-73.136857469724532</v>
      </c>
      <c r="AF57" t="str">
        <f t="shared" si="84"/>
        <v>-0.979317078436135</v>
      </c>
      <c r="AG57" t="str">
        <f t="shared" si="85"/>
        <v>154.233909924349i</v>
      </c>
      <c r="AH57">
        <f t="shared" si="86"/>
        <v>154.23390992434901</v>
      </c>
      <c r="AI57">
        <f t="shared" si="87"/>
        <v>1.5707963267948966</v>
      </c>
      <c r="AJ57" t="str">
        <f t="shared" si="67"/>
        <v>0.999631784491797+0.151136893013068i</v>
      </c>
      <c r="AK57">
        <f t="shared" si="88"/>
        <v>1.0109926137197531</v>
      </c>
      <c r="AL57">
        <f t="shared" si="89"/>
        <v>0.15005606528078494</v>
      </c>
      <c r="AM57" t="str">
        <f t="shared" si="68"/>
        <v>1+21.4570215486754i</v>
      </c>
      <c r="AN57">
        <f t="shared" si="90"/>
        <v>21.48031130454865</v>
      </c>
      <c r="AO57">
        <f t="shared" si="91"/>
        <v>1.5242252340819697</v>
      </c>
      <c r="AP57" t="str">
        <f t="shared" si="69"/>
        <v>1+0.144979875328888i</v>
      </c>
      <c r="AQ57">
        <f t="shared" si="92"/>
        <v>1.0104549293513194</v>
      </c>
      <c r="AR57">
        <f t="shared" si="93"/>
        <v>0.14397671138972687</v>
      </c>
      <c r="AS57" s="42" t="str">
        <f t="shared" si="94"/>
        <v>-0.136129036196836+0.00717388461253944i</v>
      </c>
      <c r="AT57">
        <f t="shared" si="95"/>
        <v>-17.30894009489348</v>
      </c>
      <c r="AU57" s="44">
        <f t="shared" si="96"/>
        <v>176.98335162011278</v>
      </c>
      <c r="AV57" s="42" t="str">
        <f t="shared" si="70"/>
        <v>-5.16468586042459+20.9534186347024i</v>
      </c>
      <c r="AW57" s="20">
        <f t="shared" si="97"/>
        <v>26.681246393544914</v>
      </c>
      <c r="AX57" s="44">
        <f t="shared" si="98"/>
        <v>103.84649415038824</v>
      </c>
    </row>
    <row r="58" spans="1:50" x14ac:dyDescent="0.3">
      <c r="N58" s="8">
        <v>40</v>
      </c>
      <c r="O58" s="35">
        <f t="shared" si="71"/>
        <v>25.118864315095799</v>
      </c>
      <c r="P58" s="34" t="str">
        <f t="shared" si="72"/>
        <v>545.10556621881</v>
      </c>
      <c r="Q58" s="4" t="str">
        <f t="shared" si="63"/>
        <v>1+3.37160981472135i</v>
      </c>
      <c r="R58" s="4">
        <f t="shared" si="73"/>
        <v>3.5167815887150757</v>
      </c>
      <c r="S58" s="4">
        <f t="shared" si="74"/>
        <v>1.2824670179587434</v>
      </c>
      <c r="T58" s="4" t="str">
        <f t="shared" si="64"/>
        <v>1+0.000078913239598824i</v>
      </c>
      <c r="U58" s="4">
        <f t="shared" si="75"/>
        <v>1.0000000031136496</v>
      </c>
      <c r="V58" s="4">
        <f t="shared" si="76"/>
        <v>7.8913239435018546E-5</v>
      </c>
      <c r="W58" t="str">
        <f t="shared" si="65"/>
        <v>1-0.0000819750732952581i</v>
      </c>
      <c r="X58" s="4">
        <f t="shared" si="77"/>
        <v>1.0000000033599563</v>
      </c>
      <c r="Y58" s="4">
        <f t="shared" si="78"/>
        <v>-8.197507311163632E-5</v>
      </c>
      <c r="Z58" t="str">
        <f t="shared" si="66"/>
        <v>0.99999995961873+0.000354987945453651i</v>
      </c>
      <c r="AA58" s="4">
        <f t="shared" si="79"/>
        <v>1.0000000226269512</v>
      </c>
      <c r="AB58" s="4">
        <f t="shared" si="80"/>
        <v>3.549879448770758E-4</v>
      </c>
      <c r="AC58" s="48" t="str">
        <f t="shared" si="81"/>
        <v>44.0215356922391-148.61861671901i</v>
      </c>
      <c r="AD58" s="20">
        <f t="shared" si="82"/>
        <v>43.806704252594521</v>
      </c>
      <c r="AE58" s="44">
        <f t="shared" si="83"/>
        <v>-73.500462234931121</v>
      </c>
      <c r="AF58" t="str">
        <f t="shared" si="84"/>
        <v>-0.979317078436135</v>
      </c>
      <c r="AG58" t="str">
        <f t="shared" si="85"/>
        <v>157.826479197648i</v>
      </c>
      <c r="AH58">
        <f t="shared" si="86"/>
        <v>157.82647919764801</v>
      </c>
      <c r="AI58">
        <f t="shared" si="87"/>
        <v>1.5707963267948966</v>
      </c>
      <c r="AJ58" t="str">
        <f t="shared" si="67"/>
        <v>0.999614431029525+0.154657323495359i</v>
      </c>
      <c r="AK58">
        <f t="shared" si="88"/>
        <v>1.0115077352315351</v>
      </c>
      <c r="AL58">
        <f t="shared" si="89"/>
        <v>0.15349990593316204</v>
      </c>
      <c r="AM58" t="str">
        <f t="shared" si="68"/>
        <v>1+21.9568197859768i</v>
      </c>
      <c r="AN58">
        <f t="shared" si="90"/>
        <v>21.979579957630271</v>
      </c>
      <c r="AO58">
        <f t="shared" si="91"/>
        <v>1.5252838412773368</v>
      </c>
      <c r="AP58" t="str">
        <f t="shared" si="69"/>
        <v>1+0.14835689044579i</v>
      </c>
      <c r="AQ58">
        <f t="shared" si="92"/>
        <v>1.0109449871000618</v>
      </c>
      <c r="AR58">
        <f t="shared" si="93"/>
        <v>0.14728260844632121</v>
      </c>
      <c r="AS58" s="42" t="str">
        <f t="shared" si="94"/>
        <v>-0.136125605442272+0.00704803593133311i</v>
      </c>
      <c r="AT58">
        <f t="shared" si="95"/>
        <v>-17.309576733759958</v>
      </c>
      <c r="AU58" s="44">
        <f t="shared" si="96"/>
        <v>177.03610175872026</v>
      </c>
      <c r="AV58" s="42" t="str">
        <f t="shared" si="70"/>
        <v>-4.94498884790403+20.5410645461796i</v>
      </c>
      <c r="AW58" s="20">
        <f t="shared" si="97"/>
        <v>26.497127518834574</v>
      </c>
      <c r="AX58" s="44">
        <f t="shared" si="98"/>
        <v>103.53563952378911</v>
      </c>
    </row>
    <row r="59" spans="1:50" x14ac:dyDescent="0.3">
      <c r="N59" s="8">
        <v>41</v>
      </c>
      <c r="O59" s="35">
        <f t="shared" si="71"/>
        <v>25.703957827688647</v>
      </c>
      <c r="P59" s="34" t="str">
        <f t="shared" si="72"/>
        <v>545.10556621881</v>
      </c>
      <c r="Q59" s="4" t="str">
        <f t="shared" si="63"/>
        <v>1+3.45014469610936i</v>
      </c>
      <c r="R59" s="4">
        <f t="shared" si="73"/>
        <v>3.5921439871045742</v>
      </c>
      <c r="S59" s="4">
        <f t="shared" si="74"/>
        <v>1.2886838087975976</v>
      </c>
      <c r="T59" s="4" t="str">
        <f t="shared" si="64"/>
        <v>1+0.0000807513650796485i</v>
      </c>
      <c r="U59" s="4">
        <f t="shared" si="75"/>
        <v>1.0000000032603915</v>
      </c>
      <c r="V59" s="4">
        <f t="shared" si="76"/>
        <v>8.0751364904127802E-5</v>
      </c>
      <c r="W59" t="str">
        <f t="shared" si="65"/>
        <v>1-0.0000838845180447386i</v>
      </c>
      <c r="X59" s="4">
        <f t="shared" si="77"/>
        <v>1.0000000035183061</v>
      </c>
      <c r="Y59" s="4">
        <f t="shared" si="78"/>
        <v>-8.3884517847984327E-5</v>
      </c>
      <c r="Z59" t="str">
        <f t="shared" si="66"/>
        <v>0.999999957715619+0.000363256676926862i</v>
      </c>
      <c r="AA59" s="4">
        <f t="shared" si="79"/>
        <v>1.0000000236933264</v>
      </c>
      <c r="AB59" s="4">
        <f t="shared" si="80"/>
        <v>3.632566763090506E-4</v>
      </c>
      <c r="AC59" s="48" t="str">
        <f t="shared" si="81"/>
        <v>42.191383741754-145.766099965612i</v>
      </c>
      <c r="AD59" s="20">
        <f t="shared" si="82"/>
        <v>43.622537456903139</v>
      </c>
      <c r="AE59" s="44">
        <f t="shared" si="83"/>
        <v>-73.857135961818969</v>
      </c>
      <c r="AF59" t="str">
        <f t="shared" si="84"/>
        <v>-0.979317078436135</v>
      </c>
      <c r="AG59" t="str">
        <f t="shared" si="85"/>
        <v>161.502730159297i</v>
      </c>
      <c r="AH59">
        <f t="shared" si="86"/>
        <v>161.50273015929699</v>
      </c>
      <c r="AI59">
        <f t="shared" si="87"/>
        <v>1.5707963267948966</v>
      </c>
      <c r="AJ59" t="str">
        <f t="shared" si="67"/>
        <v>0.999596259723773+0.158259755337698i</v>
      </c>
      <c r="AK59">
        <f t="shared" si="88"/>
        <v>1.0120468529733713</v>
      </c>
      <c r="AL59">
        <f t="shared" si="89"/>
        <v>0.15702035576609424</v>
      </c>
      <c r="AM59" t="str">
        <f t="shared" si="68"/>
        <v>1+22.4682598197614i</v>
      </c>
      <c r="AN59">
        <f t="shared" si="90"/>
        <v>22.490502424986072</v>
      </c>
      <c r="AO59">
        <f t="shared" si="91"/>
        <v>1.5263184502764269</v>
      </c>
      <c r="AP59" t="str">
        <f t="shared" si="69"/>
        <v>1+0.15181256634974i</v>
      </c>
      <c r="AQ59">
        <f t="shared" si="92"/>
        <v>1.0114578860742023</v>
      </c>
      <c r="AR59">
        <f t="shared" si="93"/>
        <v>0.15066215554639753</v>
      </c>
      <c r="AS59" s="42" t="str">
        <f t="shared" si="94"/>
        <v>-0.136122020395955+0.00692587669926965i</v>
      </c>
      <c r="AT59">
        <f t="shared" si="95"/>
        <v>-17.310203931059135</v>
      </c>
      <c r="AU59" s="44">
        <f t="shared" si="96"/>
        <v>177.0873073558999</v>
      </c>
      <c r="AV59" s="42" t="str">
        <f t="shared" si="70"/>
        <v>-4.73361836293336+20.1341883541248i</v>
      </c>
      <c r="AW59" s="20">
        <f t="shared" si="97"/>
        <v>26.312333525844004</v>
      </c>
      <c r="AX59" s="44">
        <f t="shared" si="98"/>
        <v>103.23017139408091</v>
      </c>
    </row>
    <row r="60" spans="1:50" x14ac:dyDescent="0.3">
      <c r="N60" s="8">
        <v>42</v>
      </c>
      <c r="O60" s="35">
        <f t="shared" si="71"/>
        <v>26.302679918953825</v>
      </c>
      <c r="P60" s="34" t="str">
        <f t="shared" si="72"/>
        <v>545.10556621881</v>
      </c>
      <c r="Q60" s="4" t="str">
        <f t="shared" si="63"/>
        <v>1+3.53050888988331i</v>
      </c>
      <c r="R60" s="4">
        <f t="shared" si="73"/>
        <v>3.6693995450952297</v>
      </c>
      <c r="S60" s="4">
        <f t="shared" si="74"/>
        <v>1.2947808136901566</v>
      </c>
      <c r="T60" s="4" t="str">
        <f t="shared" si="64"/>
        <v>1+0.000082632306003109i</v>
      </c>
      <c r="U60" s="4">
        <f t="shared" si="75"/>
        <v>1.000000003414049</v>
      </c>
      <c r="V60" s="4">
        <f t="shared" si="76"/>
        <v>8.2632305815035179E-5</v>
      </c>
      <c r="W60" t="str">
        <f t="shared" si="65"/>
        <v>1-0.0000858384394760294i</v>
      </c>
      <c r="X60" s="4">
        <f t="shared" si="77"/>
        <v>1.0000000036841188</v>
      </c>
      <c r="Y60" s="4">
        <f t="shared" si="78"/>
        <v>-8.5838439265203381E-5</v>
      </c>
      <c r="Z60" t="str">
        <f t="shared" si="66"/>
        <v>0.999999955722818+0.000371718011898452i</v>
      </c>
      <c r="AA60" s="4">
        <f t="shared" si="79"/>
        <v>1.000000024809959</v>
      </c>
      <c r="AB60" s="4">
        <f t="shared" si="80"/>
        <v>3.7171801123645501E-4</v>
      </c>
      <c r="AC60" s="48" t="str">
        <f t="shared" si="81"/>
        <v>40.431078680507-142.946655938872i</v>
      </c>
      <c r="AD60" s="20">
        <f t="shared" si="82"/>
        <v>43.43771212542255</v>
      </c>
      <c r="AE60" s="44">
        <f t="shared" si="83"/>
        <v>-74.206957590088621</v>
      </c>
      <c r="AF60" t="str">
        <f t="shared" si="84"/>
        <v>-0.979317078436135</v>
      </c>
      <c r="AG60" t="str">
        <f t="shared" si="85"/>
        <v>165.264612006218i</v>
      </c>
      <c r="AH60">
        <f t="shared" si="86"/>
        <v>165.26461200621799</v>
      </c>
      <c r="AI60">
        <f t="shared" si="87"/>
        <v>1.5707963267948966</v>
      </c>
      <c r="AJ60" t="str">
        <f t="shared" si="67"/>
        <v>0.999577232030765+0.161946098597133i</v>
      </c>
      <c r="AK60">
        <f t="shared" si="88"/>
        <v>1.0126110712633545</v>
      </c>
      <c r="AL60">
        <f t="shared" si="89"/>
        <v>0.16061894941657287</v>
      </c>
      <c r="AM60" t="str">
        <f t="shared" si="68"/>
        <v>1+22.991612822305i</v>
      </c>
      <c r="AN60">
        <f t="shared" si="90"/>
        <v>23.01334960779894</v>
      </c>
      <c r="AO60">
        <f t="shared" si="91"/>
        <v>1.5273296007778894</v>
      </c>
      <c r="AP60" t="str">
        <f t="shared" si="69"/>
        <v>1+0.155348735285845i</v>
      </c>
      <c r="AQ60">
        <f t="shared" si="92"/>
        <v>1.0119946786198588</v>
      </c>
      <c r="AR60">
        <f t="shared" si="93"/>
        <v>0.15411683561919728</v>
      </c>
      <c r="AS60" s="42" t="str">
        <f t="shared" si="94"/>
        <v>-0.136118274473879+0.00680733891035917i</v>
      </c>
      <c r="AT60">
        <f t="shared" si="95"/>
        <v>-17.310822949753675</v>
      </c>
      <c r="AU60" s="44">
        <f t="shared" si="96"/>
        <v>177.13699637147062</v>
      </c>
      <c r="AV60" s="42" t="str">
        <f t="shared" si="70"/>
        <v>-4.53032233202984+19.7328802033001i</v>
      </c>
      <c r="AW60" s="20">
        <f t="shared" si="97"/>
        <v>26.126889175668865</v>
      </c>
      <c r="AX60" s="44">
        <f t="shared" si="98"/>
        <v>102.93003878138201</v>
      </c>
    </row>
    <row r="61" spans="1:50" ht="15.6" x14ac:dyDescent="0.3">
      <c r="A61" s="36" t="s">
        <v>215</v>
      </c>
      <c r="N61" s="8">
        <v>43</v>
      </c>
      <c r="O61" s="35">
        <f t="shared" si="71"/>
        <v>26.915348039269158</v>
      </c>
      <c r="P61" s="34" t="str">
        <f t="shared" si="72"/>
        <v>545.10556621881</v>
      </c>
      <c r="Q61" s="4" t="str">
        <f t="shared" si="63"/>
        <v>1+3.61274500620251i</v>
      </c>
      <c r="R61" s="4">
        <f t="shared" si="73"/>
        <v>3.7485899322066656</v>
      </c>
      <c r="S61" s="4">
        <f t="shared" si="74"/>
        <v>1.3007594514701408</v>
      </c>
      <c r="T61" s="4" t="str">
        <f t="shared" si="64"/>
        <v>1+0.0000845570596689805i</v>
      </c>
      <c r="U61" s="4">
        <f t="shared" si="75"/>
        <v>1.0000000035749481</v>
      </c>
      <c r="V61" s="4">
        <f t="shared" si="76"/>
        <v>8.4557059467455764E-5</v>
      </c>
      <c r="W61" t="str">
        <f t="shared" si="65"/>
        <v>1-0.0000878378735841367i</v>
      </c>
      <c r="X61" s="4">
        <f t="shared" si="77"/>
        <v>1.0000000038577459</v>
      </c>
      <c r="Y61" s="4">
        <f t="shared" si="78"/>
        <v>-8.7837873358232569E-5</v>
      </c>
      <c r="Z61" t="str">
        <f t="shared" si="66"/>
        <v>0.999999953636099+0.00038037643668022i</v>
      </c>
      <c r="AA61" s="4">
        <f t="shared" si="79"/>
        <v>1.0000000259792163</v>
      </c>
      <c r="AB61" s="4">
        <f t="shared" si="80"/>
        <v>3.8037643597087738E-4</v>
      </c>
      <c r="AC61" s="48" t="str">
        <f t="shared" si="81"/>
        <v>38.7384583932738-140.161305801694i</v>
      </c>
      <c r="AD61" s="20">
        <f t="shared" si="82"/>
        <v>43.25225348503335</v>
      </c>
      <c r="AE61" s="44">
        <f t="shared" si="83"/>
        <v>-74.550008672187744</v>
      </c>
      <c r="AF61" t="str">
        <f t="shared" si="84"/>
        <v>-0.979317078436135</v>
      </c>
      <c r="AG61" t="str">
        <f t="shared" si="85"/>
        <v>169.114119337961i</v>
      </c>
      <c r="AH61">
        <f t="shared" si="86"/>
        <v>169.114119337961</v>
      </c>
      <c r="AI61">
        <f t="shared" si="87"/>
        <v>1.5707963267948966</v>
      </c>
      <c r="AJ61" t="str">
        <f t="shared" si="67"/>
        <v>0.999557307590213+0.165718307821655i</v>
      </c>
      <c r="AK61">
        <f t="shared" si="88"/>
        <v>1.0132015439705313</v>
      </c>
      <c r="AL61">
        <f t="shared" si="89"/>
        <v>0.16429724037543045</v>
      </c>
      <c r="AM61" t="str">
        <f t="shared" si="68"/>
        <v>1+23.5271562822971i</v>
      </c>
      <c r="AN61">
        <f t="shared" si="90"/>
        <v>23.548398729672297</v>
      </c>
      <c r="AO61">
        <f t="shared" si="91"/>
        <v>1.5283178206317884</v>
      </c>
      <c r="AP61" t="str">
        <f t="shared" si="69"/>
        <v>1+0.158967272177684i</v>
      </c>
      <c r="AQ61">
        <f t="shared" si="92"/>
        <v>1.0125564644125353</v>
      </c>
      <c r="AR61">
        <f t="shared" si="93"/>
        <v>0.15764815036430371</v>
      </c>
      <c r="AS61" s="42" t="str">
        <f t="shared" si="94"/>
        <v>-0.13611436084437+0.00669235626638269i</v>
      </c>
      <c r="AT61">
        <f t="shared" si="95"/>
        <v>-17.311435030204237</v>
      </c>
      <c r="AU61" s="44">
        <f t="shared" si="96"/>
        <v>177.18519608159326</v>
      </c>
      <c r="AV61" s="42" t="str">
        <f t="shared" si="70"/>
        <v>-4.33485111111034+19.3372181190881i</v>
      </c>
      <c r="AW61" s="20">
        <f t="shared" si="97"/>
        <v>25.940818454829117</v>
      </c>
      <c r="AX61" s="44">
        <f t="shared" si="98"/>
        <v>102.63518740940555</v>
      </c>
    </row>
    <row r="62" spans="1:50" x14ac:dyDescent="0.3">
      <c r="A62" t="s">
        <v>180</v>
      </c>
      <c r="N62" s="8">
        <v>44</v>
      </c>
      <c r="O62" s="35">
        <f t="shared" si="71"/>
        <v>27.542287033381665</v>
      </c>
      <c r="P62" s="34" t="str">
        <f t="shared" si="72"/>
        <v>545.10556621881</v>
      </c>
      <c r="Q62" s="4" t="str">
        <f t="shared" si="63"/>
        <v>1+3.69689664774432i</v>
      </c>
      <c r="R62" s="4">
        <f t="shared" si="73"/>
        <v>3.8297578022772134</v>
      </c>
      <c r="S62" s="4">
        <f t="shared" si="74"/>
        <v>1.3066211818053517</v>
      </c>
      <c r="T62" s="4" t="str">
        <f t="shared" si="64"/>
        <v>1+0.0000865266466071335i</v>
      </c>
      <c r="U62" s="4">
        <f t="shared" si="75"/>
        <v>1.0000000037434302</v>
      </c>
      <c r="V62" s="4">
        <f t="shared" si="76"/>
        <v>8.652664639119585E-5</v>
      </c>
      <c r="W62" t="str">
        <f t="shared" si="65"/>
        <v>1-0.00008988388049549i</v>
      </c>
      <c r="X62" s="4">
        <f t="shared" si="77"/>
        <v>1.000000004039556</v>
      </c>
      <c r="Y62" s="4">
        <f t="shared" si="78"/>
        <v>-8.9883880253429358E-5</v>
      </c>
      <c r="Z62" t="str">
        <f t="shared" si="66"/>
        <v>0.999999951451035+0.000389236542083594i</v>
      </c>
      <c r="AA62" s="4">
        <f t="shared" si="79"/>
        <v>1.0000000272035787</v>
      </c>
      <c r="AB62" s="4">
        <f t="shared" si="80"/>
        <v>3.8923654132351986E-4</v>
      </c>
      <c r="AC62" s="48" t="str">
        <f t="shared" si="81"/>
        <v>37.1113858059142-137.410962821493i</v>
      </c>
      <c r="AD62" s="20">
        <f t="shared" si="82"/>
        <v>43.066185973892516</v>
      </c>
      <c r="AE62" s="44">
        <f t="shared" si="83"/>
        <v>-74.886373106223672</v>
      </c>
      <c r="AF62" t="str">
        <f t="shared" si="84"/>
        <v>-0.979317078436135</v>
      </c>
      <c r="AG62" t="str">
        <f t="shared" si="85"/>
        <v>173.053293214267i</v>
      </c>
      <c r="AH62">
        <f t="shared" si="86"/>
        <v>173.053293214267</v>
      </c>
      <c r="AI62">
        <f t="shared" si="87"/>
        <v>1.5707963267948966</v>
      </c>
      <c r="AJ62" t="str">
        <f t="shared" si="67"/>
        <v>0.999536444139706+0.169578383086524i</v>
      </c>
      <c r="AK62">
        <f t="shared" si="88"/>
        <v>1.0138194766198207</v>
      </c>
      <c r="AL62">
        <f t="shared" si="89"/>
        <v>0.16805680033215331</v>
      </c>
      <c r="AM62" t="str">
        <f t="shared" si="68"/>
        <v>1+24.0751741519688i</v>
      </c>
      <c r="AN62">
        <f t="shared" si="90"/>
        <v>24.095933483632184</v>
      </c>
      <c r="AO62">
        <f t="shared" si="91"/>
        <v>1.5292836260803793</v>
      </c>
      <c r="AP62" t="str">
        <f t="shared" si="69"/>
        <v>1+0.162670095621411i</v>
      </c>
      <c r="AQ62">
        <f t="shared" si="92"/>
        <v>1.0131443924779326</v>
      </c>
      <c r="AR62">
        <f t="shared" si="93"/>
        <v>0.16125761966197563</v>
      </c>
      <c r="AS62" s="42" t="str">
        <f t="shared" si="94"/>
        <v>-0.136110272421928+0.00658086412874109i</v>
      </c>
      <c r="AT62">
        <f t="shared" si="95"/>
        <v>-17.312041392250819</v>
      </c>
      <c r="AU62" s="44">
        <f t="shared" si="96"/>
        <v>177.23193309632029</v>
      </c>
      <c r="AV62" s="42" t="str">
        <f t="shared" si="70"/>
        <v>-4.14695795587052+18.9472685710108i</v>
      </c>
      <c r="AW62" s="20">
        <f t="shared" si="97"/>
        <v>25.754144581641675</v>
      </c>
      <c r="AX62" s="44">
        <f t="shared" si="98"/>
        <v>102.34555999009666</v>
      </c>
    </row>
    <row r="63" spans="1:50" x14ac:dyDescent="0.3">
      <c r="A63" t="s">
        <v>178</v>
      </c>
      <c r="B63" s="3">
        <f>RFBT_iso</f>
        <v>29400000</v>
      </c>
      <c r="C63" s="2" t="s">
        <v>35</v>
      </c>
      <c r="E63" t="s">
        <v>181</v>
      </c>
      <c r="N63" s="8">
        <v>45</v>
      </c>
      <c r="O63" s="35">
        <f t="shared" si="71"/>
        <v>28.183829312644548</v>
      </c>
      <c r="P63" s="34" t="str">
        <f t="shared" si="72"/>
        <v>545.10556621881</v>
      </c>
      <c r="Q63" s="4" t="str">
        <f t="shared" si="63"/>
        <v>1+3.78300843282298i</v>
      </c>
      <c r="R63" s="4">
        <f t="shared" si="73"/>
        <v>3.9129468182956146</v>
      </c>
      <c r="S63" s="4">
        <f t="shared" si="74"/>
        <v>1.3123675007472222</v>
      </c>
      <c r="T63" s="4" t="str">
        <f t="shared" si="64"/>
        <v>1+0.000088542111118633i</v>
      </c>
      <c r="U63" s="4">
        <f t="shared" si="75"/>
        <v>1.0000000039198527</v>
      </c>
      <c r="V63" s="4">
        <f t="shared" si="76"/>
        <v>8.8542110887251645E-5</v>
      </c>
      <c r="W63" t="str">
        <f t="shared" si="65"/>
        <v>1-0.0000919775450300357i</v>
      </c>
      <c r="X63" s="4">
        <f t="shared" si="77"/>
        <v>1.0000000042299344</v>
      </c>
      <c r="Y63" s="4">
        <f t="shared" si="78"/>
        <v>-9.1977544770663046E-5</v>
      </c>
      <c r="Z63" t="str">
        <f t="shared" si="66"/>
        <v>0.999999949162993+0.000398303025853735i</v>
      </c>
      <c r="AA63" s="4">
        <f t="shared" si="79"/>
        <v>1.0000000284856441</v>
      </c>
      <c r="AB63" s="4">
        <f t="shared" si="80"/>
        <v>3.9830302503930084E-4</v>
      </c>
      <c r="AC63" s="48" t="str">
        <f t="shared" si="81"/>
        <v>35.5477525218851-134.696437417975i</v>
      </c>
      <c r="AD63" s="20">
        <f t="shared" si="82"/>
        <v>42.879533251299407</v>
      </c>
      <c r="AE63" s="44">
        <f t="shared" si="83"/>
        <v>-75.216136881112135</v>
      </c>
      <c r="AF63" t="str">
        <f t="shared" si="84"/>
        <v>-0.979317078436135</v>
      </c>
      <c r="AG63" t="str">
        <f t="shared" si="85"/>
        <v>177.084222237266i</v>
      </c>
      <c r="AH63">
        <f t="shared" si="86"/>
        <v>177.084222237266</v>
      </c>
      <c r="AI63">
        <f t="shared" si="87"/>
        <v>1.5707963267948966</v>
      </c>
      <c r="AJ63" t="str">
        <f t="shared" si="67"/>
        <v>0.99951459742507+0.173528371054741i</v>
      </c>
      <c r="AK63">
        <f t="shared" si="88"/>
        <v>1.014466128575376</v>
      </c>
      <c r="AL63">
        <f t="shared" si="89"/>
        <v>0.17189921843919551</v>
      </c>
      <c r="AM63" t="str">
        <f t="shared" si="68"/>
        <v>1+24.6359569976484i</v>
      </c>
      <c r="AN63">
        <f t="shared" si="90"/>
        <v>24.656244182559139</v>
      </c>
      <c r="AO63">
        <f t="shared" si="91"/>
        <v>1.5302275219953141</v>
      </c>
      <c r="AP63" t="str">
        <f t="shared" si="69"/>
        <v>1+0.16645916890303i</v>
      </c>
      <c r="AQ63">
        <f t="shared" si="92"/>
        <v>1.01375966328903</v>
      </c>
      <c r="AR63">
        <f t="shared" si="93"/>
        <v>0.16494678090792778</v>
      </c>
      <c r="AS63" s="42" t="str">
        <f t="shared" si="94"/>
        <v>-0.136106001861252+0.00647279947049926i</v>
      </c>
      <c r="AT63">
        <f t="shared" si="95"/>
        <v>-17.312643237209745</v>
      </c>
      <c r="AU63" s="44">
        <f t="shared" si="96"/>
        <v>177.27723337722387</v>
      </c>
      <c r="AV63" s="42" t="str">
        <f t="shared" si="70"/>
        <v>-3.96639944210981+18.563087035616i</v>
      </c>
      <c r="AW63" s="20">
        <f t="shared" si="97"/>
        <v>25.566890014089651</v>
      </c>
      <c r="AX63" s="44">
        <f t="shared" si="98"/>
        <v>102.06109649611174</v>
      </c>
    </row>
    <row r="64" spans="1:50" x14ac:dyDescent="0.3">
      <c r="A64" t="s">
        <v>179</v>
      </c>
      <c r="B64" s="3">
        <f>RFBB_iso</f>
        <v>499000</v>
      </c>
      <c r="C64" s="2" t="s">
        <v>35</v>
      </c>
      <c r="E64" t="s">
        <v>182</v>
      </c>
      <c r="N64" s="8">
        <v>46</v>
      </c>
      <c r="O64" s="35">
        <f t="shared" si="71"/>
        <v>28.840315031266066</v>
      </c>
      <c r="P64" s="34" t="str">
        <f t="shared" si="72"/>
        <v>545.10556621881</v>
      </c>
      <c r="Q64" s="4" t="str">
        <f t="shared" si="63"/>
        <v>1+3.87112601904675i</v>
      </c>
      <c r="R64" s="4">
        <f t="shared" si="73"/>
        <v>3.9982016776721929</v>
      </c>
      <c r="S64" s="4">
        <f t="shared" si="74"/>
        <v>1.3179999364929025</v>
      </c>
      <c r="T64" s="4" t="str">
        <f t="shared" si="64"/>
        <v>1+0.000090604521829441i</v>
      </c>
      <c r="U64" s="4">
        <f t="shared" si="75"/>
        <v>1.0000000041045896</v>
      </c>
      <c r="V64" s="4">
        <f t="shared" si="76"/>
        <v>9.0604521581511409E-5</v>
      </c>
      <c r="W64" t="str">
        <f t="shared" si="65"/>
        <v>1-0.000094119977276423i</v>
      </c>
      <c r="X64" s="4">
        <f t="shared" si="77"/>
        <v>1.0000000044292849</v>
      </c>
      <c r="Y64" s="4">
        <f t="shared" si="78"/>
        <v>-9.4119976998500207E-5</v>
      </c>
      <c r="Z64" t="str">
        <f t="shared" si="66"/>
        <v>0.999999946767119+0.000407580695160347i</v>
      </c>
      <c r="AA64" s="4">
        <f t="shared" si="79"/>
        <v>1.0000000298281315</v>
      </c>
      <c r="AB64" s="4">
        <f t="shared" si="80"/>
        <v>4.075806942876649E-4</v>
      </c>
      <c r="AC64" s="48" t="str">
        <f t="shared" si="81"/>
        <v>34.0454820481661-132.018442176016i</v>
      </c>
      <c r="AD64" s="20">
        <f t="shared" si="82"/>
        <v>42.692318208820609</v>
      </c>
      <c r="AE64" s="44">
        <f t="shared" si="83"/>
        <v>-75.539387833905977</v>
      </c>
      <c r="AF64" t="str">
        <f t="shared" si="84"/>
        <v>-0.979317078436135</v>
      </c>
      <c r="AG64" t="str">
        <f t="shared" si="85"/>
        <v>181.209043658882i</v>
      </c>
      <c r="AH64">
        <f t="shared" si="86"/>
        <v>181.209043658882</v>
      </c>
      <c r="AI64">
        <f t="shared" si="87"/>
        <v>1.5707963267948966</v>
      </c>
      <c r="AJ64" t="str">
        <f t="shared" si="67"/>
        <v>0.999491721106494+0.177570366062211i</v>
      </c>
      <c r="AK64">
        <f t="shared" si="88"/>
        <v>1.0151428153042747</v>
      </c>
      <c r="AL64">
        <f t="shared" si="89"/>
        <v>0.17582610049068417</v>
      </c>
      <c r="AM64" t="str">
        <f t="shared" si="68"/>
        <v>1+25.2098021538237i</v>
      </c>
      <c r="AN64">
        <f t="shared" si="90"/>
        <v>25.229627913128923</v>
      </c>
      <c r="AO64">
        <f t="shared" si="91"/>
        <v>1.5311500021112334</v>
      </c>
      <c r="AP64" t="str">
        <f t="shared" si="69"/>
        <v>1+0.170336501039349i</v>
      </c>
      <c r="AQ64">
        <f t="shared" si="92"/>
        <v>1.0144035309413746</v>
      </c>
      <c r="AR64">
        <f t="shared" si="93"/>
        <v>0.16871718826763857</v>
      </c>
      <c r="AS64" s="42" t="str">
        <f t="shared" si="94"/>
        <v>-0.136101541551458+0.00636810082857737i</v>
      </c>
      <c r="AT64">
        <f t="shared" si="95"/>
        <v>-17.313241749788961</v>
      </c>
      <c r="AU64" s="44">
        <f t="shared" si="96"/>
        <v>177.32112225511131</v>
      </c>
      <c r="AV64" s="42" t="str">
        <f t="shared" si="70"/>
        <v>-3.79293583860931+18.184718555818i</v>
      </c>
      <c r="AW64" s="20">
        <f t="shared" si="97"/>
        <v>25.379076459031626</v>
      </c>
      <c r="AX64" s="44">
        <f t="shared" si="98"/>
        <v>101.78173442120531</v>
      </c>
    </row>
    <row r="65" spans="1:50" x14ac:dyDescent="0.3">
      <c r="A65" t="s">
        <v>168</v>
      </c>
      <c r="B65" s="3">
        <f>Rcomp_iso</f>
        <v>200000</v>
      </c>
      <c r="C65" s="2" t="s">
        <v>35</v>
      </c>
      <c r="E65" t="s">
        <v>175</v>
      </c>
      <c r="N65" s="8">
        <v>47</v>
      </c>
      <c r="O65" s="35">
        <f t="shared" si="71"/>
        <v>29.512092266663863</v>
      </c>
      <c r="P65" s="34" t="str">
        <f t="shared" si="72"/>
        <v>545.10556621881</v>
      </c>
      <c r="Q65" s="4" t="str">
        <f t="shared" si="63"/>
        <v>1+3.96129612752623i</v>
      </c>
      <c r="R65" s="4">
        <f t="shared" si="73"/>
        <v>4.0855681379649393</v>
      </c>
      <c r="S65" s="4">
        <f t="shared" si="74"/>
        <v>1.3235200453579468</v>
      </c>
      <c r="T65" s="4" t="str">
        <f t="shared" si="64"/>
        <v>1+0.0000927149722570155i</v>
      </c>
      <c r="U65" s="4">
        <f t="shared" si="75"/>
        <v>1.000000004298033</v>
      </c>
      <c r="V65" s="4">
        <f t="shared" si="76"/>
        <v>9.2714971991354165E-5</v>
      </c>
      <c r="W65" t="str">
        <f t="shared" si="65"/>
        <v>1-0.0000963123131805874i</v>
      </c>
      <c r="X65" s="4">
        <f t="shared" si="77"/>
        <v>1.0000000046380308</v>
      </c>
      <c r="Y65" s="4">
        <f t="shared" si="78"/>
        <v>-9.6312312882787748E-5</v>
      </c>
      <c r="Z65" t="str">
        <f t="shared" si="66"/>
        <v>0.99999994425833+0.000417074469146501i</v>
      </c>
      <c r="AA65" s="4">
        <f t="shared" si="79"/>
        <v>1.0000000312338875</v>
      </c>
      <c r="AB65" s="4">
        <f t="shared" si="80"/>
        <v>4.1707446821140549E-4</v>
      </c>
      <c r="AC65" s="48" t="str">
        <f t="shared" si="81"/>
        <v>32.6025326335106-129.37759680149i</v>
      </c>
      <c r="AD65" s="20">
        <f t="shared" si="82"/>
        <v>42.504562982526444</v>
      </c>
      <c r="AE65" s="44">
        <f t="shared" si="83"/>
        <v>-75.856215419195379</v>
      </c>
      <c r="AF65" t="str">
        <f t="shared" si="84"/>
        <v>-0.979317078436135</v>
      </c>
      <c r="AG65" t="str">
        <f t="shared" si="85"/>
        <v>185.429944514031i</v>
      </c>
      <c r="AH65">
        <f t="shared" si="86"/>
        <v>185.42994451403101</v>
      </c>
      <c r="AI65">
        <f t="shared" si="87"/>
        <v>1.5707963267948966</v>
      </c>
      <c r="AJ65" t="str">
        <f t="shared" si="67"/>
        <v>0.999467766660238+0.181706511228189i</v>
      </c>
      <c r="AK65">
        <f t="shared" si="88"/>
        <v>1.0158509107223972</v>
      </c>
      <c r="AL65">
        <f t="shared" si="89"/>
        <v>0.17983906801024052</v>
      </c>
      <c r="AM65" t="str">
        <f t="shared" si="68"/>
        <v>1+25.797013880792i</v>
      </c>
      <c r="AN65">
        <f t="shared" si="90"/>
        <v>25.816388693343132</v>
      </c>
      <c r="AO65">
        <f t="shared" si="91"/>
        <v>1.5320515492557032</v>
      </c>
      <c r="AP65" t="str">
        <f t="shared" si="69"/>
        <v>1+0.17430414784319i</v>
      </c>
      <c r="AQ65">
        <f t="shared" si="92"/>
        <v>1.0150773054084801</v>
      </c>
      <c r="AR65">
        <f t="shared" si="93"/>
        <v>0.17257041184512342</v>
      </c>
      <c r="AS65" s="42" t="str">
        <f t="shared" si="94"/>
        <v>-0.13609688361057+0.00626670825604101i</v>
      </c>
      <c r="AT65">
        <f t="shared" si="95"/>
        <v>-17.313838099919629</v>
      </c>
      <c r="AU65" s="44">
        <f t="shared" si="96"/>
        <v>177.36362444783799</v>
      </c>
      <c r="AV65" s="42" t="str">
        <f t="shared" si="70"/>
        <v>-3.62633143521006+17.8121982941299i</v>
      </c>
      <c r="AW65" s="20">
        <f t="shared" si="97"/>
        <v>25.190724882606816</v>
      </c>
      <c r="AX65" s="44">
        <f t="shared" si="98"/>
        <v>101.50740902864261</v>
      </c>
    </row>
    <row r="66" spans="1:50" x14ac:dyDescent="0.3">
      <c r="A66" t="s">
        <v>173</v>
      </c>
      <c r="B66" s="3">
        <f>Ccomp_iso</f>
        <v>4.7000000000000007E-9</v>
      </c>
      <c r="C66" s="2" t="s">
        <v>151</v>
      </c>
      <c r="E66" t="s">
        <v>176</v>
      </c>
      <c r="N66" s="8">
        <v>48</v>
      </c>
      <c r="O66" s="35">
        <f t="shared" si="71"/>
        <v>30.199517204020164</v>
      </c>
      <c r="P66" s="34" t="str">
        <f t="shared" si="72"/>
        <v>545.10556621881</v>
      </c>
      <c r="Q66" s="4" t="str">
        <f t="shared" si="63"/>
        <v>1+4.05356656764648i</v>
      </c>
      <c r="R66" s="4">
        <f t="shared" si="73"/>
        <v>4.1750930430759583</v>
      </c>
      <c r="S66" s="4">
        <f t="shared" si="74"/>
        <v>1.3289294079567635</v>
      </c>
      <c r="T66" s="4" t="str">
        <f t="shared" si="64"/>
        <v>1+0.0000948745813901085i</v>
      </c>
      <c r="U66" s="4">
        <f t="shared" si="75"/>
        <v>1.000000004500593</v>
      </c>
      <c r="V66" s="4">
        <f t="shared" si="76"/>
        <v>9.4874581105447249E-5</v>
      </c>
      <c r="W66" t="str">
        <f t="shared" si="65"/>
        <v>1-0.0000985557151480444i</v>
      </c>
      <c r="X66" s="4">
        <f t="shared" si="77"/>
        <v>1.0000000048566144</v>
      </c>
      <c r="Y66" s="4">
        <f t="shared" si="78"/>
        <v>-9.8555714828946328E-5</v>
      </c>
      <c r="Z66" t="str">
        <f t="shared" si="66"/>
        <v>0.999999941631306+0.00042678938153683i</v>
      </c>
      <c r="AA66" s="4">
        <f t="shared" si="79"/>
        <v>1.0000000327058953</v>
      </c>
      <c r="AB66" s="4">
        <f t="shared" si="80"/>
        <v>4.2678938053485716E-4</v>
      </c>
      <c r="AC66" s="48" t="str">
        <f t="shared" si="81"/>
        <v>31.2168997420611-126.77443300068i</v>
      </c>
      <c r="AD66" s="20">
        <f t="shared" si="82"/>
        <v>42.316288966200617</v>
      </c>
      <c r="AE66" s="44">
        <f t="shared" si="83"/>
        <v>-76.16671049041355</v>
      </c>
      <c r="AF66" t="str">
        <f t="shared" si="84"/>
        <v>-0.979317078436135</v>
      </c>
      <c r="AG66" t="str">
        <f t="shared" si="85"/>
        <v>189.749162780217i</v>
      </c>
      <c r="AH66">
        <f t="shared" si="86"/>
        <v>189.74916278021701</v>
      </c>
      <c r="AI66">
        <f t="shared" si="87"/>
        <v>1.5707963267948966</v>
      </c>
      <c r="AJ66" t="str">
        <f t="shared" si="67"/>
        <v>0.99944268327571+0.18593899959159i</v>
      </c>
      <c r="AK66">
        <f t="shared" si="88"/>
        <v>1.0165918496242592</v>
      </c>
      <c r="AL66">
        <f t="shared" si="89"/>
        <v>0.18393975724242678</v>
      </c>
      <c r="AM66" t="str">
        <f t="shared" si="68"/>
        <v>1+26.3979035259838i</v>
      </c>
      <c r="AN66">
        <f t="shared" si="90"/>
        <v>26.416837633735568</v>
      </c>
      <c r="AO66">
        <f t="shared" si="91"/>
        <v>1.5329326355754813</v>
      </c>
      <c r="AP66" t="str">
        <f t="shared" si="69"/>
        <v>1+0.178364213013404i</v>
      </c>
      <c r="AQ66">
        <f t="shared" si="92"/>
        <v>1.0157823548791793</v>
      </c>
      <c r="AR66">
        <f t="shared" si="93"/>
        <v>0.17650803676087554</v>
      </c>
      <c r="AS66" s="42" t="str">
        <f t="shared" si="94"/>
        <v>-0.136092019880318+0.00616856327444732i</v>
      </c>
      <c r="AT66">
        <f t="shared" si="95"/>
        <v>-17.31443344450485</v>
      </c>
      <c r="AU66" s="44">
        <f t="shared" si="96"/>
        <v>177.40476407822717</v>
      </c>
      <c r="AV66" s="42" t="str">
        <f t="shared" si="70"/>
        <v>-3.4663548287516+17.4455520775356i</v>
      </c>
      <c r="AW66" s="20">
        <f t="shared" si="97"/>
        <v>25.001855521695774</v>
      </c>
      <c r="AX66" s="44">
        <f t="shared" si="98"/>
        <v>101.23805358781362</v>
      </c>
    </row>
    <row r="67" spans="1:50" x14ac:dyDescent="0.3">
      <c r="A67" t="s">
        <v>174</v>
      </c>
      <c r="B67" s="3">
        <f>CHF</f>
        <v>7.2E-10</v>
      </c>
      <c r="C67" s="2" t="s">
        <v>151</v>
      </c>
      <c r="E67" t="s">
        <v>177</v>
      </c>
      <c r="N67" s="8">
        <v>49</v>
      </c>
      <c r="O67" s="35">
        <f t="shared" si="71"/>
        <v>30.902954325135919</v>
      </c>
      <c r="P67" s="34" t="str">
        <f t="shared" si="72"/>
        <v>545.10556621881</v>
      </c>
      <c r="Q67" s="4" t="str">
        <f t="shared" si="63"/>
        <v>1+4.14798626241619i</v>
      </c>
      <c r="R67" s="4">
        <f t="shared" si="73"/>
        <v>4.2668243499344367</v>
      </c>
      <c r="S67" s="4">
        <f t="shared" si="74"/>
        <v>1.3342296255872448</v>
      </c>
      <c r="T67" s="4" t="str">
        <f t="shared" si="64"/>
        <v>1+0.000097084494282068i</v>
      </c>
      <c r="U67" s="4">
        <f t="shared" si="75"/>
        <v>1.0000000047126996</v>
      </c>
      <c r="V67" s="4">
        <f t="shared" si="76"/>
        <v>9.7084493977047967E-5</v>
      </c>
      <c r="W67" t="str">
        <f t="shared" si="65"/>
        <v>1-0.000100851372660212i</v>
      </c>
      <c r="X67" s="4">
        <f t="shared" si="77"/>
        <v>1.0000000050854996</v>
      </c>
      <c r="Y67" s="4">
        <f t="shared" si="78"/>
        <v>-1.0085137231829226E-4</v>
      </c>
      <c r="Z67" t="str">
        <f t="shared" si="66"/>
        <v>0.999999938880474+0.000436730583306475i</v>
      </c>
      <c r="AA67" s="4">
        <f t="shared" si="79"/>
        <v>1.0000000342472766</v>
      </c>
      <c r="AB67" s="4">
        <f t="shared" si="80"/>
        <v>4.3673058223284183E-4</v>
      </c>
      <c r="AC67" s="48" t="str">
        <f t="shared" si="81"/>
        <v>29.8866181852571-124.209399266553i</v>
      </c>
      <c r="AD67" s="20">
        <f t="shared" si="82"/>
        <v>42.127516825394423</v>
      </c>
      <c r="AE67" s="44">
        <f t="shared" si="83"/>
        <v>-76.470965092846328</v>
      </c>
      <c r="AF67" t="str">
        <f t="shared" si="84"/>
        <v>-0.979317078436135</v>
      </c>
      <c r="AG67" t="str">
        <f t="shared" si="85"/>
        <v>194.168988564136i</v>
      </c>
      <c r="AH67">
        <f t="shared" si="86"/>
        <v>194.16898856413599</v>
      </c>
      <c r="AI67">
        <f t="shared" si="87"/>
        <v>1.5707963267948966</v>
      </c>
      <c r="AJ67" t="str">
        <f t="shared" si="67"/>
        <v>0.99941641774769+0.190270075273768i</v>
      </c>
      <c r="AK67">
        <f t="shared" si="88"/>
        <v>1.0173671301984897</v>
      </c>
      <c r="AL67">
        <f t="shared" si="89"/>
        <v>0.18812981804215873</v>
      </c>
      <c r="AM67" t="str">
        <f t="shared" si="68"/>
        <v>1+27.0127896890426i</v>
      </c>
      <c r="AN67">
        <f t="shared" si="90"/>
        <v>27.031293102336893</v>
      </c>
      <c r="AO67">
        <f t="shared" si="91"/>
        <v>1.5337937227590834</v>
      </c>
      <c r="AP67" t="str">
        <f t="shared" si="69"/>
        <v>1+0.182518849250288i</v>
      </c>
      <c r="AQ67">
        <f t="shared" si="92"/>
        <v>1.0165201081787065</v>
      </c>
      <c r="AR67">
        <f t="shared" si="93"/>
        <v>0.18053166213351815</v>
      </c>
      <c r="AS67" s="42" t="str">
        <f t="shared" si="94"/>
        <v>-0.136086941921297+0.00607360882620027i</v>
      </c>
      <c r="AT67">
        <f t="shared" si="95"/>
        <v>-17.315028929084956</v>
      </c>
      <c r="AU67" s="44">
        <f t="shared" si="96"/>
        <v>177.44456469210661</v>
      </c>
      <c r="AV67" s="42" t="str">
        <f t="shared" si="70"/>
        <v>-3.31277916951869+17.0847969320618i</v>
      </c>
      <c r="AW67" s="20">
        <f t="shared" si="97"/>
        <v>24.812487896309445</v>
      </c>
      <c r="AX67" s="44">
        <f t="shared" si="98"/>
        <v>100.97359959926033</v>
      </c>
    </row>
    <row r="68" spans="1:50" x14ac:dyDescent="0.3">
      <c r="N68" s="8">
        <v>50</v>
      </c>
      <c r="O68" s="35">
        <f t="shared" si="71"/>
        <v>31.622776601683803</v>
      </c>
      <c r="P68" s="34" t="str">
        <f t="shared" si="72"/>
        <v>545.10556621881</v>
      </c>
      <c r="Q68" s="4" t="str">
        <f t="shared" si="63"/>
        <v>1+4.24460527440732i</v>
      </c>
      <c r="R68" s="4">
        <f t="shared" si="73"/>
        <v>4.3608111556826721</v>
      </c>
      <c r="S68" s="4">
        <f t="shared" si="74"/>
        <v>1.339422316815329</v>
      </c>
      <c r="T68" s="4" t="str">
        <f t="shared" si="64"/>
        <v>1+0.000099345882657961i</v>
      </c>
      <c r="U68" s="4">
        <f t="shared" si="75"/>
        <v>1.0000000049348021</v>
      </c>
      <c r="V68" s="4">
        <f t="shared" si="76"/>
        <v>9.9345882331126149E-5</v>
      </c>
      <c r="W68" t="str">
        <f t="shared" si="65"/>
        <v>1-0.00010320050290509i</v>
      </c>
      <c r="X68" s="4">
        <f t="shared" si="77"/>
        <v>1.0000000053251719</v>
      </c>
      <c r="Y68" s="4">
        <f t="shared" si="78"/>
        <v>-1.0320050253871638E-4</v>
      </c>
      <c r="Z68" t="str">
        <f t="shared" si="66"/>
        <v>0.999999936+0.000446903345412201i</v>
      </c>
      <c r="AA68" s="4">
        <f t="shared" si="79"/>
        <v>1.0000000358613015</v>
      </c>
      <c r="AB68" s="4">
        <f t="shared" si="80"/>
        <v>4.4690334426178207E-4</v>
      </c>
      <c r="AC68" s="48" t="str">
        <f t="shared" si="81"/>
        <v>28.6097639346905-121.682865557574i</v>
      </c>
      <c r="AD68" s="20">
        <f t="shared" si="82"/>
        <v>41.938266512203555</v>
      </c>
      <c r="AE68" s="44">
        <f t="shared" si="83"/>
        <v>-76.769072268098981</v>
      </c>
      <c r="AF68" t="str">
        <f t="shared" si="84"/>
        <v>-0.979317078436135</v>
      </c>
      <c r="AG68" t="str">
        <f t="shared" si="85"/>
        <v>198.691765315922i</v>
      </c>
      <c r="AH68">
        <f t="shared" si="86"/>
        <v>198.691765315922</v>
      </c>
      <c r="AI68">
        <f t="shared" si="87"/>
        <v>1.5707963267948966</v>
      </c>
      <c r="AJ68" t="str">
        <f t="shared" si="67"/>
        <v>0.999388914363471+0.194702034668378i</v>
      </c>
      <c r="AK68">
        <f t="shared" si="88"/>
        <v>1.0181783166305416</v>
      </c>
      <c r="AL68">
        <f t="shared" si="89"/>
        <v>0.19241091265624097</v>
      </c>
      <c r="AM68" t="str">
        <f t="shared" si="68"/>
        <v>1+27.6419983907511i</v>
      </c>
      <c r="AN68">
        <f t="shared" si="90"/>
        <v>27.660080893487759</v>
      </c>
      <c r="AO68">
        <f t="shared" si="91"/>
        <v>1.5346352622556465</v>
      </c>
      <c r="AP68" t="str">
        <f t="shared" si="69"/>
        <v>1+0.186770259396967i</v>
      </c>
      <c r="AQ68">
        <f t="shared" si="92"/>
        <v>1.0172920572752007</v>
      </c>
      <c r="AR68">
        <f t="shared" si="93"/>
        <v>0.18464289995948208</v>
      </c>
      <c r="AS68" s="42" t="str">
        <f t="shared" si="94"/>
        <v>-0.136081641008551+0.0059817892268731i</v>
      </c>
      <c r="AT68">
        <f t="shared" si="95"/>
        <v>-17.315625689418134</v>
      </c>
      <c r="AU68" s="44">
        <f t="shared" si="96"/>
        <v>177.48304927647246</v>
      </c>
      <c r="AV68" s="42" t="str">
        <f t="shared" si="70"/>
        <v>-3.1653823708126+16.7299416053855i</v>
      </c>
      <c r="AW68" s="20">
        <f t="shared" si="97"/>
        <v>24.622640822785428</v>
      </c>
      <c r="AX68" s="44">
        <f t="shared" si="98"/>
        <v>100.71397700837348</v>
      </c>
    </row>
    <row r="69" spans="1:50" x14ac:dyDescent="0.3">
      <c r="A69" t="s">
        <v>218</v>
      </c>
      <c r="B69" s="1">
        <f>-kopto_max*Rpullup/(Ccomp_iso*RLED*RFBT_iso)</f>
        <v>-0.97931707843613458</v>
      </c>
      <c r="C69" t="s">
        <v>144</v>
      </c>
      <c r="N69" s="8">
        <v>51</v>
      </c>
      <c r="O69" s="35">
        <f t="shared" si="71"/>
        <v>32.359365692962832</v>
      </c>
      <c r="P69" s="34" t="str">
        <f t="shared" si="72"/>
        <v>545.10556621881</v>
      </c>
      <c r="Q69" s="4" t="str">
        <f t="shared" si="63"/>
        <v>1+4.34347483229893i</v>
      </c>
      <c r="R69" s="4">
        <f t="shared" si="73"/>
        <v>4.4571037253820132</v>
      </c>
      <c r="S69" s="4">
        <f t="shared" si="74"/>
        <v>1.3445091142546952</v>
      </c>
      <c r="T69" s="4" t="str">
        <f t="shared" si="64"/>
        <v>1+0.000101659945535837i</v>
      </c>
      <c r="U69" s="4">
        <f t="shared" si="75"/>
        <v>1.0000000051673723</v>
      </c>
      <c r="V69" s="4">
        <f t="shared" si="76"/>
        <v>1.0165994518562715E-4</v>
      </c>
      <c r="W69" t="str">
        <f t="shared" si="65"/>
        <v>1-0.000105604351422628i</v>
      </c>
      <c r="X69" s="4">
        <f t="shared" si="77"/>
        <v>1.0000000055761396</v>
      </c>
      <c r="Y69" s="4">
        <f t="shared" si="78"/>
        <v>-1.0560435103005161E-4</v>
      </c>
      <c r="Z69" t="str">
        <f t="shared" si="66"/>
        <v>0.999999932983773+0.00045731306158713i</v>
      </c>
      <c r="AA69" s="4">
        <f t="shared" si="79"/>
        <v>1.0000000375513927</v>
      </c>
      <c r="AB69" s="4">
        <f t="shared" si="80"/>
        <v>4.573130603544339E-4</v>
      </c>
      <c r="AC69" s="48" t="str">
        <f t="shared" si="81"/>
        <v>27.3844556381244-119.195127857029i</v>
      </c>
      <c r="AD69" s="20">
        <f t="shared" si="82"/>
        <v>41.748557280655298</v>
      </c>
      <c r="AE69" s="44">
        <f t="shared" si="83"/>
        <v>-77.06112586974875</v>
      </c>
      <c r="AF69" t="str">
        <f t="shared" si="84"/>
        <v>-0.979317078436135</v>
      </c>
      <c r="AG69" t="str">
        <f t="shared" si="85"/>
        <v>203.319891071675i</v>
      </c>
      <c r="AH69">
        <f t="shared" si="86"/>
        <v>203.31989107167499</v>
      </c>
      <c r="AI69">
        <f t="shared" si="87"/>
        <v>1.5707963267948966</v>
      </c>
      <c r="AJ69" t="str">
        <f t="shared" si="67"/>
        <v>0.999360114784686+0.199237227658956i</v>
      </c>
      <c r="AK69">
        <f t="shared" si="88"/>
        <v>1.0190270417941261</v>
      </c>
      <c r="AL69">
        <f t="shared" si="89"/>
        <v>0.19678471439102585</v>
      </c>
      <c r="AM69" t="str">
        <f t="shared" si="68"/>
        <v>1+28.2858632458914i</v>
      </c>
      <c r="AN69">
        <f t="shared" si="90"/>
        <v>28.303534400588028</v>
      </c>
      <c r="AO69">
        <f t="shared" si="91"/>
        <v>1.535457695490078</v>
      </c>
      <c r="AP69" t="str">
        <f t="shared" si="69"/>
        <v>1+0.191120697607375i</v>
      </c>
      <c r="AQ69">
        <f t="shared" si="92"/>
        <v>1.0180997598732306</v>
      </c>
      <c r="AR69">
        <f t="shared" si="93"/>
        <v>0.18884337388490158</v>
      </c>
      <c r="AS69" s="42" t="str">
        <f t="shared" si="94"/>
        <v>-0.136076108127655+0.0058930501174623i</v>
      </c>
      <c r="AT69">
        <f t="shared" si="95"/>
        <v>-17.316224852974358</v>
      </c>
      <c r="AU69" s="44">
        <f t="shared" si="96"/>
        <v>177.52024027778785</v>
      </c>
      <c r="AV69" s="42" t="str">
        <f t="shared" si="70"/>
        <v>-3.02394728421159+16.3809870760776i</v>
      </c>
      <c r="AW69" s="20">
        <f t="shared" si="97"/>
        <v>24.432332427680919</v>
      </c>
      <c r="AX69" s="44">
        <f t="shared" si="98"/>
        <v>100.4591144080391</v>
      </c>
    </row>
    <row r="70" spans="1:50" x14ac:dyDescent="0.3">
      <c r="A70" t="s">
        <v>581</v>
      </c>
      <c r="B70" s="1">
        <f>1/(Ccomp_iso*(Rcomp_iso+RFBT_iso))</f>
        <v>7.1880391029327191</v>
      </c>
      <c r="E70" t="s">
        <v>230</v>
      </c>
      <c r="N70" s="8">
        <v>52</v>
      </c>
      <c r="O70" s="35">
        <f t="shared" si="71"/>
        <v>33.113112148259127</v>
      </c>
      <c r="P70" s="34" t="str">
        <f t="shared" si="72"/>
        <v>545.10556621881</v>
      </c>
      <c r="Q70" s="4" t="str">
        <f t="shared" si="63"/>
        <v>1+4.44464735803933i</v>
      </c>
      <c r="R70" s="4">
        <f t="shared" si="73"/>
        <v>4.5557535202561166</v>
      </c>
      <c r="S70" s="4">
        <f t="shared" si="74"/>
        <v>1.3494916615363259</v>
      </c>
      <c r="T70" s="4" t="str">
        <f t="shared" si="64"/>
        <v>1+0.000104027909862466i</v>
      </c>
      <c r="U70" s="4">
        <f t="shared" si="75"/>
        <v>1.0000000054109031</v>
      </c>
      <c r="V70" s="4">
        <f t="shared" si="76"/>
        <v>1.0402790948720938E-4</v>
      </c>
      <c r="W70" t="str">
        <f t="shared" si="65"/>
        <v>1-0.000108064192765129i</v>
      </c>
      <c r="X70" s="4">
        <f t="shared" si="77"/>
        <v>1.0000000058389349</v>
      </c>
      <c r="Y70" s="4">
        <f t="shared" si="78"/>
        <v>-1.0806419234447581E-4</v>
      </c>
      <c r="Z70" t="str">
        <f t="shared" si="66"/>
        <v>0.999999929825395+0.000467965251200569i</v>
      </c>
      <c r="AA70" s="4">
        <f t="shared" si="79"/>
        <v>1.0000000393211348</v>
      </c>
      <c r="AB70" s="4">
        <f t="shared" si="80"/>
        <v>4.6796524987971152E-4</v>
      </c>
      <c r="AC70" s="48" t="str">
        <f t="shared" si="81"/>
        <v>26.2088558603359-116.746412602858i</v>
      </c>
      <c r="AD70" s="20">
        <f t="shared" si="82"/>
        <v>41.558407702599986</v>
      </c>
      <c r="AE70" s="44">
        <f t="shared" si="83"/>
        <v>-77.347220389877933</v>
      </c>
      <c r="AF70" t="str">
        <f t="shared" si="84"/>
        <v>-0.979317078436135</v>
      </c>
      <c r="AG70" t="str">
        <f t="shared" si="85"/>
        <v>208.055819724932i</v>
      </c>
      <c r="AH70">
        <f t="shared" si="86"/>
        <v>208.05581972493201</v>
      </c>
      <c r="AI70">
        <f t="shared" si="87"/>
        <v>1.5707963267948966</v>
      </c>
      <c r="AJ70" t="str">
        <f t="shared" si="67"/>
        <v>0.999329957923569+0.203878058864855i</v>
      </c>
      <c r="AK70">
        <f t="shared" si="88"/>
        <v>1.0199150100327103</v>
      </c>
      <c r="AL70">
        <f t="shared" si="89"/>
        <v>0.20125290616003888</v>
      </c>
      <c r="AM70" t="str">
        <f t="shared" si="68"/>
        <v>1+28.9447256401325i</v>
      </c>
      <c r="AN70">
        <f t="shared" si="90"/>
        <v>28.961994792875437</v>
      </c>
      <c r="AO70">
        <f t="shared" si="91"/>
        <v>1.5362614540744965</v>
      </c>
      <c r="AP70" t="str">
        <f t="shared" si="69"/>
        <v>1+0.195572470541437i</v>
      </c>
      <c r="AQ70">
        <f t="shared" si="92"/>
        <v>1.0189448420958227</v>
      </c>
      <c r="AR70">
        <f t="shared" si="93"/>
        <v>0.193134717863714</v>
      </c>
      <c r="AS70" s="42" t="str">
        <f t="shared" si="94"/>
        <v>-0.136070333971346+0.00580733841652945i</v>
      </c>
      <c r="AT70">
        <f t="shared" si="95"/>
        <v>-17.316827540342022</v>
      </c>
      <c r="AU70" s="44">
        <f t="shared" si="96"/>
        <v>177.55615962042771</v>
      </c>
      <c r="AV70" s="42" t="str">
        <f t="shared" si="70"/>
        <v>-2.8882618430222+16.0379270483185i</v>
      </c>
      <c r="AW70" s="20">
        <f t="shared" si="97"/>
        <v>24.241580162257989</v>
      </c>
      <c r="AX70" s="44">
        <f t="shared" si="98"/>
        <v>100.20893923054973</v>
      </c>
    </row>
    <row r="71" spans="1:50" x14ac:dyDescent="0.3">
      <c r="A71" t="s">
        <v>580</v>
      </c>
      <c r="B71" s="1">
        <f>1/(Rcomp_iso*Ccomp_iso)</f>
        <v>1063.8297872340424</v>
      </c>
      <c r="E71" t="s">
        <v>582</v>
      </c>
      <c r="N71" s="8">
        <v>53</v>
      </c>
      <c r="O71" s="35">
        <f t="shared" si="71"/>
        <v>33.884415613920268</v>
      </c>
      <c r="P71" s="34" t="str">
        <f t="shared" si="72"/>
        <v>545.10556621881</v>
      </c>
      <c r="Q71" s="4" t="str">
        <f t="shared" si="63"/>
        <v>1+4.5481764946408i</v>
      </c>
      <c r="R71" s="4">
        <f t="shared" si="73"/>
        <v>4.6568132264890192</v>
      </c>
      <c r="S71" s="4">
        <f t="shared" si="74"/>
        <v>1.3543716104622858</v>
      </c>
      <c r="T71" s="4" t="str">
        <f t="shared" si="64"/>
        <v>1+0.000106451031163875i</v>
      </c>
      <c r="U71" s="4">
        <f t="shared" si="75"/>
        <v>1.0000000056659109</v>
      </c>
      <c r="V71" s="4">
        <f t="shared" si="76"/>
        <v>1.0645103076178029E-4</v>
      </c>
      <c r="W71" t="str">
        <f t="shared" si="65"/>
        <v>1-0.000110581331173033i</v>
      </c>
      <c r="X71" s="4">
        <f t="shared" si="77"/>
        <v>1.0000000061141154</v>
      </c>
      <c r="Y71" s="4">
        <f t="shared" si="78"/>
        <v>-1.1058133072229499E-4</v>
      </c>
      <c r="Z71" t="str">
        <f t="shared" si="66"/>
        <v>0.999999926518168+0.000478865562184443i</v>
      </c>
      <c r="AA71" s="4">
        <f t="shared" si="79"/>
        <v>1.0000000411742831</v>
      </c>
      <c r="AB71" s="4">
        <f t="shared" si="80"/>
        <v>4.7886556076911856E-4</v>
      </c>
      <c r="AC71" s="48" t="str">
        <f t="shared" si="81"/>
        <v>25.0811720697745-114.336880979958i</v>
      </c>
      <c r="AD71" s="20">
        <f t="shared" si="82"/>
        <v>41.367835684011567</v>
      </c>
      <c r="AE71" s="44">
        <f t="shared" si="83"/>
        <v>-77.627450796167395</v>
      </c>
      <c r="AF71" t="str">
        <f t="shared" si="84"/>
        <v>-0.979317078436135</v>
      </c>
      <c r="AG71" t="str">
        <f t="shared" si="85"/>
        <v>212.90206232775i</v>
      </c>
      <c r="AH71">
        <f t="shared" si="86"/>
        <v>212.90206232775</v>
      </c>
      <c r="AI71">
        <f t="shared" si="87"/>
        <v>1.5707963267948966</v>
      </c>
      <c r="AJ71" t="str">
        <f t="shared" si="67"/>
        <v>0.999298379813374+0.208626988916209i</v>
      </c>
      <c r="AK71">
        <f t="shared" si="88"/>
        <v>1.0208440000322667</v>
      </c>
      <c r="AL71">
        <f t="shared" si="89"/>
        <v>0.20581717890530549</v>
      </c>
      <c r="AM71" t="str">
        <f t="shared" si="68"/>
        <v>1+29.6189349110366i</v>
      </c>
      <c r="AN71">
        <f t="shared" si="90"/>
        <v>29.635811196325008</v>
      </c>
      <c r="AO71">
        <f t="shared" si="91"/>
        <v>1.5370469600159657</v>
      </c>
      <c r="AP71" t="str">
        <f t="shared" si="69"/>
        <v>1+0.200127938588086i</v>
      </c>
      <c r="AQ71">
        <f t="shared" si="92"/>
        <v>1.0198290012563462</v>
      </c>
      <c r="AR71">
        <f t="shared" si="93"/>
        <v>0.19751857469581491</v>
      </c>
      <c r="AS71" s="42" t="str">
        <f t="shared" si="94"/>
        <v>-0.136064308936801+0.00572460227220454i</v>
      </c>
      <c r="AT71">
        <f t="shared" si="95"/>
        <v>-17.317434866543479</v>
      </c>
      <c r="AU71" s="44">
        <f t="shared" si="96"/>
        <v>177.59082872527495</v>
      </c>
      <c r="AV71" s="42" t="str">
        <f t="shared" si="70"/>
        <v>-2.75811917634421+15.7007484311474i</v>
      </c>
      <c r="AW71" s="20">
        <f t="shared" si="97"/>
        <v>24.050400817468063</v>
      </c>
      <c r="AX71" s="44">
        <f t="shared" si="98"/>
        <v>99.963377929107565</v>
      </c>
    </row>
    <row r="72" spans="1:50" x14ac:dyDescent="0.3">
      <c r="A72" t="s">
        <v>583</v>
      </c>
      <c r="B72" s="1">
        <f>Ccomp_iso*Copto*Rcomp_iso*Rpullup</f>
        <v>1.5478980000000003E-8</v>
      </c>
      <c r="E72" t="s">
        <v>586</v>
      </c>
      <c r="I72">
        <f>Copto</f>
        <v>3.2999999999999998E-9</v>
      </c>
      <c r="N72" s="8">
        <v>54</v>
      </c>
      <c r="O72" s="35">
        <f t="shared" si="71"/>
        <v>34.67368504525318</v>
      </c>
      <c r="P72" s="34" t="str">
        <f t="shared" si="72"/>
        <v>545.10556621881</v>
      </c>
      <c r="Q72" s="4" t="str">
        <f t="shared" si="63"/>
        <v>1+4.65411713462198i</v>
      </c>
      <c r="R72" s="4">
        <f t="shared" si="73"/>
        <v>4.7603367845964328</v>
      </c>
      <c r="S72" s="4">
        <f t="shared" si="74"/>
        <v>1.3591506183377868</v>
      </c>
      <c r="T72" s="4" t="str">
        <f t="shared" si="64"/>
        <v>1+0.000108930594211054i</v>
      </c>
      <c r="U72" s="4">
        <f t="shared" si="75"/>
        <v>1.000000005932937</v>
      </c>
      <c r="V72" s="4">
        <f t="shared" si="76"/>
        <v>1.0893059378020175E-4</v>
      </c>
      <c r="W72" t="str">
        <f t="shared" si="65"/>
        <v>1-0.000113157101266442i</v>
      </c>
      <c r="X72" s="4">
        <f t="shared" si="77"/>
        <v>1.0000000064022647</v>
      </c>
      <c r="Y72" s="4">
        <f t="shared" si="78"/>
        <v>-1.1315710078346752E-4</v>
      </c>
      <c r="Z72" t="str">
        <f t="shared" si="66"/>
        <v>0.999999923055076+0.000490019774027925i</v>
      </c>
      <c r="AA72" s="4">
        <f t="shared" si="79"/>
        <v>1.0000000431147675</v>
      </c>
      <c r="AB72" s="4">
        <f t="shared" si="80"/>
        <v>4.9001977251137752E-4</v>
      </c>
      <c r="AC72" s="48" t="str">
        <f t="shared" si="81"/>
        <v>23.9996573912756-111.966633068578i</v>
      </c>
      <c r="AD72" s="20">
        <f t="shared" si="82"/>
        <v>41.176858481605279</v>
      </c>
      <c r="AE72" s="44">
        <f t="shared" si="83"/>
        <v>-77.901912379207573</v>
      </c>
      <c r="AF72" t="str">
        <f t="shared" si="84"/>
        <v>-0.979317078436135</v>
      </c>
      <c r="AG72" t="str">
        <f t="shared" si="85"/>
        <v>217.861188422107i</v>
      </c>
      <c r="AH72">
        <f t="shared" si="86"/>
        <v>217.86118842210701</v>
      </c>
      <c r="AI72">
        <f t="shared" si="87"/>
        <v>1.5707963267948966</v>
      </c>
      <c r="AJ72" t="str">
        <f t="shared" si="67"/>
        <v>0.999265313472695+0.213486535758591i</v>
      </c>
      <c r="AK72">
        <f t="shared" si="88"/>
        <v>1.021815867786309</v>
      </c>
      <c r="AL72">
        <f t="shared" si="89"/>
        <v>0.21047922988597695</v>
      </c>
      <c r="AM72" t="str">
        <f t="shared" si="68"/>
        <v>1+30.3088485332835i</v>
      </c>
      <c r="AN72">
        <f t="shared" si="90"/>
        <v>30.325340878768721</v>
      </c>
      <c r="AO72">
        <f t="shared" si="91"/>
        <v>1.5378146259205372</v>
      </c>
      <c r="AP72" t="str">
        <f t="shared" si="69"/>
        <v>1+0.204789517116781i</v>
      </c>
      <c r="AQ72">
        <f t="shared" si="92"/>
        <v>1.0207540087214571</v>
      </c>
      <c r="AR72">
        <f t="shared" si="93"/>
        <v>0.20199659443900678</v>
      </c>
      <c r="AS72" s="42" t="str">
        <f t="shared" si="94"/>
        <v>-0.136058023123622+0.00564479101401591i</v>
      </c>
      <c r="AT72">
        <f t="shared" si="95"/>
        <v>-17.318047942258094</v>
      </c>
      <c r="AU72" s="44">
        <f t="shared" si="96"/>
        <v>177.62426852847682</v>
      </c>
      <c r="AV72" s="42" t="str">
        <f t="shared" si="70"/>
        <v>-2.63331769608606+15.3694318015004i</v>
      </c>
      <c r="AW72" s="20">
        <f t="shared" si="97"/>
        <v>23.858810539347175</v>
      </c>
      <c r="AX72" s="44">
        <f t="shared" si="98"/>
        <v>99.72235614926926</v>
      </c>
    </row>
    <row r="73" spans="1:50" x14ac:dyDescent="0.3">
      <c r="A73" t="s">
        <v>584</v>
      </c>
      <c r="B73" s="1">
        <f>(Ccomp_iso*Rcomp_iso)+(Ccomp_iso*Rpullup)+(Copto*Rpullup)</f>
        <v>9.7992000000000023E-4</v>
      </c>
      <c r="E73" t="s">
        <v>588</v>
      </c>
      <c r="N73" s="8">
        <v>55</v>
      </c>
      <c r="O73" s="35">
        <f t="shared" si="71"/>
        <v>35.481338923357555</v>
      </c>
      <c r="P73" s="34" t="str">
        <f t="shared" si="72"/>
        <v>545.10556621881</v>
      </c>
      <c r="Q73" s="4" t="str">
        <f t="shared" si="63"/>
        <v>1+4.76252544911245i</v>
      </c>
      <c r="R73" s="4">
        <f t="shared" si="73"/>
        <v>4.8663794193880667</v>
      </c>
      <c r="S73" s="4">
        <f t="shared" si="74"/>
        <v>1.3638303454753249</v>
      </c>
      <c r="T73" s="4" t="str">
        <f t="shared" si="64"/>
        <v>1+0.000111467913701149i</v>
      </c>
      <c r="U73" s="4">
        <f t="shared" si="75"/>
        <v>1.0000000062125478</v>
      </c>
      <c r="V73" s="4">
        <f t="shared" si="76"/>
        <v>1.114679132394825E-4</v>
      </c>
      <c r="W73" t="str">
        <f t="shared" si="65"/>
        <v>1-0.000115792868752754i</v>
      </c>
      <c r="X73" s="4">
        <f t="shared" si="77"/>
        <v>1.0000000067039942</v>
      </c>
      <c r="Y73" s="4">
        <f t="shared" si="78"/>
        <v>-1.1579286823523752E-4</v>
      </c>
      <c r="Z73" t="str">
        <f t="shared" si="66"/>
        <v>0.999999919428774+0.000501433800841774i</v>
      </c>
      <c r="AA73" s="4">
        <f t="shared" si="79"/>
        <v>1.0000000451467046</v>
      </c>
      <c r="AB73" s="4">
        <f t="shared" si="80"/>
        <v>5.0143379921676375E-4</v>
      </c>
      <c r="AC73" s="48" t="str">
        <f t="shared" si="81"/>
        <v>22.9626111442613-109.635711844064i</v>
      </c>
      <c r="AD73" s="20">
        <f t="shared" si="82"/>
        <v>40.985492719692488</v>
      </c>
      <c r="AE73" s="44">
        <f t="shared" si="83"/>
        <v>-78.17070060967329</v>
      </c>
      <c r="AF73" t="str">
        <f t="shared" si="84"/>
        <v>-0.979317078436135</v>
      </c>
      <c r="AG73" t="str">
        <f t="shared" si="85"/>
        <v>222.935827402299i</v>
      </c>
      <c r="AH73">
        <f t="shared" si="86"/>
        <v>222.935827402299</v>
      </c>
      <c r="AI73">
        <f t="shared" si="87"/>
        <v>1.5707963267948966</v>
      </c>
      <c r="AJ73" t="str">
        <f t="shared" si="67"/>
        <v>0.999230688763391+0.218459275988061i</v>
      </c>
      <c r="AK73">
        <f t="shared" si="88"/>
        <v>1.0228325496540422</v>
      </c>
      <c r="AL73">
        <f t="shared" si="89"/>
        <v>0.21524076082779253</v>
      </c>
      <c r="AM73" t="str">
        <f t="shared" si="68"/>
        <v>1+31.0148323082078i</v>
      </c>
      <c r="AN73">
        <f t="shared" si="90"/>
        <v>31.030949439329927</v>
      </c>
      <c r="AO73">
        <f t="shared" si="91"/>
        <v>1.5385648551936149</v>
      </c>
      <c r="AP73" t="str">
        <f t="shared" si="69"/>
        <v>1+0.209559677758162i</v>
      </c>
      <c r="AQ73">
        <f t="shared" si="92"/>
        <v>1.0217217128661331</v>
      </c>
      <c r="AR73">
        <f t="shared" si="93"/>
        <v>0.20657043268832417</v>
      </c>
      <c r="AS73" s="42" t="str">
        <f t="shared" si="94"/>
        <v>-0.136051466332631+0.00556785510452475i</v>
      </c>
      <c r="AT73">
        <f t="shared" si="95"/>
        <v>-17.318667874948542</v>
      </c>
      <c r="AU73" s="44">
        <f t="shared" si="96"/>
        <v>177.65649950036573</v>
      </c>
      <c r="AV73" s="42" t="str">
        <f t="shared" si="70"/>
        <v>-2.51366115917359+15.0439518504795i</v>
      </c>
      <c r="AW73" s="20">
        <f t="shared" si="97"/>
        <v>23.666824844743957</v>
      </c>
      <c r="AX73" s="44">
        <f t="shared" si="98"/>
        <v>99.485798890692436</v>
      </c>
    </row>
    <row r="74" spans="1:50" x14ac:dyDescent="0.3">
      <c r="A74" t="s">
        <v>585</v>
      </c>
      <c r="B74" s="1">
        <v>1</v>
      </c>
      <c r="E74" t="s">
        <v>587</v>
      </c>
      <c r="N74" s="8">
        <v>56</v>
      </c>
      <c r="O74" s="35">
        <f t="shared" si="71"/>
        <v>36.307805477010156</v>
      </c>
      <c r="P74" s="34" t="str">
        <f t="shared" si="72"/>
        <v>545.10556621881</v>
      </c>
      <c r="Q74" s="4" t="str">
        <f t="shared" si="63"/>
        <v>1+4.87345891763554i</v>
      </c>
      <c r="R74" s="4">
        <f t="shared" si="73"/>
        <v>4.9749976705402954</v>
      </c>
      <c r="S74" s="4">
        <f t="shared" si="74"/>
        <v>1.3684124528645669</v>
      </c>
      <c r="T74" s="4" t="str">
        <f t="shared" si="64"/>
        <v>1+0.000114064334954543i</v>
      </c>
      <c r="U74" s="4">
        <f t="shared" si="75"/>
        <v>1.0000000065053363</v>
      </c>
      <c r="V74" s="4">
        <f t="shared" si="76"/>
        <v>1.1406433445985843E-4</v>
      </c>
      <c r="W74" t="str">
        <f t="shared" si="65"/>
        <v>1-0.000118490031150778i</v>
      </c>
      <c r="X74" s="4">
        <f t="shared" si="77"/>
        <v>1.0000000070199437</v>
      </c>
      <c r="Y74" s="4">
        <f t="shared" si="78"/>
        <v>-1.184900305962491E-4</v>
      </c>
      <c r="Z74" t="str">
        <f t="shared" si="66"/>
        <v>0.999999915631569+0.000513113694494092i</v>
      </c>
      <c r="AA74" s="4">
        <f t="shared" si="79"/>
        <v>1.0000000472744031</v>
      </c>
      <c r="AB74" s="4">
        <f t="shared" si="80"/>
        <v>5.1311369275286217E-4</v>
      </c>
      <c r="AC74" s="48" t="str">
        <f t="shared" si="81"/>
        <v>21.9683791849862-107.344107024576i</v>
      </c>
      <c r="AD74" s="20">
        <f t="shared" si="82"/>
        <v>40.793754407196275</v>
      </c>
      <c r="AE74" s="44">
        <f t="shared" si="83"/>
        <v>-78.433911004999516</v>
      </c>
      <c r="AF74" t="str">
        <f t="shared" si="84"/>
        <v>-0.979317078436135</v>
      </c>
      <c r="AG74" t="str">
        <f t="shared" si="85"/>
        <v>228.128669909085i</v>
      </c>
      <c r="AH74">
        <f t="shared" si="86"/>
        <v>228.128669909085</v>
      </c>
      <c r="AI74">
        <f t="shared" si="87"/>
        <v>1.5707963267948966</v>
      </c>
      <c r="AJ74" t="str">
        <f t="shared" si="67"/>
        <v>0.99919443224181+0.22354784621731i</v>
      </c>
      <c r="AK74">
        <f t="shared" si="88"/>
        <v>1.0238960655122331</v>
      </c>
      <c r="AL74">
        <f t="shared" si="89"/>
        <v>0.22010347592685192</v>
      </c>
      <c r="AM74" t="str">
        <f t="shared" si="68"/>
        <v>1+31.7372605577519i</v>
      </c>
      <c r="AN74">
        <f t="shared" si="90"/>
        <v>31.753011002275581</v>
      </c>
      <c r="AO74">
        <f t="shared" si="91"/>
        <v>1.5392980422366627</v>
      </c>
      <c r="AP74" t="str">
        <f t="shared" si="69"/>
        <v>1+0.21444094971454i</v>
      </c>
      <c r="AQ74">
        <f t="shared" si="92"/>
        <v>1.0227340421216427</v>
      </c>
      <c r="AR74">
        <f t="shared" si="93"/>
        <v>0.21124174871627846</v>
      </c>
      <c r="AS74" s="42" t="str">
        <f t="shared" si="94"/>
        <v>-0.136044628065559+0.00549374609074384i</v>
      </c>
      <c r="AT74">
        <f t="shared" si="95"/>
        <v>-17.319295769887223</v>
      </c>
      <c r="AU74" s="44">
        <f t="shared" si="96"/>
        <v>177.68754166454897</v>
      </c>
      <c r="AV74" s="42" t="str">
        <f t="shared" si="70"/>
        <v>-2.39895870709396+14.7242778124555i</v>
      </c>
      <c r="AW74" s="20">
        <f t="shared" si="97"/>
        <v>23.474458637309048</v>
      </c>
      <c r="AX74" s="44">
        <f t="shared" si="98"/>
        <v>99.25363065954943</v>
      </c>
    </row>
    <row r="75" spans="1:50" x14ac:dyDescent="0.3">
      <c r="N75" s="8">
        <v>57</v>
      </c>
      <c r="O75" s="35">
        <f t="shared" si="71"/>
        <v>37.15352290971726</v>
      </c>
      <c r="P75" s="34" t="str">
        <f t="shared" si="72"/>
        <v>545.10556621881</v>
      </c>
      <c r="Q75" s="4" t="str">
        <f t="shared" si="63"/>
        <v>1+4.9869763585846i</v>
      </c>
      <c r="R75" s="4">
        <f t="shared" si="73"/>
        <v>5.0862494237976295</v>
      </c>
      <c r="S75" s="4">
        <f t="shared" si="74"/>
        <v>1.3728986000014896</v>
      </c>
      <c r="T75" s="4" t="str">
        <f t="shared" si="64"/>
        <v>1+0.000116721234628148i</v>
      </c>
      <c r="U75" s="4">
        <f t="shared" si="75"/>
        <v>1.0000000068119232</v>
      </c>
      <c r="V75" s="4">
        <f t="shared" si="76"/>
        <v>1.1672123409808394E-4</v>
      </c>
      <c r="W75" t="str">
        <f t="shared" si="65"/>
        <v>1-0.00012125001853172i</v>
      </c>
      <c r="X75" s="4">
        <f t="shared" si="77"/>
        <v>1.0000000073507835</v>
      </c>
      <c r="Y75" s="4">
        <f t="shared" si="78"/>
        <v>-1.2125001793753158E-4</v>
      </c>
      <c r="Z75" t="str">
        <f t="shared" si="66"/>
        <v>0.999999911655407+0.000525065647819092i</v>
      </c>
      <c r="AA75" s="4">
        <f t="shared" si="79"/>
        <v>1.0000000495023769</v>
      </c>
      <c r="AB75" s="4">
        <f t="shared" si="80"/>
        <v>5.2506564595333077E-4</v>
      </c>
      <c r="AC75" s="48" t="str">
        <f t="shared" si="81"/>
        <v>21.0153540704973-105.091758764676i</v>
      </c>
      <c r="AD75" s="20">
        <f t="shared" si="82"/>
        <v>40.601658954759159</v>
      </c>
      <c r="AE75" s="44">
        <f t="shared" si="83"/>
        <v>-78.691639005185451</v>
      </c>
      <c r="AF75" t="str">
        <f t="shared" si="84"/>
        <v>-0.979317078436135</v>
      </c>
      <c r="AG75" t="str">
        <f t="shared" si="85"/>
        <v>233.442469256296i</v>
      </c>
      <c r="AH75">
        <f t="shared" si="86"/>
        <v>233.44246925629599</v>
      </c>
      <c r="AI75">
        <f t="shared" si="87"/>
        <v>1.5707963267948966</v>
      </c>
      <c r="AJ75" t="str">
        <f t="shared" si="67"/>
        <v>0.99915646700301+0.228754944473629i</v>
      </c>
      <c r="AK75">
        <f t="shared" si="88"/>
        <v>1.0250085220011931</v>
      </c>
      <c r="AL75">
        <f t="shared" si="89"/>
        <v>0.22506907970115805</v>
      </c>
      <c r="AM75" t="str">
        <f t="shared" si="68"/>
        <v>1+32.4765163229359i</v>
      </c>
      <c r="AN75">
        <f t="shared" si="90"/>
        <v>32.491908415387392</v>
      </c>
      <c r="AO75">
        <f t="shared" si="91"/>
        <v>1.5400145726402774</v>
      </c>
      <c r="AP75" t="str">
        <f t="shared" si="69"/>
        <v>1+0.219435921100919i</v>
      </c>
      <c r="AQ75">
        <f t="shared" si="92"/>
        <v>1.0237930081170747</v>
      </c>
      <c r="AR75">
        <f t="shared" si="93"/>
        <v>0.21601220346749253</v>
      </c>
      <c r="AS75" s="42" t="str">
        <f t="shared" si="94"/>
        <v>-0.13603749752573+0.00542241655532436i</v>
      </c>
      <c r="AT75">
        <f t="shared" si="95"/>
        <v>-17.319932731078541</v>
      </c>
      <c r="AU75" s="44">
        <f t="shared" si="96"/>
        <v>177.71741461716965</v>
      </c>
      <c r="AV75" s="42" t="str">
        <f t="shared" si="70"/>
        <v>-2.28902488481388+14.4103738767521i</v>
      </c>
      <c r="AW75" s="20">
        <f t="shared" si="97"/>
        <v>23.281726223680622</v>
      </c>
      <c r="AX75" s="44">
        <f t="shared" si="98"/>
        <v>99.025775611984173</v>
      </c>
    </row>
    <row r="76" spans="1:50" x14ac:dyDescent="0.3">
      <c r="N76" s="8">
        <v>58</v>
      </c>
      <c r="O76" s="35">
        <f t="shared" si="71"/>
        <v>38.018939632056139</v>
      </c>
      <c r="P76" s="34" t="str">
        <f t="shared" si="72"/>
        <v>545.10556621881</v>
      </c>
      <c r="Q76" s="4" t="str">
        <f t="shared" si="63"/>
        <v>1+5.10313796040941i</v>
      </c>
      <c r="R76" s="4">
        <f t="shared" si="73"/>
        <v>5.200193942822855</v>
      </c>
      <c r="S76" s="4">
        <f t="shared" si="74"/>
        <v>1.3772904428702595</v>
      </c>
      <c r="T76" s="4" t="str">
        <f t="shared" si="64"/>
        <v>1+0.000119440021445341i</v>
      </c>
      <c r="U76" s="4">
        <f t="shared" si="75"/>
        <v>1.0000000071329593</v>
      </c>
      <c r="V76" s="4">
        <f t="shared" si="76"/>
        <v>1.1944002087736712E-4</v>
      </c>
      <c r="W76" t="str">
        <f t="shared" si="65"/>
        <v>1-0.00012407429427742i</v>
      </c>
      <c r="X76" s="4">
        <f t="shared" si="77"/>
        <v>1.0000000076972151</v>
      </c>
      <c r="Y76" s="4">
        <f t="shared" si="78"/>
        <v>-1.2407429364073565E-4</v>
      </c>
      <c r="Z76" t="str">
        <f t="shared" si="66"/>
        <v>0.999999907491855+0.000537295997900631i</v>
      </c>
      <c r="AA76" s="4">
        <f t="shared" si="79"/>
        <v>1.0000000518353525</v>
      </c>
      <c r="AB76" s="4">
        <f t="shared" si="80"/>
        <v>5.3729599590143155E-4</v>
      </c>
      <c r="AC76" s="48" t="str">
        <f t="shared" si="81"/>
        <v>20.1019750610507-102.878561193811i</v>
      </c>
      <c r="AD76" s="20">
        <f t="shared" si="82"/>
        <v>40.409221191881016</v>
      </c>
      <c r="AE76" s="44">
        <f t="shared" si="83"/>
        <v>-78.943979857354748</v>
      </c>
      <c r="AF76" t="str">
        <f t="shared" si="84"/>
        <v>-0.979317078436135</v>
      </c>
      <c r="AG76" t="str">
        <f t="shared" si="85"/>
        <v>238.880042890683i</v>
      </c>
      <c r="AH76">
        <f t="shared" si="86"/>
        <v>238.880042890683</v>
      </c>
      <c r="AI76">
        <f t="shared" si="87"/>
        <v>1.5707963267948966</v>
      </c>
      <c r="AJ76" t="str">
        <f t="shared" si="67"/>
        <v>0.999116712517629+0.234083331629438i</v>
      </c>
      <c r="AK76">
        <f t="shared" si="88"/>
        <v>1.0261721158649615</v>
      </c>
      <c r="AL76">
        <f t="shared" si="89"/>
        <v>0.23013927468340561</v>
      </c>
      <c r="AM76" t="str">
        <f t="shared" si="68"/>
        <v>1+33.2329915669518i</v>
      </c>
      <c r="AN76">
        <f t="shared" si="90"/>
        <v>33.248033452959135</v>
      </c>
      <c r="AO76">
        <f t="shared" si="91"/>
        <v>1.5407148233736556</v>
      </c>
      <c r="AP76" t="str">
        <f t="shared" si="69"/>
        <v>1+0.224547240317243i</v>
      </c>
      <c r="AQ76">
        <f t="shared" si="92"/>
        <v>1.0249007089148146</v>
      </c>
      <c r="AR76">
        <f t="shared" si="93"/>
        <v>0.22088345740115412</v>
      </c>
      <c r="AS76" s="42" t="str">
        <f t="shared" si="94"/>
        <v>-0.13603006361984+0.00535382006750691i</v>
      </c>
      <c r="AT76">
        <f t="shared" si="95"/>
        <v>-17.320579862072613</v>
      </c>
      <c r="AU76" s="44">
        <f t="shared" si="96"/>
        <v>177.74613754633728</v>
      </c>
      <c r="AV76" s="42" t="str">
        <f t="shared" si="70"/>
        <v>-2.1836796410035+14.1021995817901i</v>
      </c>
      <c r="AW76" s="20">
        <f t="shared" si="97"/>
        <v>23.088641329808407</v>
      </c>
      <c r="AX76" s="44">
        <f t="shared" si="98"/>
        <v>98.802157688982547</v>
      </c>
    </row>
    <row r="77" spans="1:50" x14ac:dyDescent="0.3">
      <c r="N77" s="8">
        <v>59</v>
      </c>
      <c r="O77" s="35">
        <f t="shared" si="71"/>
        <v>38.904514499428053</v>
      </c>
      <c r="P77" s="34" t="str">
        <f t="shared" si="72"/>
        <v>545.10556621881</v>
      </c>
      <c r="Q77" s="4" t="str">
        <f t="shared" si="63"/>
        <v>1+5.22200531352885i</v>
      </c>
      <c r="R77" s="4">
        <f t="shared" si="73"/>
        <v>5.3168919017150937</v>
      </c>
      <c r="S77" s="4">
        <f t="shared" si="74"/>
        <v>1.3815896320712846</v>
      </c>
      <c r="T77" s="4" t="str">
        <f t="shared" si="64"/>
        <v>1+0.000122222136942881i</v>
      </c>
      <c r="U77" s="4">
        <f t="shared" si="75"/>
        <v>1.0000000074691253</v>
      </c>
      <c r="V77" s="4">
        <f t="shared" si="76"/>
        <v>1.2222213633428605E-4</v>
      </c>
      <c r="W77" t="str">
        <f t="shared" si="65"/>
        <v>1-0.000126964355856264i</v>
      </c>
      <c r="X77" s="4">
        <f t="shared" si="77"/>
        <v>1.0000000080599738</v>
      </c>
      <c r="Y77" s="4">
        <f t="shared" si="78"/>
        <v>-1.2696435517404442E-4</v>
      </c>
      <c r="Z77" t="str">
        <f t="shared" si="66"/>
        <v>0.99999990313208+0.000549811229432211i</v>
      </c>
      <c r="AA77" s="4">
        <f t="shared" si="79"/>
        <v>1.0000000542782774</v>
      </c>
      <c r="AB77" s="4">
        <f t="shared" si="80"/>
        <v>5.4981122729003042E-4</v>
      </c>
      <c r="AC77" s="48" t="str">
        <f t="shared" si="81"/>
        <v>19.2267279768064-100.704365799701i</v>
      </c>
      <c r="AD77" s="20">
        <f t="shared" si="82"/>
        <v>40.216455384030468</v>
      </c>
      <c r="AE77" s="44">
        <f t="shared" si="83"/>
        <v>-79.191028508694558</v>
      </c>
      <c r="AF77" t="str">
        <f t="shared" si="84"/>
        <v>-0.979317078436135</v>
      </c>
      <c r="AG77" t="str">
        <f t="shared" si="85"/>
        <v>244.444273885762i</v>
      </c>
      <c r="AH77">
        <f t="shared" si="86"/>
        <v>244.44427388576199</v>
      </c>
      <c r="AI77">
        <f t="shared" si="87"/>
        <v>1.5707963267948966</v>
      </c>
      <c r="AJ77" t="str">
        <f t="shared" si="67"/>
        <v>0.999075084461073+0.239535832866136i</v>
      </c>
      <c r="AK77">
        <f t="shared" si="88"/>
        <v>1.0273891373855253</v>
      </c>
      <c r="AL77">
        <f t="shared" si="89"/>
        <v>0.23531575894855813</v>
      </c>
      <c r="AM77" t="str">
        <f t="shared" si="68"/>
        <v>1+34.0070873829872i</v>
      </c>
      <c r="AN77">
        <f t="shared" si="90"/>
        <v>34.021787023525491</v>
      </c>
      <c r="AO77">
        <f t="shared" si="91"/>
        <v>1.5413991629704844</v>
      </c>
      <c r="AP77" t="str">
        <f t="shared" si="69"/>
        <v>1+0.229777617452617i</v>
      </c>
      <c r="AQ77">
        <f t="shared" si="92"/>
        <v>1.0260593323400948</v>
      </c>
      <c r="AR77">
        <f t="shared" si="93"/>
        <v>0.22585716817477075</v>
      </c>
      <c r="AS77" s="42" t="str">
        <f t="shared" si="94"/>
        <v>-0.136022314960949+0.00528791113383212i</v>
      </c>
      <c r="AT77">
        <f t="shared" si="95"/>
        <v>-17.321238266664999</v>
      </c>
      <c r="AU77" s="44">
        <f t="shared" si="96"/>
        <v>177.7737292517271</v>
      </c>
      <c r="AV77" s="42" t="str">
        <f t="shared" si="70"/>
        <v>-2.08274831139191+13.7997101916853i</v>
      </c>
      <c r="AW77" s="20">
        <f t="shared" si="97"/>
        <v>22.895217117365494</v>
      </c>
      <c r="AX77" s="44">
        <f t="shared" si="98"/>
        <v>98.582700743032518</v>
      </c>
    </row>
    <row r="78" spans="1:50" x14ac:dyDescent="0.3">
      <c r="N78" s="8">
        <v>60</v>
      </c>
      <c r="O78" s="35">
        <f t="shared" si="71"/>
        <v>39.810717055349755</v>
      </c>
      <c r="P78" s="34" t="str">
        <f t="shared" si="72"/>
        <v>545.10556621881</v>
      </c>
      <c r="Q78" s="4" t="str">
        <f t="shared" si="63"/>
        <v>1+5.34364144298692i</v>
      </c>
      <c r="R78" s="4">
        <f t="shared" si="73"/>
        <v>5.4364054182159123</v>
      </c>
      <c r="S78" s="4">
        <f t="shared" si="74"/>
        <v>1.3857978110889055</v>
      </c>
      <c r="T78" s="4" t="str">
        <f t="shared" si="64"/>
        <v>1+0.000125069056235229i</v>
      </c>
      <c r="U78" s="4">
        <f t="shared" si="75"/>
        <v>1.0000000078211344</v>
      </c>
      <c r="V78" s="4">
        <f t="shared" si="76"/>
        <v>1.2506905558310773E-4</v>
      </c>
      <c r="W78" t="str">
        <f t="shared" si="65"/>
        <v>1-0.000129921735617155i</v>
      </c>
      <c r="X78" s="4">
        <f t="shared" si="77"/>
        <v>1.0000000084398286</v>
      </c>
      <c r="Y78" s="4">
        <f t="shared" si="78"/>
        <v>-1.2992173488614355E-4</v>
      </c>
      <c r="Z78" t="str">
        <f t="shared" si="66"/>
        <v>0.999999898566836+0.000562617978155246i</v>
      </c>
      <c r="AA78" s="4">
        <f t="shared" si="79"/>
        <v>1.0000000568363343</v>
      </c>
      <c r="AB78" s="4">
        <f t="shared" si="80"/>
        <v>5.6261797585985794E-4</v>
      </c>
      <c r="AC78" s="48" t="str">
        <f t="shared" si="81"/>
        <v>18.3881449236881-98.5689846575111i</v>
      </c>
      <c r="AD78" s="20">
        <f t="shared" si="82"/>
        <v>40.02337524967934</v>
      </c>
      <c r="AE78" s="44">
        <f t="shared" si="83"/>
        <v>-79.432879507400401</v>
      </c>
      <c r="AF78" t="str">
        <f t="shared" si="84"/>
        <v>-0.979317078436135</v>
      </c>
      <c r="AG78" t="str">
        <f t="shared" si="85"/>
        <v>250.138112470457i</v>
      </c>
      <c r="AH78">
        <f t="shared" si="86"/>
        <v>250.138112470457</v>
      </c>
      <c r="AI78">
        <f t="shared" si="87"/>
        <v>1.5707963267948966</v>
      </c>
      <c r="AJ78" t="str">
        <f t="shared" si="67"/>
        <v>0.999031494534654+0.245115339172051i</v>
      </c>
      <c r="AK78">
        <f t="shared" si="88"/>
        <v>1.028661973910562</v>
      </c>
      <c r="AL78">
        <f t="shared" si="89"/>
        <v>0.24060022346987475</v>
      </c>
      <c r="AM78" t="str">
        <f t="shared" si="68"/>
        <v>1+34.79921420689i</v>
      </c>
      <c r="AN78">
        <f t="shared" si="90"/>
        <v>34.81357938243373</v>
      </c>
      <c r="AO78">
        <f t="shared" si="91"/>
        <v>1.5420679517112861</v>
      </c>
      <c r="AP78" t="str">
        <f t="shared" si="69"/>
        <v>1+0.23512982572223i</v>
      </c>
      <c r="AQ78">
        <f t="shared" si="92"/>
        <v>1.0272711594044517</v>
      </c>
      <c r="AR78">
        <f t="shared" si="93"/>
        <v>0.2309349881627335</v>
      </c>
      <c r="AS78" s="42" t="str">
        <f t="shared" si="94"/>
        <v>-0.136014239872788+0.00522464514862236i</v>
      </c>
      <c r="AT78">
        <f t="shared" si="95"/>
        <v>-17.321909049477732</v>
      </c>
      <c r="AU78" s="44">
        <f t="shared" si="96"/>
        <v>177.80020816434032</v>
      </c>
      <c r="AV78" s="42" t="str">
        <f t="shared" si="70"/>
        <v>-1.9860615869706+13.5028570553916i</v>
      </c>
      <c r="AW78" s="20">
        <f t="shared" si="97"/>
        <v>22.701466200201608</v>
      </c>
      <c r="AX78" s="44">
        <f t="shared" si="98"/>
        <v>98.36732865693989</v>
      </c>
    </row>
    <row r="79" spans="1:50" x14ac:dyDescent="0.3">
      <c r="N79" s="8">
        <v>61</v>
      </c>
      <c r="O79" s="35">
        <f t="shared" si="71"/>
        <v>40.738027780411279</v>
      </c>
      <c r="P79" s="34" t="str">
        <f t="shared" si="72"/>
        <v>545.10556621881</v>
      </c>
      <c r="Q79" s="4" t="str">
        <f t="shared" si="63"/>
        <v>1+5.46811084186954i</v>
      </c>
      <c r="R79" s="4">
        <f t="shared" si="73"/>
        <v>5.5587980876239067</v>
      </c>
      <c r="S79" s="4">
        <f t="shared" si="74"/>
        <v>1.389916614692253</v>
      </c>
      <c r="T79" s="4" t="str">
        <f t="shared" si="64"/>
        <v>1+0.000127982288796677i</v>
      </c>
      <c r="U79" s="4">
        <f t="shared" si="75"/>
        <v>1.0000000081897331</v>
      </c>
      <c r="V79" s="4">
        <f t="shared" si="76"/>
        <v>1.2798228809791649E-4</v>
      </c>
      <c r="W79" t="str">
        <f t="shared" si="65"/>
        <v>1-0.000132948001601988i</v>
      </c>
      <c r="X79" s="4">
        <f t="shared" si="77"/>
        <v>1.0000000088375856</v>
      </c>
      <c r="Y79" s="4">
        <f t="shared" si="78"/>
        <v>-1.329480008186951E-4</v>
      </c>
      <c r="Z79" t="str">
        <f t="shared" si="66"/>
        <v>0.999999893786438+0.00057572303437743i</v>
      </c>
      <c r="AA79" s="4">
        <f t="shared" si="79"/>
        <v>1.0000000595149481</v>
      </c>
      <c r="AB79" s="4">
        <f t="shared" si="80"/>
        <v>5.7572303191787751E-4</v>
      </c>
      <c r="AC79" s="48" t="str">
        <f t="shared" si="81"/>
        <v>17.5848039023784-96.4721935064502i</v>
      </c>
      <c r="AD79" s="20">
        <f t="shared" si="82"/>
        <v>39.829993977215082</v>
      </c>
      <c r="AE79" s="44">
        <f t="shared" si="83"/>
        <v>-79.669626911255691</v>
      </c>
      <c r="AF79" t="str">
        <f t="shared" si="84"/>
        <v>-0.979317078436135</v>
      </c>
      <c r="AG79" t="str">
        <f t="shared" si="85"/>
        <v>255.964577593354i</v>
      </c>
      <c r="AH79">
        <f t="shared" si="86"/>
        <v>255.96457759335399</v>
      </c>
      <c r="AI79">
        <f t="shared" si="87"/>
        <v>1.5707963267948966</v>
      </c>
      <c r="AJ79" t="str">
        <f t="shared" si="67"/>
        <v>0.998985850278292+0.250824808875279i</v>
      </c>
      <c r="AK79">
        <f t="shared" si="88"/>
        <v>1.0299931134738534</v>
      </c>
      <c r="AL79">
        <f t="shared" si="89"/>
        <v>0.24599434929721437</v>
      </c>
      <c r="AM79" t="str">
        <f t="shared" si="68"/>
        <v>1+35.6097920347874i</v>
      </c>
      <c r="AN79">
        <f t="shared" si="90"/>
        <v>35.62383034937158</v>
      </c>
      <c r="AO79">
        <f t="shared" si="91"/>
        <v>1.542721541802256</v>
      </c>
      <c r="AP79" t="str">
        <f t="shared" si="69"/>
        <v>1+0.240606702937753i</v>
      </c>
      <c r="AQ79">
        <f t="shared" si="92"/>
        <v>1.0285385678226053</v>
      </c>
      <c r="AR79">
        <f t="shared" si="93"/>
        <v>0.23611856180333327</v>
      </c>
      <c r="AS79" s="42" t="str">
        <f t="shared" si="94"/>
        <v>-0.136005826395522+0.00516397834425148i</v>
      </c>
      <c r="AT79">
        <f t="shared" si="95"/>
        <v>-17.322593316414515</v>
      </c>
      <c r="AU79" s="44">
        <f t="shared" si="96"/>
        <v>177.82559236641703</v>
      </c>
      <c r="AV79" s="42" t="str">
        <f t="shared" si="70"/>
        <v>-1.89345546865643+13.2115879485733i</v>
      </c>
      <c r="AW79" s="20">
        <f t="shared" si="97"/>
        <v>22.507400660800592</v>
      </c>
      <c r="AX79" s="44">
        <f t="shared" si="98"/>
        <v>98.155965455161336</v>
      </c>
    </row>
    <row r="80" spans="1:50" x14ac:dyDescent="0.3">
      <c r="N80" s="8">
        <v>62</v>
      </c>
      <c r="O80" s="35">
        <f t="shared" si="71"/>
        <v>41.686938347033561</v>
      </c>
      <c r="P80" s="34" t="str">
        <f t="shared" si="72"/>
        <v>545.10556621881</v>
      </c>
      <c r="Q80" s="4" t="str">
        <f t="shared" si="63"/>
        <v>1+5.59547950549952i</v>
      </c>
      <c r="R80" s="4">
        <f t="shared" si="73"/>
        <v>5.684135017438023</v>
      </c>
      <c r="S80" s="4">
        <f t="shared" si="74"/>
        <v>1.3939476674628595</v>
      </c>
      <c r="T80" s="4" t="str">
        <f t="shared" si="64"/>
        <v>1+0.000130963379261691i</v>
      </c>
      <c r="U80" s="4">
        <f t="shared" si="75"/>
        <v>1.0000000085757033</v>
      </c>
      <c r="V80" s="4">
        <f t="shared" si="76"/>
        <v>1.3096337851295562E-4</v>
      </c>
      <c r="W80" t="str">
        <f t="shared" si="65"/>
        <v>1-0.000136044758377045i</v>
      </c>
      <c r="X80" s="4">
        <f t="shared" si="77"/>
        <v>1.0000000092540882</v>
      </c>
      <c r="Y80" s="4">
        <f t="shared" si="78"/>
        <v>-1.3604475753773153E-4</v>
      </c>
      <c r="Z80" t="str">
        <f t="shared" si="66"/>
        <v>0.999999888780747+0.000589133346573037i</v>
      </c>
      <c r="AA80" s="4">
        <f t="shared" si="79"/>
        <v>1.0000000623198013</v>
      </c>
      <c r="AB80" s="4">
        <f t="shared" si="80"/>
        <v>5.8913334393757898E-4</v>
      </c>
      <c r="AC80" s="48" t="str">
        <f t="shared" si="81"/>
        <v>16.8153283135151-94.4137346760629i</v>
      </c>
      <c r="AD80" s="20">
        <f t="shared" si="82"/>
        <v>39.636324241689671</v>
      </c>
      <c r="AE80" s="44">
        <f t="shared" si="83"/>
        <v>-79.901364203477641</v>
      </c>
      <c r="AF80" t="str">
        <f t="shared" si="84"/>
        <v>-0.979317078436135</v>
      </c>
      <c r="AG80" t="str">
        <f t="shared" si="85"/>
        <v>261.926758523383i</v>
      </c>
      <c r="AH80">
        <f t="shared" si="86"/>
        <v>261.926758523383</v>
      </c>
      <c r="AI80">
        <f t="shared" si="87"/>
        <v>1.5707963267948966</v>
      </c>
      <c r="AJ80" t="str">
        <f t="shared" si="67"/>
        <v>0.998938054874402+0.256667269212233i</v>
      </c>
      <c r="AK80">
        <f t="shared" si="88"/>
        <v>1.0313851485071515</v>
      </c>
      <c r="AL80">
        <f t="shared" si="89"/>
        <v>0.25149980455168475</v>
      </c>
      <c r="AM80" t="str">
        <f t="shared" si="68"/>
        <v>1+36.439250645773i</v>
      </c>
      <c r="AN80">
        <f t="shared" si="90"/>
        <v>36.452969530965071</v>
      </c>
      <c r="AO80">
        <f t="shared" si="91"/>
        <v>1.5433602775506283</v>
      </c>
      <c r="AP80" t="str">
        <f t="shared" si="69"/>
        <v>1+0.246211153011981i</v>
      </c>
      <c r="AQ80">
        <f t="shared" si="92"/>
        <v>1.0298640356219306</v>
      </c>
      <c r="AR80">
        <f t="shared" si="93"/>
        <v>0.2414095227680198</v>
      </c>
      <c r="AS80" s="42" t="str">
        <f t="shared" si="94"/>
        <v>-0.135997062293063+0.00510586774122829i</v>
      </c>
      <c r="AT80">
        <f t="shared" si="95"/>
        <v>-17.323292174985781</v>
      </c>
      <c r="AU80" s="44">
        <f t="shared" si="96"/>
        <v>177.84989961148861</v>
      </c>
      <c r="AV80" s="42" t="str">
        <f t="shared" si="70"/>
        <v>-1.80477120992002+12.9258473984554i</v>
      </c>
      <c r="AW80" s="20">
        <f t="shared" si="97"/>
        <v>22.313032066703901</v>
      </c>
      <c r="AX80" s="44">
        <f t="shared" si="98"/>
        <v>97.94853540801094</v>
      </c>
    </row>
    <row r="81" spans="14:50" x14ac:dyDescent="0.3">
      <c r="N81" s="8">
        <v>63</v>
      </c>
      <c r="O81" s="35">
        <f t="shared" si="71"/>
        <v>42.657951880159267</v>
      </c>
      <c r="P81" s="34" t="str">
        <f t="shared" si="72"/>
        <v>545.10556621881</v>
      </c>
      <c r="Q81" s="4" t="str">
        <f t="shared" si="63"/>
        <v>1+5.72581496642824i</v>
      </c>
      <c r="R81" s="4">
        <f t="shared" si="73"/>
        <v>5.8124828627509624</v>
      </c>
      <c r="S81" s="4">
        <f t="shared" si="74"/>
        <v>1.3978925824427491</v>
      </c>
      <c r="T81" s="4" t="str">
        <f t="shared" si="64"/>
        <v>1+0.000134013908243895i</v>
      </c>
      <c r="U81" s="4">
        <f t="shared" si="75"/>
        <v>1.0000000089798637</v>
      </c>
      <c r="V81" s="4">
        <f t="shared" si="76"/>
        <v>1.3401390744161056E-4</v>
      </c>
      <c r="W81" t="str">
        <f t="shared" si="65"/>
        <v>1-0.000139213647883758i</v>
      </c>
      <c r="X81" s="4">
        <f t="shared" si="77"/>
        <v>1.0000000096902197</v>
      </c>
      <c r="Y81" s="4">
        <f t="shared" si="78"/>
        <v>-1.3921364698441744E-4</v>
      </c>
      <c r="Z81" t="str">
        <f t="shared" si="66"/>
        <v>0.999999883539145+0.000602856025067098i</v>
      </c>
      <c r="AA81" s="4">
        <f t="shared" si="79"/>
        <v>1.0000000652568433</v>
      </c>
      <c r="AB81" s="4">
        <f t="shared" si="80"/>
        <v>6.0285602224315364E-4</v>
      </c>
      <c r="AC81" s="48" t="str">
        <f t="shared" si="81"/>
        <v>16.078386371267-92.3933198650712i</v>
      </c>
      <c r="AD81" s="20">
        <f t="shared" si="82"/>
        <v>39.442378221370269</v>
      </c>
      <c r="AE81" s="44">
        <f t="shared" si="83"/>
        <v>-80.128184215471961</v>
      </c>
      <c r="AF81" t="str">
        <f t="shared" si="84"/>
        <v>-0.979317078436135</v>
      </c>
      <c r="AG81" t="str">
        <f t="shared" si="85"/>
        <v>268.027816487791i</v>
      </c>
      <c r="AH81">
        <f t="shared" si="86"/>
        <v>268.02781648779097</v>
      </c>
      <c r="AI81">
        <f t="shared" si="87"/>
        <v>1.5707963267948966</v>
      </c>
      <c r="AJ81" t="str">
        <f t="shared" si="67"/>
        <v>0.998888006942523+0.262645817932716i</v>
      </c>
      <c r="AK81">
        <f t="shared" si="88"/>
        <v>1.032840779641834</v>
      </c>
      <c r="AL81">
        <f t="shared" si="89"/>
        <v>0.25711824123099608</v>
      </c>
      <c r="AM81" t="str">
        <f t="shared" si="68"/>
        <v>1+37.2880298297815i</v>
      </c>
      <c r="AN81">
        <f t="shared" si="90"/>
        <v>37.301436548565725</v>
      </c>
      <c r="AO81">
        <f t="shared" si="91"/>
        <v>1.5439844955366098</v>
      </c>
      <c r="AP81" t="str">
        <f t="shared" si="69"/>
        <v>1+0.251946147498524i</v>
      </c>
      <c r="AQ81">
        <f t="shared" si="92"/>
        <v>1.03125014484331</v>
      </c>
      <c r="AR81">
        <f t="shared" si="93"/>
        <v>0.24680949094693716</v>
      </c>
      <c r="AS81" s="42" t="str">
        <f t="shared" si="94"/>
        <v>-0.135987935062104+0.00505027109813354i</v>
      </c>
      <c r="AT81">
        <f t="shared" si="95"/>
        <v>-17.324006734494386</v>
      </c>
      <c r="AU81" s="44">
        <f t="shared" si="96"/>
        <v>177.87314734455236</v>
      </c>
      <c r="AV81" s="42" t="str">
        <f t="shared" si="70"/>
        <v>-1.7198552487841+12.6455769919789i</v>
      </c>
      <c r="AW81" s="20">
        <f t="shared" si="97"/>
        <v>22.118371486875859</v>
      </c>
      <c r="AX81" s="44">
        <f t="shared" si="98"/>
        <v>97.744963129080446</v>
      </c>
    </row>
    <row r="82" spans="14:50" x14ac:dyDescent="0.3">
      <c r="N82" s="8">
        <v>64</v>
      </c>
      <c r="O82" s="35">
        <f t="shared" si="71"/>
        <v>43.651583224016633</v>
      </c>
      <c r="P82" s="34" t="str">
        <f t="shared" si="72"/>
        <v>545.10556621881</v>
      </c>
      <c r="Q82" s="4" t="str">
        <f t="shared" si="63"/>
        <v>1+5.85918633024227i</v>
      </c>
      <c r="R82" s="4">
        <f t="shared" si="73"/>
        <v>5.9439098624136184</v>
      </c>
      <c r="S82" s="4">
        <f t="shared" si="74"/>
        <v>1.4017529598968368</v>
      </c>
      <c r="T82" s="4" t="str">
        <f t="shared" si="64"/>
        <v>1+0.000137135493174134i</v>
      </c>
      <c r="U82" s="4">
        <f t="shared" si="75"/>
        <v>1.0000000094030717</v>
      </c>
      <c r="V82" s="4">
        <f t="shared" si="76"/>
        <v>1.3713549231447075E-4</v>
      </c>
      <c r="W82" t="str">
        <f t="shared" si="65"/>
        <v>1-0.00014245635030929i</v>
      </c>
      <c r="X82" s="4">
        <f t="shared" si="77"/>
        <v>1.0000000101469058</v>
      </c>
      <c r="Y82" s="4">
        <f t="shared" si="78"/>
        <v>-1.4245634934562923E-4</v>
      </c>
      <c r="Z82" t="str">
        <f t="shared" si="66"/>
        <v>0.999999878050514+0.000616898345805391i</v>
      </c>
      <c r="AA82" s="4">
        <f t="shared" si="79"/>
        <v>1.0000000683323036</v>
      </c>
      <c r="AB82" s="4">
        <f t="shared" si="80"/>
        <v>6.168983427794802E-4</v>
      </c>
      <c r="AC82" s="48" t="str">
        <f t="shared" si="81"/>
        <v>15.3726904366159-90.4106327760596i</v>
      </c>
      <c r="AD82" s="20">
        <f t="shared" si="82"/>
        <v>39.248167614059518</v>
      </c>
      <c r="AE82" s="44">
        <f t="shared" si="83"/>
        <v>-80.35017905614086</v>
      </c>
      <c r="AF82" t="str">
        <f t="shared" si="84"/>
        <v>-0.979317078436135</v>
      </c>
      <c r="AG82" t="str">
        <f t="shared" si="85"/>
        <v>274.270986348268i</v>
      </c>
      <c r="AH82">
        <f t="shared" si="86"/>
        <v>274.27098634826802</v>
      </c>
      <c r="AI82">
        <f t="shared" si="87"/>
        <v>1.5707963267948966</v>
      </c>
      <c r="AJ82" t="str">
        <f t="shared" si="67"/>
        <v>0.998835600324281+0.268763624942395i</v>
      </c>
      <c r="AK82">
        <f t="shared" si="88"/>
        <v>1.034362819598299</v>
      </c>
      <c r="AL82">
        <f t="shared" si="89"/>
        <v>0.26285129182028605</v>
      </c>
      <c r="AM82" t="str">
        <f t="shared" si="68"/>
        <v>1+38.156579620771i</v>
      </c>
      <c r="AN82">
        <f t="shared" si="90"/>
        <v>38.169681271347244</v>
      </c>
      <c r="AO82">
        <f t="shared" si="91"/>
        <v>1.5445945247819219</v>
      </c>
      <c r="AP82" t="str">
        <f t="shared" si="69"/>
        <v>1+0.257814727167373i</v>
      </c>
      <c r="AQ82">
        <f t="shared" si="92"/>
        <v>1.0326995853317591</v>
      </c>
      <c r="AR82">
        <f t="shared" si="93"/>
        <v>0.25232006924507155</v>
      </c>
      <c r="AS82" s="42" t="str">
        <f t="shared" si="94"/>
        <v>-0.135978431942968+0.00499714686146095i</v>
      </c>
      <c r="AT82">
        <f t="shared" si="95"/>
        <v>-17.324738106077476</v>
      </c>
      <c r="AU82" s="44">
        <f t="shared" si="96"/>
        <v>177.89535272234647</v>
      </c>
      <c r="AV82" s="42" t="str">
        <f t="shared" si="70"/>
        <v>-1.63855913049611+12.3707156676276i</v>
      </c>
      <c r="AW82" s="20">
        <f t="shared" si="97"/>
        <v>21.923429507982021</v>
      </c>
      <c r="AX82" s="44">
        <f t="shared" si="98"/>
        <v>97.545173666205656</v>
      </c>
    </row>
    <row r="83" spans="14:50" x14ac:dyDescent="0.3">
      <c r="N83" s="8">
        <v>65</v>
      </c>
      <c r="O83" s="35">
        <f t="shared" si="71"/>
        <v>44.668359215096324</v>
      </c>
      <c r="P83" s="34" t="str">
        <f t="shared" ref="P83:P146" si="99">COMPLEX(Adc,0)</f>
        <v>545.10556621881</v>
      </c>
      <c r="Q83" s="4" t="str">
        <f t="shared" ref="Q83:Q146" si="100">IMSUM(COMPLEX(1,0),IMDIV(COMPLEX(0,2*PI()*O83),COMPLEX(wp_lf,0)))</f>
        <v>1+5.9956643122041i</v>
      </c>
      <c r="R83" s="4">
        <f t="shared" si="73"/>
        <v>6.0784858759922979</v>
      </c>
      <c r="S83" s="4">
        <f t="shared" si="74"/>
        <v>1.4055303861836295</v>
      </c>
      <c r="T83" s="4" t="str">
        <f t="shared" ref="T83:T146" si="101">IMSUM(COMPLEX(1,0),IMDIV(COMPLEX(0,2*PI()*O83),COMPLEX(wz_esr,0)))</f>
        <v>1+0.000140329789158057i</v>
      </c>
      <c r="U83" s="4">
        <f t="shared" si="75"/>
        <v>1.0000000098462247</v>
      </c>
      <c r="V83" s="4">
        <f t="shared" si="76"/>
        <v>1.4032978823691125E-4</v>
      </c>
      <c r="W83" t="str">
        <f t="shared" ref="W83:W146" si="102">IMSUB(COMPLEX(1,0),IMDIV(COMPLEX(0,2*PI()*O83),COMPLEX(wz_rhp,0)))</f>
        <v>1-0.000145774584977389i</v>
      </c>
      <c r="X83" s="4">
        <f t="shared" si="77"/>
        <v>1.0000000106251148</v>
      </c>
      <c r="Y83" s="4">
        <f t="shared" si="78"/>
        <v>-1.4577458394480789E-4</v>
      </c>
      <c r="Z83" t="str">
        <f t="shared" ref="Z83:Z146" si="103">IMSUM(COMPLEX(1,0),IMDIV(COMPLEX(0,2*PI()*O83),COMPLEX(Q*(wsl/2),0)),IMDIV(IMPOWER(COMPLEX(0,2*PI()*O83),2),IMPOWER(COMPLEX(wsl/2,0),2)))</f>
        <v>0.999999872303212+0.000631267754212246i</v>
      </c>
      <c r="AA83" s="4">
        <f t="shared" si="79"/>
        <v>1.0000000715527062</v>
      </c>
      <c r="AB83" s="4">
        <f t="shared" si="80"/>
        <v>6.3126775096992386E-4</v>
      </c>
      <c r="AC83" s="48" t="str">
        <f t="shared" si="81"/>
        <v>14.6969962808356-88.4653316096981i</v>
      </c>
      <c r="AD83" s="20">
        <f t="shared" si="82"/>
        <v>39.053703653158024</v>
      </c>
      <c r="AE83" s="44">
        <f t="shared" si="83"/>
        <v>-80.567440047402386</v>
      </c>
      <c r="AF83" t="str">
        <f t="shared" ref="AF83:AF146" si="104">COMPLEX(Adc_ea_iso,0)</f>
        <v>-0.979317078436135</v>
      </c>
      <c r="AG83" t="str">
        <f t="shared" si="85"/>
        <v>280.659578316113i</v>
      </c>
      <c r="AH83">
        <f t="shared" si="86"/>
        <v>280.65957831611303</v>
      </c>
      <c r="AI83">
        <f t="shared" si="87"/>
        <v>1.5707963267948966</v>
      </c>
      <c r="AJ83" t="str">
        <f t="shared" ref="AJ83:AJ146" si="105">IMSUM(IMPRODUCT(COMPLEX(wpA_ea_iso,0),IMPOWER(COMPLEX(0,2*PI()*O83),2)),COMPLEX(0,wpB_ea_iso*2*PI()*O83),COMPLEX(1,0))</f>
        <v>0.998780723858214+0.275023933983526i</v>
      </c>
      <c r="AK83">
        <f t="shared" si="88"/>
        <v>1.0359541971605275</v>
      </c>
      <c r="AL83">
        <f t="shared" si="89"/>
        <v>0.26870056570361667</v>
      </c>
      <c r="AM83" t="str">
        <f t="shared" ref="AM83:AM146" si="106">IMSUM(COMPLEX(1,0),IMDIV(COMPLEX(0,2*PI()*O83),COMPLEX(wz1_ea_iso,0)))</f>
        <v>1+39.0453605353376i</v>
      </c>
      <c r="AN83">
        <f t="shared" si="90"/>
        <v>39.058164054836212</v>
      </c>
      <c r="AO83">
        <f t="shared" si="91"/>
        <v>1.5451906869149961</v>
      </c>
      <c r="AP83" t="str">
        <f t="shared" ref="AP83:AP146" si="107">IMSUM(COMPLEX(1,0),IMDIV(COMPLEX(0,2*PI()*O83),COMPLEX(wz2_ea_iso,0)))</f>
        <v>1+0.263820003617147i</v>
      </c>
      <c r="AQ83">
        <f t="shared" si="92"/>
        <v>1.0342151586147592</v>
      </c>
      <c r="AR83">
        <f t="shared" si="93"/>
        <v>0.25794284018368246</v>
      </c>
      <c r="AS83" s="42" t="str">
        <f t="shared" si="94"/>
        <v>-0.135968539932444+0.00494645411542801i</v>
      </c>
      <c r="AT83">
        <f t="shared" si="95"/>
        <v>-17.325487402594995</v>
      </c>
      <c r="AU83" s="44">
        <f t="shared" si="96"/>
        <v>177.91653263369744</v>
      </c>
      <c r="AV83" s="42" t="str">
        <f t="shared" ref="AV83:AV146" si="108">IMPRODUCT(AC83,AS83)</f>
        <v>-1.56073942208428+12.1011999913479i</v>
      </c>
      <c r="AW83" s="20">
        <f t="shared" si="97"/>
        <v>21.728216250563015</v>
      </c>
      <c r="AX83" s="44">
        <f t="shared" si="98"/>
        <v>97.349092586295043</v>
      </c>
    </row>
    <row r="84" spans="14:50" x14ac:dyDescent="0.3">
      <c r="N84" s="8">
        <v>66</v>
      </c>
      <c r="O84" s="35">
        <f t="shared" ref="O84:O118" si="109">10^(1+(N84/100))</f>
        <v>45.70881896148753</v>
      </c>
      <c r="P84" s="34" t="str">
        <f t="shared" si="99"/>
        <v>545.10556621881</v>
      </c>
      <c r="Q84" s="4" t="str">
        <f t="shared" si="100"/>
        <v>1+6.13532127474627i</v>
      </c>
      <c r="R84" s="4">
        <f t="shared" ref="R84:R147" si="110">IMABS(Q84)</f>
        <v>6.2162824215405621</v>
      </c>
      <c r="S84" s="4">
        <f t="shared" ref="S84:S147" si="111">IMARGUMENT(Q84)</f>
        <v>1.4092264327283748</v>
      </c>
      <c r="T84" s="4" t="str">
        <f t="shared" si="101"/>
        <v>1+0.000143598489853675i</v>
      </c>
      <c r="U84" s="4">
        <f t="shared" ref="U84:U147" si="112">IMABS(T84)</f>
        <v>1.0000000103102631</v>
      </c>
      <c r="V84" s="4">
        <f t="shared" ref="V84:V147" si="113">IMARGUMENT(T84)</f>
        <v>1.4359848886664954E-4</v>
      </c>
      <c r="W84" t="str">
        <f t="shared" si="102"/>
        <v>1-0.000149170111259997i</v>
      </c>
      <c r="X84" s="4">
        <f t="shared" ref="X84:X147" si="114">IMABS(W84)</f>
        <v>1.0000000111258609</v>
      </c>
      <c r="Y84" s="4">
        <f t="shared" ref="Y84:Y147" si="115">IMARGUMENT(W84)</f>
        <v>-1.491701101535664E-4</v>
      </c>
      <c r="Z84" t="str">
        <f t="shared" si="103"/>
        <v>0.999999866285048+0.0006459718691382i</v>
      </c>
      <c r="AA84" s="4">
        <f t="shared" ref="AA84:AA147" si="116">IMABS(Z84)</f>
        <v>1.0000000749248819</v>
      </c>
      <c r="AB84" s="4">
        <f t="shared" ref="AB84:AB147" si="117">IMARGUMENT(Z84)</f>
        <v>6.4597186566398913E-4</v>
      </c>
      <c r="AC84" s="48" t="str">
        <f t="shared" ref="AC84:AC147" si="118">(IMDIV(IMPRODUCT(P84,T84,W84),IMPRODUCT(Q84,Z84)))</f>
        <v>14.0501022888702-86.5570514225123i</v>
      </c>
      <c r="AD84" s="20">
        <f t="shared" ref="AD84:AD147" si="119">20*LOG(IMABS(AC84))</f>
        <v>38.858997123445654</v>
      </c>
      <c r="AE84" s="44">
        <f t="shared" ref="AE84:AE147" si="120">(180/PI())*IMARGUMENT(AC84)</f>
        <v>-80.780057665584053</v>
      </c>
      <c r="AF84" t="str">
        <f t="shared" si="104"/>
        <v>-0.979317078436135</v>
      </c>
      <c r="AG84" t="str">
        <f t="shared" ref="AG84:AG147" si="121">COMPLEX(0,1*2*PI()*O84)</f>
        <v>287.19697970735i</v>
      </c>
      <c r="AH84">
        <f t="shared" ref="AH84:AH147" si="122">IMABS(AG84)</f>
        <v>287.19697970735001</v>
      </c>
      <c r="AI84">
        <f t="shared" ref="AI84:AI147" si="123">IMARGUMENT(AG84)</f>
        <v>1.5707963267948966</v>
      </c>
      <c r="AJ84" t="str">
        <f t="shared" si="105"/>
        <v>0.998723261143978+0.281430064354827i</v>
      </c>
      <c r="AK84">
        <f t="shared" ref="AK84:AK147" si="124">IMABS(AJ84)</f>
        <v>1.0376179612327578</v>
      </c>
      <c r="AL84">
        <f t="shared" ref="AL84:AL147" si="125">IMARGUMENT(AJ84)</f>
        <v>0.27466764537192068</v>
      </c>
      <c r="AM84" t="str">
        <f t="shared" si="106"/>
        <v>1+39.9548438168865i</v>
      </c>
      <c r="AN84">
        <f t="shared" ref="AN84:AN147" si="126">IMABS(AM84)</f>
        <v>39.967355985000978</v>
      </c>
      <c r="AO84">
        <f t="shared" ref="AO84:AO147" si="127">IMARGUMENT(AM84)</f>
        <v>1.5457732963328634</v>
      </c>
      <c r="AP84" t="str">
        <f t="shared" si="107"/>
        <v>1+0.26996516092491i</v>
      </c>
      <c r="AQ84">
        <f t="shared" ref="AQ84:AQ147" si="128">IMABS(AP84)</f>
        <v>1.0357997818657874</v>
      </c>
      <c r="AR84">
        <f t="shared" ref="AR84:AR147" si="129">IMARGUMENT(AP84)</f>
        <v>0.26367936230220579</v>
      </c>
      <c r="AS84" s="42" t="str">
        <f t="shared" ref="AS84:AS147" si="130">IMDIV(IMPRODUCT(AF84,AM84,AP84),IMPRODUCT(AG84,AJ84))</f>
        <v>-0.135958245798719+0.0048981525318316i</v>
      </c>
      <c r="AT84">
        <f t="shared" ref="AT84:AT147" si="131">20*LOG(IMABS(AS84))</f>
        <v>-17.326255738359336</v>
      </c>
      <c r="AU84" s="44">
        <f t="shared" ref="AU84:AU147" si="132">(180/PI())*IMARGUMENT(AS84)</f>
        <v>177.93670371990851</v>
      </c>
      <c r="AV84" s="42" t="str">
        <f t="shared" si="108"/>
        <v>-1.4862576199143+11.836964417013i</v>
      </c>
      <c r="AW84" s="20">
        <f t="shared" ref="AW84:AW147" si="133">20*LOG(IMABS(AV84))</f>
        <v>21.532741385086315</v>
      </c>
      <c r="AX84" s="44">
        <f t="shared" ref="AX84:AX147" si="134">(180/PI())*IMARGUMENT(AV84)</f>
        <v>97.156646054324455</v>
      </c>
    </row>
    <row r="85" spans="14:50" x14ac:dyDescent="0.3">
      <c r="N85" s="8">
        <v>67</v>
      </c>
      <c r="O85" s="35">
        <f t="shared" si="109"/>
        <v>46.773514128719818</v>
      </c>
      <c r="P85" s="34" t="str">
        <f t="shared" si="99"/>
        <v>545.10556621881</v>
      </c>
      <c r="Q85" s="4" t="str">
        <f t="shared" si="100"/>
        <v>1+6.27823126583887i</v>
      </c>
      <c r="R85" s="4">
        <f t="shared" si="110"/>
        <v>6.3573727142080267</v>
      </c>
      <c r="S85" s="4">
        <f t="shared" si="111"/>
        <v>1.4128426550929893</v>
      </c>
      <c r="T85" s="4" t="str">
        <f t="shared" si="101"/>
        <v>1+0.000146943328369365i</v>
      </c>
      <c r="U85" s="4">
        <f t="shared" si="112"/>
        <v>1.0000000107961708</v>
      </c>
      <c r="V85" s="4">
        <f t="shared" si="113"/>
        <v>1.4694332731174817E-4</v>
      </c>
      <c r="W85" t="str">
        <f t="shared" si="102"/>
        <v>1-0.000152644729510095i</v>
      </c>
      <c r="X85" s="4">
        <f t="shared" si="114"/>
        <v>1.0000000116502066</v>
      </c>
      <c r="Y85" s="4">
        <f t="shared" si="115"/>
        <v>-1.5264472832453326E-4</v>
      </c>
      <c r="Z85" t="str">
        <f t="shared" si="103"/>
        <v>0.999999859983256+0.00066101848689962i</v>
      </c>
      <c r="AA85" s="4">
        <f t="shared" si="116"/>
        <v>1.0000000784559828</v>
      </c>
      <c r="AB85" s="4">
        <f t="shared" si="117"/>
        <v>6.6101848317693605E-4</v>
      </c>
      <c r="AC85" s="48" t="str">
        <f t="shared" si="118"/>
        <v>13.430848611545-84.6854063524499i</v>
      </c>
      <c r="AD85" s="20">
        <f t="shared" si="119"/>
        <v>38.664058376560611</v>
      </c>
      <c r="AE85" s="44">
        <f t="shared" si="120"/>
        <v>-80.988121488367256</v>
      </c>
      <c r="AF85" t="str">
        <f t="shared" si="104"/>
        <v>-0.979317078436135</v>
      </c>
      <c r="AG85" t="str">
        <f t="shared" si="121"/>
        <v>293.886656738729i</v>
      </c>
      <c r="AH85">
        <f t="shared" si="122"/>
        <v>293.88665673872902</v>
      </c>
      <c r="AI85">
        <f t="shared" si="123"/>
        <v>1.5707963267948966</v>
      </c>
      <c r="AJ85" t="str">
        <f t="shared" si="105"/>
        <v>0.998663090295454+0.287985412671416i</v>
      </c>
      <c r="AK85">
        <f t="shared" si="124"/>
        <v>1.0393572849747057</v>
      </c>
      <c r="AL85">
        <f t="shared" si="125"/>
        <v>0.28075408242382449</v>
      </c>
      <c r="AM85" t="str">
        <f t="shared" si="106"/>
        <v>1+40.885511685492i</v>
      </c>
      <c r="AN85">
        <f t="shared" si="126"/>
        <v>40.897739128031304</v>
      </c>
      <c r="AO85">
        <f t="shared" si="127"/>
        <v>1.5463426603597845</v>
      </c>
      <c r="AP85" t="str">
        <f t="shared" si="107"/>
        <v>1+0.276253457334406i</v>
      </c>
      <c r="AQ85">
        <f t="shared" si="128"/>
        <v>1.0374564919500058</v>
      </c>
      <c r="AR85">
        <f t="shared" si="129"/>
        <v>0.26953116635630781</v>
      </c>
      <c r="AS85" s="42" t="str">
        <f t="shared" si="130"/>
        <v>-0.135947536098581+0.00485220232004741i</v>
      </c>
      <c r="AT85">
        <f t="shared" si="131"/>
        <v>-17.327044228696138</v>
      </c>
      <c r="AU85" s="44">
        <f t="shared" si="132"/>
        <v>177.95588239514902</v>
      </c>
      <c r="AV85" s="42" t="str">
        <f t="shared" si="108"/>
        <v>-1.41498005127508+11.5779415319158i</v>
      </c>
      <c r="AW85" s="20">
        <f t="shared" si="133"/>
        <v>21.337014147864451</v>
      </c>
      <c r="AX85" s="44">
        <f t="shared" si="134"/>
        <v>96.967760906781805</v>
      </c>
    </row>
    <row r="86" spans="14:50" x14ac:dyDescent="0.3">
      <c r="N86" s="8">
        <v>68</v>
      </c>
      <c r="O86" s="35">
        <f t="shared" si="109"/>
        <v>47.863009232263877</v>
      </c>
      <c r="P86" s="34" t="str">
        <f t="shared" si="99"/>
        <v>545.10556621881</v>
      </c>
      <c r="Q86" s="4" t="str">
        <f t="shared" si="100"/>
        <v>1+6.42447005825085i</v>
      </c>
      <c r="R86" s="4">
        <f t="shared" si="110"/>
        <v>6.5018317057089128</v>
      </c>
      <c r="S86" s="4">
        <f t="shared" si="111"/>
        <v>1.4163805921372767</v>
      </c>
      <c r="T86" s="4" t="str">
        <f t="shared" si="101"/>
        <v>1+0.000150366078182781i</v>
      </c>
      <c r="U86" s="4">
        <f t="shared" si="112"/>
        <v>1.0000000113049787</v>
      </c>
      <c r="V86" s="4">
        <f t="shared" si="113"/>
        <v>1.5036607704952413E-4</v>
      </c>
      <c r="W86" t="str">
        <f t="shared" si="102"/>
        <v>1-0.000156200282016272i</v>
      </c>
      <c r="X86" s="4">
        <f t="shared" si="114"/>
        <v>1.000000012199264</v>
      </c>
      <c r="Y86" s="4">
        <f t="shared" si="115"/>
        <v>-1.5620028074591968E-4</v>
      </c>
      <c r="Z86" t="str">
        <f t="shared" si="103"/>
        <v>0.99999985338447+0.00067641558541241i</v>
      </c>
      <c r="AA86" s="4">
        <f t="shared" si="116"/>
        <v>1.0000000821534993</v>
      </c>
      <c r="AB86" s="4">
        <f t="shared" si="117"/>
        <v>6.7641558142348247E-4</v>
      </c>
      <c r="AC86" s="48" t="str">
        <f t="shared" si="118"/>
        <v>12.8381162748223-82.8499917166967i</v>
      </c>
      <c r="AD86" s="20">
        <f t="shared" si="119"/>
        <v>38.468897346159451</v>
      </c>
      <c r="AE86" s="44">
        <f t="shared" si="120"/>
        <v>-81.191720146967455</v>
      </c>
      <c r="AF86" t="str">
        <f t="shared" si="104"/>
        <v>-0.979317078436135</v>
      </c>
      <c r="AG86" t="str">
        <f t="shared" si="121"/>
        <v>300.732156365561i</v>
      </c>
      <c r="AH86">
        <f t="shared" si="122"/>
        <v>300.73215636556102</v>
      </c>
      <c r="AI86">
        <f t="shared" si="123"/>
        <v>1.5707963267948966</v>
      </c>
      <c r="AJ86" t="str">
        <f t="shared" si="105"/>
        <v>0.998600083682204+0.294693454665741i</v>
      </c>
      <c r="AK86">
        <f t="shared" si="124"/>
        <v>1.0411754700111475</v>
      </c>
      <c r="AL86">
        <f t="shared" si="125"/>
        <v>0.28696139335653886</v>
      </c>
      <c r="AM86" t="str">
        <f t="shared" si="106"/>
        <v>1+41.8378575935768i</v>
      </c>
      <c r="AN86">
        <f t="shared" si="126"/>
        <v>41.849806785938831</v>
      </c>
      <c r="AO86">
        <f t="shared" si="127"/>
        <v>1.546899079402666</v>
      </c>
      <c r="AP86" t="str">
        <f t="shared" si="107"/>
        <v>1+0.282688226983628i</v>
      </c>
      <c r="AQ86">
        <f t="shared" si="128"/>
        <v>1.0391884495485635</v>
      </c>
      <c r="AR86">
        <f t="shared" si="129"/>
        <v>0.27549975130846055</v>
      </c>
      <c r="AS86" s="42" t="str">
        <f t="shared" si="130"/>
        <v>-0.135936397197+0.00480856417727744i</v>
      </c>
      <c r="AT86">
        <f t="shared" si="131"/>
        <v>-17.327853989330752</v>
      </c>
      <c r="AU86" s="44">
        <f t="shared" si="132"/>
        <v>177.97408486680064</v>
      </c>
      <c r="AV86" s="42" t="str">
        <f t="shared" si="108"/>
        <v>-1.34677777093887+11.3240622877919i</v>
      </c>
      <c r="AW86" s="20">
        <f t="shared" si="133"/>
        <v>21.141043356828717</v>
      </c>
      <c r="AX86" s="44">
        <f t="shared" si="134"/>
        <v>96.782364719833126</v>
      </c>
    </row>
    <row r="87" spans="14:50" x14ac:dyDescent="0.3">
      <c r="N87" s="8">
        <v>69</v>
      </c>
      <c r="O87" s="35">
        <f t="shared" si="109"/>
        <v>48.977881936844632</v>
      </c>
      <c r="P87" s="34" t="str">
        <f t="shared" si="99"/>
        <v>545.10556621881</v>
      </c>
      <c r="Q87" s="4" t="str">
        <f t="shared" si="100"/>
        <v>1+6.57411518972563i</v>
      </c>
      <c r="R87" s="4">
        <f t="shared" si="110"/>
        <v>6.6497361246730122</v>
      </c>
      <c r="S87" s="4">
        <f t="shared" si="111"/>
        <v>1.419841765266125</v>
      </c>
      <c r="T87" s="4" t="str">
        <f t="shared" si="101"/>
        <v>1+0.000153868554081179i</v>
      </c>
      <c r="U87" s="4">
        <f t="shared" si="112"/>
        <v>1.0000000118377659</v>
      </c>
      <c r="V87" s="4">
        <f t="shared" si="113"/>
        <v>1.5386855286687241E-4</v>
      </c>
      <c r="W87" t="str">
        <f t="shared" si="102"/>
        <v>1-0.000159838653979529i</v>
      </c>
      <c r="X87" s="4">
        <f t="shared" si="114"/>
        <v>1.0000000127741977</v>
      </c>
      <c r="Y87" s="4">
        <f t="shared" si="115"/>
        <v>-1.5983865261832197E-4</v>
      </c>
      <c r="Z87" t="str">
        <f t="shared" si="103"/>
        <v>0.999999846474693+0.000692171328422003i</v>
      </c>
      <c r="AA87" s="4">
        <f t="shared" si="116"/>
        <v>1.0000000860252751</v>
      </c>
      <c r="AB87" s="4">
        <f t="shared" si="117"/>
        <v>6.9217132414778999E-4</v>
      </c>
      <c r="AC87" s="48" t="str">
        <f t="shared" si="118"/>
        <v>12.2708262536247-81.0503859863278i</v>
      </c>
      <c r="AD87" s="20">
        <f t="shared" si="119"/>
        <v>38.273523562743669</v>
      </c>
      <c r="AE87" s="44">
        <f t="shared" si="120"/>
        <v>-81.390941283246164</v>
      </c>
      <c r="AF87" t="str">
        <f t="shared" si="104"/>
        <v>-0.979317078436135</v>
      </c>
      <c r="AG87" t="str">
        <f t="shared" si="121"/>
        <v>307.737108162359i</v>
      </c>
      <c r="AH87">
        <f t="shared" si="122"/>
        <v>307.73710816235899</v>
      </c>
      <c r="AI87">
        <f t="shared" si="123"/>
        <v>1.5707963267948966</v>
      </c>
      <c r="AJ87" t="str">
        <f t="shared" si="105"/>
        <v>0.998534107658753+0.301557747030459i</v>
      </c>
      <c r="AK87">
        <f t="shared" si="124"/>
        <v>1.0430759507111398</v>
      </c>
      <c r="AL87">
        <f t="shared" si="125"/>
        <v>0.29329105514487924</v>
      </c>
      <c r="AM87" t="str">
        <f t="shared" si="106"/>
        <v>1+42.8123864875474i</v>
      </c>
      <c r="AN87">
        <f t="shared" si="126"/>
        <v>42.824063758115379</v>
      </c>
      <c r="AO87">
        <f t="shared" si="127"/>
        <v>1.5474428471033121</v>
      </c>
      <c r="AP87" t="str">
        <f t="shared" si="107"/>
        <v>1+0.289272881672618i</v>
      </c>
      <c r="AQ87">
        <f t="shared" si="128"/>
        <v>1.0409989433573794</v>
      </c>
      <c r="AR87">
        <f t="shared" si="129"/>
        <v>0.28158658010812215</v>
      </c>
      <c r="AS87" s="42" t="str">
        <f t="shared" si="130"/>
        <v>-0.13592481528927+0.00476719923918382i</v>
      </c>
      <c r="AT87">
        <f t="shared" si="131"/>
        <v>-17.328686135589578</v>
      </c>
      <c r="AU87" s="44">
        <f t="shared" si="132"/>
        <v>177.99132715570528</v>
      </c>
      <c r="AV87" s="42" t="str">
        <f t="shared" si="108"/>
        <v>-1.28152645356109+11.0752562178961i</v>
      </c>
      <c r="AW87" s="20">
        <f t="shared" si="133"/>
        <v>20.944837427154109</v>
      </c>
      <c r="AX87" s="44">
        <f t="shared" si="134"/>
        <v>96.600385872459114</v>
      </c>
    </row>
    <row r="88" spans="14:50" x14ac:dyDescent="0.3">
      <c r="N88" s="8">
        <v>70</v>
      </c>
      <c r="O88" s="35">
        <f t="shared" si="109"/>
        <v>50.118723362727238</v>
      </c>
      <c r="P88" s="34" t="str">
        <f t="shared" si="99"/>
        <v>545.10556621881</v>
      </c>
      <c r="Q88" s="4" t="str">
        <f t="shared" si="100"/>
        <v>1+6.72724600409269i</v>
      </c>
      <c r="R88" s="4">
        <f t="shared" si="110"/>
        <v>6.8011645179028752</v>
      </c>
      <c r="S88" s="4">
        <f t="shared" si="111"/>
        <v>1.4232276777575945</v>
      </c>
      <c r="T88" s="4" t="str">
        <f t="shared" si="101"/>
        <v>1+0.000157452613123643i</v>
      </c>
      <c r="U88" s="4">
        <f t="shared" si="112"/>
        <v>1.0000000123956627</v>
      </c>
      <c r="V88" s="4">
        <f t="shared" si="113"/>
        <v>1.5745261182249003E-4</v>
      </c>
      <c r="W88" t="str">
        <f t="shared" si="102"/>
        <v>1-0.00016356177451284i</v>
      </c>
      <c r="X88" s="4">
        <f t="shared" si="114"/>
        <v>1.000000013376227</v>
      </c>
      <c r="Y88" s="4">
        <f t="shared" si="115"/>
        <v>-1.6356177305428042E-4</v>
      </c>
      <c r="Z88" t="str">
        <f t="shared" si="103"/>
        <v>0.999999839239268+0.000708294069831896i</v>
      </c>
      <c r="AA88" s="4">
        <f t="shared" si="116"/>
        <v>1.0000000900795216</v>
      </c>
      <c r="AB88" s="4">
        <f t="shared" si="117"/>
        <v>7.0829406525199407E-4</v>
      </c>
      <c r="AC88" s="48" t="str">
        <f t="shared" si="118"/>
        <v>11.7279385170938-79.2861526424768i</v>
      </c>
      <c r="AD88" s="20">
        <f t="shared" si="119"/>
        <v>38.077946168141075</v>
      </c>
      <c r="AE88" s="44">
        <f t="shared" si="120"/>
        <v>-81.585871511463367</v>
      </c>
      <c r="AF88" t="str">
        <f t="shared" si="104"/>
        <v>-0.979317078436135</v>
      </c>
      <c r="AG88" t="str">
        <f t="shared" si="121"/>
        <v>314.905226247286i</v>
      </c>
      <c r="AH88">
        <f t="shared" si="122"/>
        <v>314.90522624728601</v>
      </c>
      <c r="AI88">
        <f t="shared" si="123"/>
        <v>1.5707963267948966</v>
      </c>
      <c r="AJ88" t="str">
        <f t="shared" si="105"/>
        <v>0.998465022281111+0.308581929304241i</v>
      </c>
      <c r="AK88">
        <f t="shared" si="124"/>
        <v>1.0450622985315023</v>
      </c>
      <c r="AL88">
        <f t="shared" si="125"/>
        <v>0.29974450060748176</v>
      </c>
      <c r="AM88" t="str">
        <f t="shared" si="106"/>
        <v>1+43.8096150755224i</v>
      </c>
      <c r="AN88">
        <f t="shared" si="126"/>
        <v>43.821026608985783</v>
      </c>
      <c r="AO88">
        <f t="shared" si="127"/>
        <v>1.5479742504875538</v>
      </c>
      <c r="AP88" t="str">
        <f t="shared" si="107"/>
        <v>1+0.29601091267245i</v>
      </c>
      <c r="AQ88">
        <f t="shared" si="128"/>
        <v>1.0428913943557003</v>
      </c>
      <c r="AR88">
        <f t="shared" si="129"/>
        <v>0.28779307525950559</v>
      </c>
      <c r="AS88" s="42" t="str">
        <f t="shared" si="130"/>
        <v>-0.135912776425808+0.00472806903104349i</v>
      </c>
      <c r="AT88">
        <f t="shared" si="131"/>
        <v>-17.329541781411379</v>
      </c>
      <c r="AU88" s="44">
        <f t="shared" si="132"/>
        <v>178.00762511625902</v>
      </c>
      <c r="AV88" s="42" t="str">
        <f t="shared" si="108"/>
        <v>-1.21910628270991+10.8314516406601i</v>
      </c>
      <c r="AW88" s="20">
        <f t="shared" si="133"/>
        <v>20.748404386729703</v>
      </c>
      <c r="AX88" s="44">
        <f t="shared" si="134"/>
        <v>96.42175360479564</v>
      </c>
    </row>
    <row r="89" spans="14:50" x14ac:dyDescent="0.3">
      <c r="N89" s="8">
        <v>71</v>
      </c>
      <c r="O89" s="35">
        <f t="shared" si="109"/>
        <v>51.28613839913649</v>
      </c>
      <c r="P89" s="34" t="str">
        <f t="shared" si="99"/>
        <v>545.10556621881</v>
      </c>
      <c r="Q89" s="4" t="str">
        <f t="shared" si="100"/>
        <v>1+6.88394369333675i</v>
      </c>
      <c r="R89" s="4">
        <f t="shared" si="110"/>
        <v>6.9561972925608444</v>
      </c>
      <c r="S89" s="4">
        <f t="shared" si="111"/>
        <v>1.4265398141669834</v>
      </c>
      <c r="T89" s="4" t="str">
        <f t="shared" si="101"/>
        <v>1+0.000161120155625716i</v>
      </c>
      <c r="U89" s="4">
        <f t="shared" si="112"/>
        <v>1.0000000129798523</v>
      </c>
      <c r="V89" s="4">
        <f t="shared" si="113"/>
        <v>1.611201542315055E-4</v>
      </c>
      <c r="W89" t="str">
        <f t="shared" si="102"/>
        <v>1-0.000167371617663994i</v>
      </c>
      <c r="X89" s="4">
        <f t="shared" si="114"/>
        <v>1.0000000140066292</v>
      </c>
      <c r="Y89" s="4">
        <f t="shared" si="115"/>
        <v>-1.6737161610111921E-4</v>
      </c>
      <c r="Z89" t="str">
        <f t="shared" si="103"/>
        <v>0.999999831662849+0.000724792358132993i</v>
      </c>
      <c r="AA89" s="4">
        <f t="shared" si="116"/>
        <v>1.0000000943248399</v>
      </c>
      <c r="AB89" s="4">
        <f t="shared" si="117"/>
        <v>7.2479235322553892E-4</v>
      </c>
      <c r="AC89" s="48" t="str">
        <f t="shared" si="118"/>
        <v>11.2084510515406-77.5568419187564i</v>
      </c>
      <c r="AD89" s="20">
        <f t="shared" si="119"/>
        <v>37.882173929632437</v>
      </c>
      <c r="AE89" s="44">
        <f t="shared" si="120"/>
        <v>-81.776596384389023</v>
      </c>
      <c r="AF89" t="str">
        <f t="shared" si="104"/>
        <v>-0.979317078436135</v>
      </c>
      <c r="AG89" t="str">
        <f t="shared" si="121"/>
        <v>322.240311251433i</v>
      </c>
      <c r="AH89">
        <f t="shared" si="122"/>
        <v>322.24031125143301</v>
      </c>
      <c r="AI89">
        <f t="shared" si="123"/>
        <v>1.5707963267948966</v>
      </c>
      <c r="AJ89" t="str">
        <f t="shared" si="105"/>
        <v>0.99839268100993+0.315769725801504i</v>
      </c>
      <c r="AK89">
        <f t="shared" si="124"/>
        <v>1.0471382264185338</v>
      </c>
      <c r="AL89">
        <f t="shared" si="125"/>
        <v>0.30632311356040859</v>
      </c>
      <c r="AM89" t="str">
        <f t="shared" si="106"/>
        <v>1+44.8300721012994i</v>
      </c>
      <c r="AN89">
        <f t="shared" si="126"/>
        <v>44.841223941900864</v>
      </c>
      <c r="AO89">
        <f t="shared" si="127"/>
        <v>1.5484935701113092</v>
      </c>
      <c r="AP89" t="str">
        <f t="shared" si="107"/>
        <v>1+0.302905892576348i</v>
      </c>
      <c r="AQ89">
        <f t="shared" si="128"/>
        <v>1.0448693601390913</v>
      </c>
      <c r="AR89">
        <f t="shared" si="129"/>
        <v>0.29412061417588287</v>
      </c>
      <c r="AS89" s="42" t="str">
        <f t="shared" si="130"/>
        <v>-0.135900266539784+0.00469113541960402i</v>
      </c>
      <c r="AT89">
        <f t="shared" si="131"/>
        <v>-17.330422038158105</v>
      </c>
      <c r="AU89" s="44">
        <f t="shared" si="132"/>
        <v>178.02299445627892</v>
      </c>
      <c r="AV89" s="42" t="str">
        <f t="shared" si="108"/>
        <v>-1.15940183724478+10.5925758504697i</v>
      </c>
      <c r="AW89" s="20">
        <f t="shared" si="133"/>
        <v>20.551751891474357</v>
      </c>
      <c r="AX89" s="44">
        <f t="shared" si="134"/>
        <v>96.246398071889871</v>
      </c>
    </row>
    <row r="90" spans="14:50" x14ac:dyDescent="0.3">
      <c r="N90" s="8">
        <v>72</v>
      </c>
      <c r="O90" s="35">
        <f t="shared" si="109"/>
        <v>52.480746024977286</v>
      </c>
      <c r="P90" s="34" t="str">
        <f t="shared" si="99"/>
        <v>545.10556621881</v>
      </c>
      <c r="Q90" s="4" t="str">
        <f t="shared" si="100"/>
        <v>1+7.04429134064681i</v>
      </c>
      <c r="R90" s="4">
        <f t="shared" si="110"/>
        <v>7.1149167593100922</v>
      </c>
      <c r="S90" s="4">
        <f t="shared" si="111"/>
        <v>1.4297796398021683</v>
      </c>
      <c r="T90" s="4" t="str">
        <f t="shared" si="101"/>
        <v>1+0.000164873126166981i</v>
      </c>
      <c r="U90" s="4">
        <f t="shared" si="112"/>
        <v>1.0000000135915739</v>
      </c>
      <c r="V90" s="4">
        <f t="shared" si="113"/>
        <v>1.648731246730575E-4</v>
      </c>
      <c r="W90" t="str">
        <f t="shared" si="102"/>
        <v>1-0.000171270203462259i</v>
      </c>
      <c r="X90" s="4">
        <f t="shared" si="114"/>
        <v>1.0000000146667412</v>
      </c>
      <c r="Y90" s="4">
        <f t="shared" si="115"/>
        <v>-1.7127020178760852E-4</v>
      </c>
      <c r="Z90" t="str">
        <f t="shared" si="103"/>
        <v>0.999999823729363+0.000741674940936136i</v>
      </c>
      <c r="AA90" s="4">
        <f t="shared" si="116"/>
        <v>1.0000000987702329</v>
      </c>
      <c r="AB90" s="4">
        <f t="shared" si="117"/>
        <v>7.4167493567770437E-4</v>
      </c>
      <c r="AC90" s="48" t="str">
        <f t="shared" si="118"/>
        <v>10.7113988667654-75.8619924346887i</v>
      </c>
      <c r="AD90" s="20">
        <f t="shared" si="119"/>
        <v>37.686215253716625</v>
      </c>
      <c r="AE90" s="44">
        <f t="shared" si="120"/>
        <v>-81.963200363504114</v>
      </c>
      <c r="AF90" t="str">
        <f t="shared" si="104"/>
        <v>-0.979317078436135</v>
      </c>
      <c r="AG90" t="str">
        <f t="shared" si="121"/>
        <v>329.746252333961i</v>
      </c>
      <c r="AH90">
        <f t="shared" si="122"/>
        <v>329.74625233396102</v>
      </c>
      <c r="AI90">
        <f t="shared" si="123"/>
        <v>1.5707963267948966</v>
      </c>
      <c r="AJ90" t="str">
        <f t="shared" si="105"/>
        <v>0.998316930399673+0.323124947587095i</v>
      </c>
      <c r="AK90">
        <f t="shared" si="124"/>
        <v>1.0493075932612841</v>
      </c>
      <c r="AL90">
        <f t="shared" si="125"/>
        <v>0.31302822375959077</v>
      </c>
      <c r="AM90" t="str">
        <f t="shared" si="106"/>
        <v>1+45.8742986247007i</v>
      </c>
      <c r="AN90">
        <f t="shared" si="126"/>
        <v>45.885196679410853</v>
      </c>
      <c r="AO90">
        <f t="shared" si="127"/>
        <v>1.5490010802036203</v>
      </c>
      <c r="AP90" t="str">
        <f t="shared" si="107"/>
        <v>1+0.309961477193924i</v>
      </c>
      <c r="AQ90">
        <f t="shared" si="128"/>
        <v>1.0469365393108789</v>
      </c>
      <c r="AR90">
        <f t="shared" si="129"/>
        <v>0.30057052432049702</v>
      </c>
      <c r="AS90" s="42" t="str">
        <f t="shared" si="130"/>
        <v>-0.135887271477684+0.00465636056581815i</v>
      </c>
      <c r="AT90">
        <f t="shared" si="131"/>
        <v>-17.331328013219633</v>
      </c>
      <c r="AU90" s="44">
        <f t="shared" si="132"/>
        <v>178.03745075657039</v>
      </c>
      <c r="AV90" s="42" t="str">
        <f t="shared" si="108"/>
        <v>-1.10230197569663+10.3585552960985i</v>
      </c>
      <c r="AW90" s="20">
        <f t="shared" si="133"/>
        <v>20.354887240496979</v>
      </c>
      <c r="AX90" s="44">
        <f t="shared" si="134"/>
        <v>96.074250393066293</v>
      </c>
    </row>
    <row r="91" spans="14:50" x14ac:dyDescent="0.3">
      <c r="N91" s="8">
        <v>73</v>
      </c>
      <c r="O91" s="35">
        <f t="shared" si="109"/>
        <v>53.703179637025293</v>
      </c>
      <c r="P91" s="34" t="str">
        <f t="shared" si="99"/>
        <v>545.10556621881</v>
      </c>
      <c r="Q91" s="4" t="str">
        <f t="shared" si="100"/>
        <v>1+7.20837396446786i</v>
      </c>
      <c r="R91" s="4">
        <f t="shared" si="110"/>
        <v>7.2774071764343455</v>
      </c>
      <c r="S91" s="4">
        <f t="shared" si="111"/>
        <v>1.4329486002657139</v>
      </c>
      <c r="T91" s="4" t="str">
        <f t="shared" si="101"/>
        <v>1+0.000168713514622092i</v>
      </c>
      <c r="U91" s="4">
        <f t="shared" si="112"/>
        <v>1.000000014232125</v>
      </c>
      <c r="V91" s="4">
        <f t="shared" si="113"/>
        <v>1.6871351302132415E-4</v>
      </c>
      <c r="W91" t="str">
        <f t="shared" si="102"/>
        <v>1-0.000175259598989428i</v>
      </c>
      <c r="X91" s="4">
        <f t="shared" si="114"/>
        <v>1.0000000153579633</v>
      </c>
      <c r="Y91" s="4">
        <f t="shared" si="115"/>
        <v>-1.7525959719500768E-4</v>
      </c>
      <c r="Z91" t="str">
        <f t="shared" si="103"/>
        <v>0.999999815421984+0.000758950769610189i</v>
      </c>
      <c r="AA91" s="4">
        <f t="shared" si="116"/>
        <v>1.0000001034251311</v>
      </c>
      <c r="AB91" s="4">
        <f t="shared" si="117"/>
        <v>7.5895076397567774E-4</v>
      </c>
      <c r="AC91" s="48" t="str">
        <f t="shared" si="118"/>
        <v>10.2358529908829-74.201132724887i</v>
      </c>
      <c r="AD91" s="20">
        <f t="shared" si="119"/>
        <v>37.490078199509099</v>
      </c>
      <c r="AE91" s="44">
        <f t="shared" si="120"/>
        <v>-82.145766793033772</v>
      </c>
      <c r="AF91" t="str">
        <f t="shared" si="104"/>
        <v>-0.979317078436135</v>
      </c>
      <c r="AG91" t="str">
        <f t="shared" si="121"/>
        <v>337.427029244183i</v>
      </c>
      <c r="AH91">
        <f t="shared" si="122"/>
        <v>337.42702924418302</v>
      </c>
      <c r="AI91">
        <f t="shared" si="123"/>
        <v>1.5707963267948966</v>
      </c>
      <c r="AJ91" t="str">
        <f t="shared" si="105"/>
        <v>0.998237609773141+0.33065149449696i</v>
      </c>
      <c r="AK91">
        <f t="shared" si="124"/>
        <v>1.051574408388996</v>
      </c>
      <c r="AL91">
        <f t="shared" si="125"/>
        <v>0.31986110163494857</v>
      </c>
      <c r="AM91" t="str">
        <f t="shared" si="106"/>
        <v>1+46.9428483084507i</v>
      </c>
      <c r="AN91">
        <f t="shared" si="126"/>
        <v>46.953498350071989</v>
      </c>
      <c r="AO91">
        <f t="shared" si="127"/>
        <v>1.5494970488067155</v>
      </c>
      <c r="AP91" t="str">
        <f t="shared" si="107"/>
        <v>1+0.317181407489533i</v>
      </c>
      <c r="AQ91">
        <f t="shared" si="128"/>
        <v>1.0490967759253869</v>
      </c>
      <c r="AR91">
        <f t="shared" si="129"/>
        <v>0.30714407813539185</v>
      </c>
      <c r="AS91" s="42" t="str">
        <f t="shared" si="130"/>
        <v>-0.135873777032946+0.00462370687867136i</v>
      </c>
      <c r="AT91">
        <f t="shared" si="131"/>
        <v>-17.332260808404094</v>
      </c>
      <c r="AU91" s="44">
        <f t="shared" si="132"/>
        <v>178.05100949010799</v>
      </c>
      <c r="AV91" s="42" t="str">
        <f t="shared" si="108"/>
        <v>-1.04769971923997+10.1293157473363i</v>
      </c>
      <c r="AW91" s="20">
        <f t="shared" si="133"/>
        <v>20.15781739110497</v>
      </c>
      <c r="AX91" s="44">
        <f t="shared" si="134"/>
        <v>95.905242697074243</v>
      </c>
    </row>
    <row r="92" spans="14:50" x14ac:dyDescent="0.3">
      <c r="N92" s="8">
        <v>74</v>
      </c>
      <c r="O92" s="35">
        <f t="shared" si="109"/>
        <v>54.95408738576247</v>
      </c>
      <c r="P92" s="34" t="str">
        <f t="shared" si="99"/>
        <v>545.10556621881</v>
      </c>
      <c r="Q92" s="4" t="str">
        <f t="shared" si="100"/>
        <v>1+7.37627856357901i</v>
      </c>
      <c r="R92" s="4">
        <f t="shared" si="110"/>
        <v>7.443754794961694</v>
      </c>
      <c r="S92" s="4">
        <f t="shared" si="111"/>
        <v>1.4360481210594607</v>
      </c>
      <c r="T92" s="4" t="str">
        <f t="shared" si="101"/>
        <v>1+0.000172643357215843i</v>
      </c>
      <c r="U92" s="4">
        <f t="shared" si="112"/>
        <v>1.0000000149028643</v>
      </c>
      <c r="V92" s="4">
        <f t="shared" si="113"/>
        <v>1.7264335550058933E-4</v>
      </c>
      <c r="W92" t="str">
        <f t="shared" si="102"/>
        <v>1-0.000179341919475817i</v>
      </c>
      <c r="X92" s="4">
        <f t="shared" si="114"/>
        <v>1.0000000160817619</v>
      </c>
      <c r="Y92" s="4">
        <f t="shared" si="115"/>
        <v>-1.79341917553061E-4</v>
      </c>
      <c r="Z92" t="str">
        <f t="shared" si="103"/>
        <v>0.99999980672309+0.000776629004028193i</v>
      </c>
      <c r="AA92" s="4">
        <f t="shared" si="116"/>
        <v>1.0000001082994077</v>
      </c>
      <c r="AB92" s="4">
        <f t="shared" si="117"/>
        <v>7.7662899799070529E-4</v>
      </c>
      <c r="AC92" s="48" t="str">
        <f t="shared" si="118"/>
        <v>9.78091945828178-72.5737826686881i</v>
      </c>
      <c r="AD92" s="20">
        <f t="shared" si="119"/>
        <v>37.293770491769756</v>
      </c>
      <c r="AE92" s="44">
        <f t="shared" si="120"/>
        <v>-82.324377877565752</v>
      </c>
      <c r="AF92" t="str">
        <f t="shared" si="104"/>
        <v>-0.979317078436135</v>
      </c>
      <c r="AG92" t="str">
        <f t="shared" si="121"/>
        <v>345.286714431686i</v>
      </c>
      <c r="AH92">
        <f t="shared" si="122"/>
        <v>345.28671443168599</v>
      </c>
      <c r="AI92">
        <f t="shared" si="123"/>
        <v>1.5707963267948966</v>
      </c>
      <c r="AJ92" t="str">
        <f t="shared" si="105"/>
        <v>0.99815455088065+0.338353357205898i</v>
      </c>
      <c r="AK92">
        <f t="shared" si="124"/>
        <v>1.0539428361046219</v>
      </c>
      <c r="AL92">
        <f t="shared" si="125"/>
        <v>0.32682295282061502</v>
      </c>
      <c r="AM92" t="str">
        <f t="shared" si="106"/>
        <v>1+48.0362877117362i</v>
      </c>
      <c r="AN92">
        <f t="shared" si="126"/>
        <v>48.046695381937539</v>
      </c>
      <c r="AO92">
        <f t="shared" si="127"/>
        <v>1.5499817379131475</v>
      </c>
      <c r="AP92" t="str">
        <f t="shared" si="107"/>
        <v>1+0.324569511565786i</v>
      </c>
      <c r="AQ92">
        <f t="shared" si="128"/>
        <v>1.0513540639756205</v>
      </c>
      <c r="AR92">
        <f t="shared" si="129"/>
        <v>0.31384248776087681</v>
      </c>
      <c r="AS92" s="42" t="str">
        <f t="shared" si="130"/>
        <v>-0.135859768982771+0.00459313697033259i</v>
      </c>
      <c r="AT92">
        <f t="shared" si="131"/>
        <v>-17.333221518107717</v>
      </c>
      <c r="AU92" s="44">
        <f t="shared" si="132"/>
        <v>178.0636860407358</v>
      </c>
      <c r="AV92" s="42" t="str">
        <f t="shared" si="108"/>
        <v>-0.995492133788818+9.90478245034147i</v>
      </c>
      <c r="AW92" s="20">
        <f t="shared" si="133"/>
        <v>19.960548973662039</v>
      </c>
      <c r="AX92" s="44">
        <f t="shared" si="134"/>
        <v>95.739308163170037</v>
      </c>
    </row>
    <row r="93" spans="14:50" x14ac:dyDescent="0.3">
      <c r="N93" s="8">
        <v>75</v>
      </c>
      <c r="O93" s="35">
        <f t="shared" si="109"/>
        <v>56.234132519034915</v>
      </c>
      <c r="P93" s="34" t="str">
        <f t="shared" si="99"/>
        <v>545.10556621881</v>
      </c>
      <c r="Q93" s="4" t="str">
        <f t="shared" si="100"/>
        <v>1+7.54809416322114i</v>
      </c>
      <c r="R93" s="4">
        <f t="shared" si="110"/>
        <v>7.61404790481732</v>
      </c>
      <c r="S93" s="4">
        <f t="shared" si="111"/>
        <v>1.439079607247463</v>
      </c>
      <c r="T93" s="4" t="str">
        <f t="shared" si="101"/>
        <v>1+0.000176664737602795i</v>
      </c>
      <c r="U93" s="4">
        <f t="shared" si="112"/>
        <v>1.0000000156052147</v>
      </c>
      <c r="V93" s="4">
        <f t="shared" si="113"/>
        <v>1.7666473576486759E-4</v>
      </c>
      <c r="W93" t="str">
        <f t="shared" si="102"/>
        <v>1-0.000183519329421783i</v>
      </c>
      <c r="X93" s="4">
        <f t="shared" si="114"/>
        <v>1.0000000168396719</v>
      </c>
      <c r="Y93" s="4">
        <f t="shared" si="115"/>
        <v>-1.8351932736151281E-4</v>
      </c>
      <c r="Z93" t="str">
        <f t="shared" si="103"/>
        <v>0.99999979761423+0.00079471901742403i</v>
      </c>
      <c r="AA93" s="4">
        <f t="shared" si="116"/>
        <v>1.0000001134034024</v>
      </c>
      <c r="AB93" s="4">
        <f t="shared" si="117"/>
        <v>7.9471901095474497E-4</v>
      </c>
      <c r="AC93" s="48" t="str">
        <f t="shared" si="118"/>
        <v>9.34573829487872-70.9794548248863i</v>
      </c>
      <c r="AD93" s="20">
        <f t="shared" si="119"/>
        <v>37.097299533559429</v>
      </c>
      <c r="AE93" s="44">
        <f t="shared" si="120"/>
        <v>-82.499114663019029</v>
      </c>
      <c r="AF93" t="str">
        <f t="shared" si="104"/>
        <v>-0.979317078436135</v>
      </c>
      <c r="AG93" t="str">
        <f t="shared" si="121"/>
        <v>353.32947520559i</v>
      </c>
      <c r="AH93">
        <f t="shared" si="122"/>
        <v>353.32947520558997</v>
      </c>
      <c r="AI93">
        <f t="shared" si="123"/>
        <v>1.5707963267948966</v>
      </c>
      <c r="AJ93" t="str">
        <f t="shared" si="105"/>
        <v>0.998067577543153+0.346234619343462i</v>
      </c>
      <c r="AK93">
        <f t="shared" si="124"/>
        <v>1.0564172002456085</v>
      </c>
      <c r="AL93">
        <f t="shared" si="125"/>
        <v>0.33391491248732019</v>
      </c>
      <c r="AM93" t="str">
        <f t="shared" si="106"/>
        <v>1+49.1551965906017i</v>
      </c>
      <c r="AN93">
        <f t="shared" si="126"/>
        <v>49.165367402885352</v>
      </c>
      <c r="AO93">
        <f t="shared" si="127"/>
        <v>1.5504554036000546</v>
      </c>
      <c r="AP93" t="str">
        <f t="shared" si="107"/>
        <v>1+0.332129706693255i</v>
      </c>
      <c r="AQ93">
        <f t="shared" si="128"/>
        <v>1.0537125519173374</v>
      </c>
      <c r="AR93">
        <f t="shared" si="129"/>
        <v>0.32066689954984751</v>
      </c>
      <c r="AS93" s="42" t="str">
        <f t="shared" si="130"/>
        <v>-0.135845233128211+0.00456461361288183i</v>
      </c>
      <c r="AT93">
        <f t="shared" si="131"/>
        <v>-17.334211227258162</v>
      </c>
      <c r="AU93" s="44">
        <f t="shared" si="132"/>
        <v>178.0754957212838</v>
      </c>
      <c r="AV93" s="42" t="str">
        <f t="shared" si="108"/>
        <v>-0.945580211694442+9.68488027224324i</v>
      </c>
      <c r="AW93" s="20">
        <f t="shared" si="133"/>
        <v>19.76308830630127</v>
      </c>
      <c r="AX93" s="44">
        <f t="shared" si="134"/>
        <v>95.576381058264786</v>
      </c>
    </row>
    <row r="94" spans="14:50" x14ac:dyDescent="0.3">
      <c r="N94" s="8">
        <v>76</v>
      </c>
      <c r="O94" s="35">
        <f t="shared" si="109"/>
        <v>57.543993733715695</v>
      </c>
      <c r="P94" s="34" t="str">
        <f t="shared" si="99"/>
        <v>545.10556621881</v>
      </c>
      <c r="Q94" s="4" t="str">
        <f t="shared" si="100"/>
        <v>1+7.72391186229947i</v>
      </c>
      <c r="R94" s="4">
        <f t="shared" si="110"/>
        <v>7.7883768820319981</v>
      </c>
      <c r="S94" s="4">
        <f t="shared" si="111"/>
        <v>1.4420444431733881</v>
      </c>
      <c r="T94" s="4" t="str">
        <f t="shared" si="101"/>
        <v>1+0.000180779787972059i</v>
      </c>
      <c r="U94" s="4">
        <f t="shared" si="112"/>
        <v>1.0000000163406657</v>
      </c>
      <c r="V94" s="4">
        <f t="shared" si="113"/>
        <v>1.807797860026843E-4</v>
      </c>
      <c r="W94" t="str">
        <f t="shared" si="102"/>
        <v>1-0.000187794043745374i</v>
      </c>
      <c r="X94" s="4">
        <f t="shared" si="114"/>
        <v>1.0000000176333013</v>
      </c>
      <c r="Y94" s="4">
        <f t="shared" si="115"/>
        <v>-1.8779404153775471E-4</v>
      </c>
      <c r="Z94" t="str">
        <f t="shared" si="103"/>
        <v>0.999999788076082+0.000813230401362258i</v>
      </c>
      <c r="AA94" s="4">
        <f t="shared" si="116"/>
        <v>1.0000001187479401</v>
      </c>
      <c r="AB94" s="4">
        <f t="shared" si="117"/>
        <v>8.1323039443029427E-4</v>
      </c>
      <c r="AC94" s="48" t="str">
        <f t="shared" si="118"/>
        <v>8.92948250438402-69.4176556761234i</v>
      </c>
      <c r="AD94" s="20">
        <f t="shared" si="119"/>
        <v>36.900672418523762</v>
      </c>
      <c r="AE94" s="44">
        <f t="shared" si="120"/>
        <v>-82.670057020739222</v>
      </c>
      <c r="AF94" t="str">
        <f t="shared" si="104"/>
        <v>-0.979317078436135</v>
      </c>
      <c r="AG94" t="str">
        <f t="shared" si="121"/>
        <v>361.559575944117i</v>
      </c>
      <c r="AH94">
        <f t="shared" si="122"/>
        <v>361.559575944117</v>
      </c>
      <c r="AI94">
        <f t="shared" si="123"/>
        <v>1.5707963267948966</v>
      </c>
      <c r="AJ94" t="str">
        <f t="shared" si="105"/>
        <v>0.997976505278541+0.354299459659159i</v>
      </c>
      <c r="AK94">
        <f t="shared" si="124"/>
        <v>1.0590019887624111</v>
      </c>
      <c r="AL94">
        <f t="shared" si="125"/>
        <v>0.34113803948489851</v>
      </c>
      <c r="AM94" t="str">
        <f t="shared" si="106"/>
        <v>1+50.3001682053456i</v>
      </c>
      <c r="AN94">
        <f t="shared" si="126"/>
        <v>50.310107547947659</v>
      </c>
      <c r="AO94">
        <f t="shared" si="127"/>
        <v>1.550918296160597</v>
      </c>
      <c r="AP94" t="str">
        <f t="shared" si="107"/>
        <v>1+0.339866001387471i</v>
      </c>
      <c r="AQ94">
        <f t="shared" si="128"/>
        <v>1.0561765472207325</v>
      </c>
      <c r="AR94">
        <f t="shared" si="129"/>
        <v>0.32761838838290208</v>
      </c>
      <c r="AS94" s="42" t="str">
        <f t="shared" si="130"/>
        <v>-0.135830155337619+0.00453809969688764i</v>
      </c>
      <c r="AT94">
        <f t="shared" si="131"/>
        <v>-17.335231009026089</v>
      </c>
      <c r="AU94" s="44">
        <f t="shared" si="132"/>
        <v>178.08645379098911</v>
      </c>
      <c r="AV94" s="42" t="str">
        <f t="shared" si="108"/>
        <v>-0.897868753472566+9.4695338355077i</v>
      </c>
      <c r="AW94" s="20">
        <f t="shared" si="133"/>
        <v>19.565441409497673</v>
      </c>
      <c r="AX94" s="44">
        <f t="shared" si="134"/>
        <v>95.416396770249875</v>
      </c>
    </row>
    <row r="95" spans="14:50" x14ac:dyDescent="0.3">
      <c r="N95" s="8">
        <v>77</v>
      </c>
      <c r="O95" s="35">
        <f t="shared" si="109"/>
        <v>58.884365535558949</v>
      </c>
      <c r="P95" s="34" t="str">
        <f t="shared" si="99"/>
        <v>545.10556621881</v>
      </c>
      <c r="Q95" s="4" t="str">
        <f t="shared" si="100"/>
        <v>1+7.90382488168523i</v>
      </c>
      <c r="R95" s="4">
        <f t="shared" si="110"/>
        <v>7.9668342370320824</v>
      </c>
      <c r="S95" s="4">
        <f t="shared" si="111"/>
        <v>1.4449439922286387</v>
      </c>
      <c r="T95" s="4" t="str">
        <f t="shared" si="101"/>
        <v>1+0.000184990690177808i</v>
      </c>
      <c r="U95" s="4">
        <f t="shared" si="112"/>
        <v>1.0000000171107775</v>
      </c>
      <c r="V95" s="4">
        <f t="shared" si="113"/>
        <v>1.8499068806758498E-4</v>
      </c>
      <c r="W95" t="str">
        <f t="shared" si="102"/>
        <v>1-0.000192168328956706i</v>
      </c>
      <c r="X95" s="4">
        <f t="shared" si="114"/>
        <v>1.0000000184643332</v>
      </c>
      <c r="Y95" s="4">
        <f t="shared" si="115"/>
        <v>-1.9216832659119934E-4</v>
      </c>
      <c r="Z95" t="str">
        <f t="shared" si="103"/>
        <v>0.999999778088416+0.000832172970823663i</v>
      </c>
      <c r="AA95" s="4">
        <f t="shared" si="116"/>
        <v>1.0000001243443597</v>
      </c>
      <c r="AB95" s="4">
        <f t="shared" si="117"/>
        <v>8.3217296339592928E-4</v>
      </c>
      <c r="AC95" s="48" t="str">
        <f t="shared" si="118"/>
        <v>8.5313570588942-67.8878867874064i</v>
      </c>
      <c r="AD95" s="20">
        <f t="shared" si="119"/>
        <v>36.703895942806206</v>
      </c>
      <c r="AE95" s="44">
        <f t="shared" si="120"/>
        <v>-82.837283634506761</v>
      </c>
      <c r="AF95" t="str">
        <f t="shared" si="104"/>
        <v>-0.979317078436135</v>
      </c>
      <c r="AG95" t="str">
        <f t="shared" si="121"/>
        <v>369.981380355616i</v>
      </c>
      <c r="AH95">
        <f t="shared" si="122"/>
        <v>369.98138035561601</v>
      </c>
      <c r="AI95">
        <f t="shared" si="123"/>
        <v>1.5707963267948966</v>
      </c>
      <c r="AJ95" t="str">
        <f t="shared" si="105"/>
        <v>0.99788114091033+0.362552154238075i</v>
      </c>
      <c r="AK95">
        <f t="shared" si="124"/>
        <v>1.0617018583044726</v>
      </c>
      <c r="AL95">
        <f t="shared" si="125"/>
        <v>0.34849331030483227</v>
      </c>
      <c r="AM95" t="str">
        <f t="shared" si="106"/>
        <v>1+51.4718096350733i</v>
      </c>
      <c r="AN95">
        <f t="shared" si="126"/>
        <v>51.481522773799384</v>
      </c>
      <c r="AO95">
        <f t="shared" si="127"/>
        <v>1.5513706602326114</v>
      </c>
      <c r="AP95" t="str">
        <f t="shared" si="107"/>
        <v>1+0.34778249753428i</v>
      </c>
      <c r="AQ95">
        <f t="shared" si="128"/>
        <v>1.0587505209402173</v>
      </c>
      <c r="AR95">
        <f t="shared" si="129"/>
        <v>0.33469795179196843</v>
      </c>
      <c r="AS95" s="42" t="str">
        <f t="shared" si="130"/>
        <v>-0.135814521593513+0.00451355819214105i</v>
      </c>
      <c r="AT95">
        <f t="shared" si="131"/>
        <v>-17.336281922301747</v>
      </c>
      <c r="AU95" s="44">
        <f t="shared" si="132"/>
        <v>178.09657547209571</v>
      </c>
      <c r="AV95" s="42" t="str">
        <f t="shared" si="108"/>
        <v>-0.852266249940714+9.25866764256943i</v>
      </c>
      <c r="AW95" s="20">
        <f t="shared" si="133"/>
        <v>19.367614020504455</v>
      </c>
      <c r="AX95" s="44">
        <f t="shared" si="134"/>
        <v>95.259291837588961</v>
      </c>
    </row>
    <row r="96" spans="14:50" x14ac:dyDescent="0.3">
      <c r="N96" s="8">
        <v>78</v>
      </c>
      <c r="O96" s="35">
        <f t="shared" si="109"/>
        <v>60.255958607435822</v>
      </c>
      <c r="P96" s="34" t="str">
        <f t="shared" si="99"/>
        <v>545.10556621881</v>
      </c>
      <c r="Q96" s="4" t="str">
        <f t="shared" si="100"/>
        <v>1+8.08792861364276i</v>
      </c>
      <c r="R96" s="4">
        <f t="shared" si="110"/>
        <v>8.1495146640386675</v>
      </c>
      <c r="S96" s="4">
        <f t="shared" si="111"/>
        <v>1.4477795966676739</v>
      </c>
      <c r="T96" s="4" t="str">
        <f t="shared" si="101"/>
        <v>1+0.000189299676896131i</v>
      </c>
      <c r="U96" s="4">
        <f t="shared" si="112"/>
        <v>1.0000000179171837</v>
      </c>
      <c r="V96" s="4">
        <f t="shared" si="113"/>
        <v>1.8929967463498631E-4</v>
      </c>
      <c r="W96" t="str">
        <f t="shared" si="102"/>
        <v>1-0.0001966445043597i</v>
      </c>
      <c r="X96" s="4">
        <f t="shared" si="114"/>
        <v>1.0000000193345304</v>
      </c>
      <c r="Y96" s="4">
        <f t="shared" si="115"/>
        <v>-1.9664450182501394E-4</v>
      </c>
      <c r="Z96" t="str">
        <f t="shared" si="103"/>
        <v>0.999999767630045+0.000851556769409311i</v>
      </c>
      <c r="AA96" s="4">
        <f t="shared" si="116"/>
        <v>1.0000001302045294</v>
      </c>
      <c r="AB96" s="4">
        <f t="shared" si="117"/>
        <v>8.5155676145035075E-4</v>
      </c>
      <c r="AC96" s="48" t="str">
        <f t="shared" si="118"/>
        <v>8.15059789674574-66.3896458831036i</v>
      </c>
      <c r="AD96" s="20">
        <f t="shared" si="119"/>
        <v>36.506976616591587</v>
      </c>
      <c r="AE96" s="44">
        <f t="shared" si="120"/>
        <v>-83.000871990256471</v>
      </c>
      <c r="AF96" t="str">
        <f t="shared" si="104"/>
        <v>-0.979317078436135</v>
      </c>
      <c r="AG96" t="str">
        <f t="shared" si="121"/>
        <v>378.599353792262i</v>
      </c>
      <c r="AH96">
        <f t="shared" si="122"/>
        <v>378.59935379226198</v>
      </c>
      <c r="AI96">
        <f t="shared" si="123"/>
        <v>1.5707963267948966</v>
      </c>
      <c r="AJ96" t="str">
        <f t="shared" si="105"/>
        <v>0.997781282157909+0.370997078768114i</v>
      </c>
      <c r="AK96">
        <f t="shared" si="124"/>
        <v>1.0645216388026855</v>
      </c>
      <c r="AL96">
        <f t="shared" si="125"/>
        <v>0.35598161287491403</v>
      </c>
      <c r="AM96" t="str">
        <f t="shared" si="106"/>
        <v>1+52.6707420995795i</v>
      </c>
      <c r="AN96">
        <f t="shared" si="126"/>
        <v>52.680234180576832</v>
      </c>
      <c r="AO96">
        <f t="shared" si="127"/>
        <v>1.5518127349245423</v>
      </c>
      <c r="AP96" t="str">
        <f t="shared" si="107"/>
        <v>1+0.355883392564727i</v>
      </c>
      <c r="AQ96">
        <f t="shared" si="128"/>
        <v>1.061439112292071</v>
      </c>
      <c r="AR96">
        <f t="shared" si="129"/>
        <v>0.34190650390220989</v>
      </c>
      <c r="AS96" s="42" t="str">
        <f t="shared" si="130"/>
        <v>-0.135798318042918+0.00449095211085517i</v>
      </c>
      <c r="AT96">
        <f t="shared" si="131"/>
        <v>-17.337365008932501</v>
      </c>
      <c r="AU96" s="44">
        <f t="shared" si="132"/>
        <v>178.10587596550715</v>
      </c>
      <c r="AV96" s="42" t="str">
        <f t="shared" si="108"/>
        <v>-0.808684765104565+9.05220619121953i</v>
      </c>
      <c r="AW96" s="20">
        <f t="shared" si="133"/>
        <v>19.169611607659093</v>
      </c>
      <c r="AX96" s="44">
        <f t="shared" si="134"/>
        <v>95.105003975250682</v>
      </c>
    </row>
    <row r="97" spans="14:50" x14ac:dyDescent="0.3">
      <c r="N97" s="8">
        <v>79</v>
      </c>
      <c r="O97" s="35">
        <f t="shared" si="109"/>
        <v>61.659500186148257</v>
      </c>
      <c r="P97" s="34" t="str">
        <f t="shared" si="99"/>
        <v>545.10556621881</v>
      </c>
      <c r="Q97" s="4" t="str">
        <f t="shared" si="100"/>
        <v>1+8.27632067240763i</v>
      </c>
      <c r="R97" s="4">
        <f t="shared" si="110"/>
        <v>8.3365150916028377</v>
      </c>
      <c r="S97" s="4">
        <f t="shared" si="111"/>
        <v>1.4505525774671704</v>
      </c>
      <c r="T97" s="4" t="str">
        <f t="shared" si="101"/>
        <v>1+0.000193709032808822i</v>
      </c>
      <c r="U97" s="4">
        <f t="shared" si="112"/>
        <v>1.0000000187615945</v>
      </c>
      <c r="V97" s="4">
        <f t="shared" si="113"/>
        <v>1.9370903038596181E-4</v>
      </c>
      <c r="W97" t="str">
        <f t="shared" si="102"/>
        <v>1-0.000201224943281804i</v>
      </c>
      <c r="X97" s="4">
        <f t="shared" si="114"/>
        <v>1.0000000202457386</v>
      </c>
      <c r="Y97" s="4">
        <f t="shared" si="115"/>
        <v>-2.0122494056583896E-4</v>
      </c>
      <c r="Z97" t="str">
        <f t="shared" si="103"/>
        <v>0.999999756678786+0.000871392074665786i</v>
      </c>
      <c r="AA97" s="4">
        <f t="shared" si="116"/>
        <v>1.0000001363408801</v>
      </c>
      <c r="AB97" s="4">
        <f t="shared" si="117"/>
        <v>8.7139206613760648E-4</v>
      </c>
      <c r="AC97" s="48" t="str">
        <f t="shared" si="118"/>
        <v>7.78647093022111-64.9224278466604i</v>
      </c>
      <c r="AD97" s="20">
        <f t="shared" si="119"/>
        <v>36.309920675284118</v>
      </c>
      <c r="AE97" s="44">
        <f t="shared" si="120"/>
        <v>-83.160898368315642</v>
      </c>
      <c r="AF97" t="str">
        <f t="shared" si="104"/>
        <v>-0.979317078436135</v>
      </c>
      <c r="AG97" t="str">
        <f t="shared" si="121"/>
        <v>387.418065617644i</v>
      </c>
      <c r="AH97">
        <f t="shared" si="122"/>
        <v>387.418065617644</v>
      </c>
      <c r="AI97">
        <f t="shared" si="123"/>
        <v>1.5707963267948966</v>
      </c>
      <c r="AJ97" t="str">
        <f t="shared" si="105"/>
        <v>0.997676717207477+0.379638710860042i</v>
      </c>
      <c r="AK97">
        <f t="shared" si="124"/>
        <v>1.067466338036644</v>
      </c>
      <c r="AL97">
        <f t="shared" si="125"/>
        <v>0.36360374020038261</v>
      </c>
      <c r="AM97" t="str">
        <f t="shared" si="106"/>
        <v>1+53.8976012887266i</v>
      </c>
      <c r="AN97">
        <f t="shared" si="126"/>
        <v>53.906877341194075</v>
      </c>
      <c r="AO97">
        <f t="shared" si="127"/>
        <v>1.5522447539386894</v>
      </c>
      <c r="AP97" t="str">
        <f t="shared" si="107"/>
        <v>1+0.364172981680586i</v>
      </c>
      <c r="AQ97">
        <f t="shared" si="128"/>
        <v>1.0642471332289922</v>
      </c>
      <c r="AR97">
        <f t="shared" si="129"/>
        <v>0.34924486920403691</v>
      </c>
      <c r="AS97" s="42" t="str">
        <f t="shared" si="130"/>
        <v>-0.135781531051181+0.00447024447368162i</v>
      </c>
      <c r="AT97">
        <f t="shared" si="131"/>
        <v>-17.338481290721301</v>
      </c>
      <c r="AU97" s="44">
        <f t="shared" si="132"/>
        <v>178.11437046534641</v>
      </c>
      <c r="AV97" s="42" t="str">
        <f t="shared" si="108"/>
        <v>-0.767039820091408+8.85007408122468i</v>
      </c>
      <c r="AW97" s="20">
        <f t="shared" si="133"/>
        <v>18.971439384562821</v>
      </c>
      <c r="AX97" s="44">
        <f t="shared" si="134"/>
        <v>94.953472097030755</v>
      </c>
    </row>
    <row r="98" spans="14:50" x14ac:dyDescent="0.3">
      <c r="N98" s="8">
        <v>80</v>
      </c>
      <c r="O98" s="35">
        <f t="shared" si="109"/>
        <v>63.095734448019364</v>
      </c>
      <c r="P98" s="34" t="str">
        <f t="shared" si="99"/>
        <v>545.10556621881</v>
      </c>
      <c r="Q98" s="4" t="str">
        <f t="shared" si="100"/>
        <v>1+8.46910094594306i</v>
      </c>
      <c r="R98" s="4">
        <f t="shared" si="110"/>
        <v>8.5279347343054663</v>
      </c>
      <c r="S98" s="4">
        <f t="shared" si="111"/>
        <v>1.4532642342258504</v>
      </c>
      <c r="T98" s="4" t="str">
        <f t="shared" si="101"/>
        <v>1+0.00019822109581475i</v>
      </c>
      <c r="U98" s="4">
        <f t="shared" si="112"/>
        <v>1.0000000196458012</v>
      </c>
      <c r="V98" s="4">
        <f t="shared" si="113"/>
        <v>1.9822109321860856E-4</v>
      </c>
      <c r="W98" t="str">
        <f t="shared" si="102"/>
        <v>1-0.000205912074332362i</v>
      </c>
      <c r="X98" s="4">
        <f t="shared" si="114"/>
        <v>1.000000021199891</v>
      </c>
      <c r="Y98" s="4">
        <f t="shared" si="115"/>
        <v>-2.0591207142215304E-4</v>
      </c>
      <c r="Z98" t="str">
        <f t="shared" si="103"/>
        <v>0.999999745211411+0.000891689403534486i</v>
      </c>
      <c r="AA98" s="4">
        <f t="shared" si="116"/>
        <v>1.0000001427664293</v>
      </c>
      <c r="AB98" s="4">
        <f t="shared" si="117"/>
        <v>8.91689394396376E-4</v>
      </c>
      <c r="AC98" s="48" t="str">
        <f t="shared" si="118"/>
        <v>7.43827106537468-63.4857256471367i</v>
      </c>
      <c r="AD98" s="20">
        <f t="shared" si="119"/>
        <v>36.112734090323293</v>
      </c>
      <c r="AE98" s="44">
        <f t="shared" si="120"/>
        <v>-83.317437837979625</v>
      </c>
      <c r="AF98" t="str">
        <f t="shared" si="104"/>
        <v>-0.979317078436135</v>
      </c>
      <c r="AG98" t="str">
        <f t="shared" si="121"/>
        <v>396.4421916295i</v>
      </c>
      <c r="AH98">
        <f t="shared" si="122"/>
        <v>396.44219162949997</v>
      </c>
      <c r="AI98">
        <f t="shared" si="123"/>
        <v>1.5707963267948966</v>
      </c>
      <c r="AJ98" t="str">
        <f t="shared" si="105"/>
        <v>0.997567224262754+0.38848163242158i</v>
      </c>
      <c r="AK98">
        <f t="shared" si="124"/>
        <v>1.0705411461743222</v>
      </c>
      <c r="AL98">
        <f t="shared" si="125"/>
        <v>0.37136038386833425</v>
      </c>
      <c r="AM98" t="str">
        <f t="shared" si="106"/>
        <v>1+55.153037699496i</v>
      </c>
      <c r="AN98">
        <f t="shared" si="126"/>
        <v>55.162102638333387</v>
      </c>
      <c r="AO98">
        <f t="shared" si="127"/>
        <v>1.5526669456918245</v>
      </c>
      <c r="AP98" t="str">
        <f t="shared" si="107"/>
        <v>1+0.372655660131731i</v>
      </c>
      <c r="AQ98">
        <f t="shared" si="128"/>
        <v>1.0671795729998848</v>
      </c>
      <c r="AR98">
        <f t="shared" si="129"/>
        <v>0.35671377616937278</v>
      </c>
      <c r="AS98" s="42" t="str">
        <f t="shared" si="130"/>
        <v>-0.135764147259258+0.00445139827890354i</v>
      </c>
      <c r="AT98">
        <f t="shared" si="131"/>
        <v>-17.339631766185935</v>
      </c>
      <c r="AU98" s="44">
        <f t="shared" si="132"/>
        <v>178.12207417227538</v>
      </c>
      <c r="AV98" s="42" t="str">
        <f t="shared" si="108"/>
        <v>-0.727250278393199+8.65219611263715i</v>
      </c>
      <c r="AW98" s="20">
        <f t="shared" si="133"/>
        <v>18.773102324137366</v>
      </c>
      <c r="AX98" s="44">
        <f t="shared" si="134"/>
        <v>94.804636334295765</v>
      </c>
    </row>
    <row r="99" spans="14:50" x14ac:dyDescent="0.3">
      <c r="N99" s="8">
        <v>81</v>
      </c>
      <c r="O99" s="35">
        <f t="shared" si="109"/>
        <v>64.565422903465588</v>
      </c>
      <c r="P99" s="34" t="str">
        <f t="shared" si="99"/>
        <v>545.10556621881</v>
      </c>
      <c r="Q99" s="4" t="str">
        <f t="shared" si="100"/>
        <v>1+8.66637164890184i</v>
      </c>
      <c r="R99" s="4">
        <f t="shared" si="110"/>
        <v>8.7238751456499894</v>
      </c>
      <c r="S99" s="4">
        <f t="shared" si="111"/>
        <v>1.4559158451019656</v>
      </c>
      <c r="T99" s="4" t="str">
        <f t="shared" si="101"/>
        <v>1+0.000202838258269446i</v>
      </c>
      <c r="U99" s="4">
        <f t="shared" si="112"/>
        <v>1.0000000205716792</v>
      </c>
      <c r="V99" s="4">
        <f t="shared" si="113"/>
        <v>2.0283825548763032E-4</v>
      </c>
      <c r="W99" t="str">
        <f t="shared" si="102"/>
        <v>1-0.000210708382690299i</v>
      </c>
      <c r="X99" s="4">
        <f t="shared" si="114"/>
        <v>1.0000000221990111</v>
      </c>
      <c r="Y99" s="4">
        <f t="shared" si="115"/>
        <v>-2.1070837957195391E-4</v>
      </c>
      <c r="Z99" t="str">
        <f t="shared" si="103"/>
        <v>0.999999733203595+0.000912459517927845i</v>
      </c>
      <c r="AA99" s="4">
        <f t="shared" si="116"/>
        <v>1.0000001494948054</v>
      </c>
      <c r="AB99" s="4">
        <f t="shared" si="117"/>
        <v>9.1245950813618299E-4</v>
      </c>
      <c r="AC99" s="48" t="str">
        <f t="shared" si="118"/>
        <v>7.10532123595509-62.0790311965393i</v>
      </c>
      <c r="AD99" s="20">
        <f t="shared" si="119"/>
        <v>35.91542257964273</v>
      </c>
      <c r="AE99" s="44">
        <f t="shared" si="120"/>
        <v>-83.470564254252196</v>
      </c>
      <c r="AF99" t="str">
        <f t="shared" si="104"/>
        <v>-0.979317078436135</v>
      </c>
      <c r="AG99" t="str">
        <f t="shared" si="121"/>
        <v>405.676516538891i</v>
      </c>
      <c r="AH99">
        <f t="shared" si="122"/>
        <v>405.67651653889101</v>
      </c>
      <c r="AI99">
        <f t="shared" si="123"/>
        <v>1.5707963267948966</v>
      </c>
      <c r="AJ99" t="str">
        <f t="shared" si="105"/>
        <v>0.997452571074524+0.397530532086791i</v>
      </c>
      <c r="AK99">
        <f t="shared" si="124"/>
        <v>1.0737514402711577</v>
      </c>
      <c r="AL99">
        <f t="shared" si="125"/>
        <v>0.37925212743473702</v>
      </c>
      <c r="AM99" t="str">
        <f t="shared" si="106"/>
        <v>1+56.4377169808905i</v>
      </c>
      <c r="AN99">
        <f t="shared" si="126"/>
        <v>56.44657560928826</v>
      </c>
      <c r="AO99">
        <f t="shared" si="127"/>
        <v>1.5530795334332268</v>
      </c>
      <c r="AP99" t="str">
        <f t="shared" si="107"/>
        <v>1+0.381335925546558i</v>
      </c>
      <c r="AQ99">
        <f t="shared" si="128"/>
        <v>1.0702416026825203</v>
      </c>
      <c r="AR99">
        <f t="shared" si="129"/>
        <v>0.3643138507287233</v>
      </c>
      <c r="AS99" s="42" t="str">
        <f t="shared" si="130"/>
        <v>-0.135746153644428+0.0044343764751823i</v>
      </c>
      <c r="AT99">
        <f t="shared" si="131"/>
        <v>-17.34081740708131</v>
      </c>
      <c r="AU99" s="44">
        <f t="shared" si="132"/>
        <v>178.12900230541783</v>
      </c>
      <c r="AV99" s="42" t="str">
        <f t="shared" si="108"/>
        <v>-0.689238232648935+8.45849737623999i</v>
      </c>
      <c r="AW99" s="20">
        <f t="shared" si="133"/>
        <v>18.574605172561412</v>
      </c>
      <c r="AX99" s="44">
        <f t="shared" si="134"/>
        <v>94.658438051165632</v>
      </c>
    </row>
    <row r="100" spans="14:50" x14ac:dyDescent="0.3">
      <c r="N100" s="8">
        <v>82</v>
      </c>
      <c r="O100" s="35">
        <f t="shared" si="109"/>
        <v>66.069344800759623</v>
      </c>
      <c r="P100" s="34" t="str">
        <f t="shared" si="99"/>
        <v>545.10556621881</v>
      </c>
      <c r="Q100" s="4" t="str">
        <f t="shared" si="100"/>
        <v>1+8.86823737682186i</v>
      </c>
      <c r="R100" s="4">
        <f t="shared" si="110"/>
        <v>8.9244402721773124</v>
      </c>
      <c r="S100" s="4">
        <f t="shared" si="111"/>
        <v>1.4585086667856002</v>
      </c>
      <c r="T100" s="4" t="str">
        <f t="shared" si="101"/>
        <v>1+0.000207562968253557i</v>
      </c>
      <c r="U100" s="4">
        <f t="shared" si="112"/>
        <v>1.0000000215411926</v>
      </c>
      <c r="V100" s="4">
        <f t="shared" si="113"/>
        <v>2.0756296527278778E-4</v>
      </c>
      <c r="W100" t="str">
        <f t="shared" si="102"/>
        <v>1-0.000215616411421795i</v>
      </c>
      <c r="X100" s="4">
        <f t="shared" si="114"/>
        <v>1.0000000232452182</v>
      </c>
      <c r="Y100" s="4">
        <f t="shared" si="115"/>
        <v>-2.1561640808042805E-4</v>
      </c>
      <c r="Z100" t="str">
        <f t="shared" si="103"/>
        <v>0.999999720629867+0.000933713430435439i</v>
      </c>
      <c r="AA100" s="4">
        <f t="shared" si="116"/>
        <v>1.000000156540279</v>
      </c>
      <c r="AB100" s="4">
        <f t="shared" si="117"/>
        <v>9.3371341994348436E-4</v>
      </c>
      <c r="AC100" s="48" t="str">
        <f t="shared" si="118"/>
        <v>6.78697145312994-60.7018361417801i</v>
      </c>
      <c r="AD100" s="20">
        <f t="shared" si="119"/>
        <v>35.717991617777543</v>
      </c>
      <c r="AE100" s="44">
        <f t="shared" si="120"/>
        <v>-83.620350256588324</v>
      </c>
      <c r="AF100" t="str">
        <f t="shared" si="104"/>
        <v>-0.979317078436135</v>
      </c>
      <c r="AG100" t="str">
        <f t="shared" si="121"/>
        <v>415.125936507115i</v>
      </c>
      <c r="AH100">
        <f t="shared" si="122"/>
        <v>415.125936507115</v>
      </c>
      <c r="AI100">
        <f t="shared" si="123"/>
        <v>1.5707963267948966</v>
      </c>
      <c r="AJ100" t="str">
        <f t="shared" si="105"/>
        <v>0.997332514448003+0.406790207702052i</v>
      </c>
      <c r="AK100">
        <f t="shared" si="124"/>
        <v>1.0771027887149185</v>
      </c>
      <c r="AL100">
        <f t="shared" si="125"/>
        <v>0.38727943971606926</v>
      </c>
      <c r="AM100" t="str">
        <f t="shared" si="106"/>
        <v>1+57.7523202868698i</v>
      </c>
      <c r="AN100">
        <f t="shared" si="126"/>
        <v>57.760977298840722</v>
      </c>
      <c r="AO100">
        <f t="shared" si="127"/>
        <v>1.5534827353601814</v>
      </c>
      <c r="AP100" t="str">
        <f t="shared" si="107"/>
        <v>1+0.390218380316689i</v>
      </c>
      <c r="AQ100">
        <f t="shared" si="128"/>
        <v>1.0734385796760708</v>
      </c>
      <c r="AR100">
        <f t="shared" si="129"/>
        <v>0.37204560962813976</v>
      </c>
      <c r="AS100" s="42" t="str">
        <f t="shared" si="130"/>
        <v>-0.13572753758435+0.00441914193825843i</v>
      </c>
      <c r="AT100">
        <f t="shared" si="131"/>
        <v>-17.342039154689513</v>
      </c>
      <c r="AU100" s="44">
        <f t="shared" si="132"/>
        <v>178.13517011271915</v>
      </c>
      <c r="AV100" s="42" t="str">
        <f t="shared" si="108"/>
        <v>-0.652928893165173+8.2689033365548i</v>
      </c>
      <c r="AW100" s="20">
        <f t="shared" si="133"/>
        <v>18.375952463088026</v>
      </c>
      <c r="AX100" s="44">
        <f t="shared" si="134"/>
        <v>94.514819856130856</v>
      </c>
    </row>
    <row r="101" spans="14:50" x14ac:dyDescent="0.3">
      <c r="N101" s="8">
        <v>83</v>
      </c>
      <c r="O101" s="35">
        <f t="shared" si="109"/>
        <v>67.60829753919819</v>
      </c>
      <c r="P101" s="34" t="str">
        <f t="shared" si="99"/>
        <v>545.10556621881</v>
      </c>
      <c r="Q101" s="4" t="str">
        <f t="shared" si="100"/>
        <v>1+9.07480516158407i</v>
      </c>
      <c r="R101" s="4">
        <f t="shared" si="110"/>
        <v>9.1297365088327105</v>
      </c>
      <c r="S101" s="4">
        <f t="shared" si="111"/>
        <v>1.4610439345031079</v>
      </c>
      <c r="T101" s="4" t="str">
        <f t="shared" si="101"/>
        <v>1+0.000212397730870858i</v>
      </c>
      <c r="U101" s="4">
        <f t="shared" si="112"/>
        <v>1.0000000225563979</v>
      </c>
      <c r="V101" s="4">
        <f t="shared" si="113"/>
        <v>2.1239772767690625E-4</v>
      </c>
      <c r="W101" t="str">
        <f t="shared" si="102"/>
        <v>1-0.000220638762828647i</v>
      </c>
      <c r="X101" s="4">
        <f t="shared" si="114"/>
        <v>1.0000000243407317</v>
      </c>
      <c r="Y101" s="4">
        <f t="shared" si="115"/>
        <v>-2.206387592483078E-4</v>
      </c>
      <c r="Z101" t="str">
        <f t="shared" si="103"/>
        <v>0.999999707463559+0.000955462410163008i</v>
      </c>
      <c r="AA101" s="4">
        <f t="shared" si="116"/>
        <v>1.0000001639177969</v>
      </c>
      <c r="AB101" s="4">
        <f t="shared" si="117"/>
        <v>9.5546239892067462E-4</v>
      </c>
      <c r="AC101" s="48" t="str">
        <f t="shared" si="118"/>
        <v>6.48259787247251-59.3536325949467i</v>
      </c>
      <c r="AD101" s="20">
        <f t="shared" si="119"/>
        <v>35.520446445626106</v>
      </c>
      <c r="AE101" s="44">
        <f t="shared" si="120"/>
        <v>-83.766867269485843</v>
      </c>
      <c r="AF101" t="str">
        <f t="shared" si="104"/>
        <v>-0.979317078436135</v>
      </c>
      <c r="AG101" t="str">
        <f t="shared" si="121"/>
        <v>424.795461741716i</v>
      </c>
      <c r="AH101">
        <f t="shared" si="122"/>
        <v>424.795461741716</v>
      </c>
      <c r="AI101">
        <f t="shared" si="123"/>
        <v>1.5707963267948966</v>
      </c>
      <c r="AJ101" t="str">
        <f t="shared" si="105"/>
        <v>0.997206799726991+0.416265568869942i</v>
      </c>
      <c r="AK101">
        <f t="shared" si="124"/>
        <v>1.0806009556021887</v>
      </c>
      <c r="AL101">
        <f t="shared" si="125"/>
        <v>0.39544266801037681</v>
      </c>
      <c r="AM101" t="str">
        <f t="shared" si="106"/>
        <v>1+59.0975446375075i</v>
      </c>
      <c r="AN101">
        <f t="shared" si="126"/>
        <v>59.106004620361468</v>
      </c>
      <c r="AO101">
        <f t="shared" si="127"/>
        <v>1.5538767647309923</v>
      </c>
      <c r="AP101" t="str">
        <f t="shared" si="107"/>
        <v>1+0.399307734037214i</v>
      </c>
      <c r="AQ101">
        <f t="shared" si="128"/>
        <v>1.0767760521398748</v>
      </c>
      <c r="AR101">
        <f t="shared" si="129"/>
        <v>0.37990945368782048</v>
      </c>
      <c r="AS101" s="42" t="str">
        <f t="shared" si="130"/>
        <v>-0.135708286924343+0.00440565745201333i</v>
      </c>
      <c r="AT101">
        <f t="shared" si="131"/>
        <v>-17.343297915884431</v>
      </c>
      <c r="AU101" s="44">
        <f t="shared" si="132"/>
        <v>178.140592879574</v>
      </c>
      <c r="AV101" s="42" t="str">
        <f t="shared" si="108"/>
        <v>-0.618250478346647+8.08333990782233i</v>
      </c>
      <c r="AW101" s="20">
        <f t="shared" si="133"/>
        <v>18.177148529741672</v>
      </c>
      <c r="AX101" s="44">
        <f t="shared" si="134"/>
        <v>94.373725610088144</v>
      </c>
    </row>
    <row r="102" spans="14:50" x14ac:dyDescent="0.3">
      <c r="N102" s="8">
        <v>84</v>
      </c>
      <c r="O102" s="35">
        <f t="shared" si="109"/>
        <v>69.183097091893657</v>
      </c>
      <c r="P102" s="34" t="str">
        <f t="shared" si="99"/>
        <v>545.10556621881</v>
      </c>
      <c r="Q102" s="4" t="str">
        <f t="shared" si="100"/>
        <v>1+9.28618452816219i</v>
      </c>
      <c r="R102" s="4">
        <f t="shared" si="110"/>
        <v>9.339872755614973</v>
      </c>
      <c r="S102" s="4">
        <f t="shared" si="111"/>
        <v>1.4635228620511516</v>
      </c>
      <c r="T102" s="4" t="str">
        <f t="shared" si="101"/>
        <v>1+0.000217345109576483i</v>
      </c>
      <c r="U102" s="4">
        <f t="shared" si="112"/>
        <v>1.000000023619448</v>
      </c>
      <c r="V102" s="4">
        <f t="shared" si="113"/>
        <v>2.1734510615410206E-4</v>
      </c>
      <c r="W102" t="str">
        <f t="shared" si="102"/>
        <v>1-0.000225778099828049i</v>
      </c>
      <c r="X102" s="4">
        <f t="shared" si="114"/>
        <v>1.0000000254878749</v>
      </c>
      <c r="Y102" s="4">
        <f t="shared" si="115"/>
        <v>-2.2577809599164643E-4</v>
      </c>
      <c r="Z102" t="str">
        <f t="shared" si="103"/>
        <v>0.999999693676741+0.000977717988707486i</v>
      </c>
      <c r="AA102" s="4">
        <f t="shared" si="116"/>
        <v>1.000000171643006</v>
      </c>
      <c r="AB102" s="4">
        <f t="shared" si="117"/>
        <v>9.7771797666110823E-4</v>
      </c>
      <c r="AC102" s="48" t="str">
        <f t="shared" si="118"/>
        <v>6.19160187944659-58.0339138054291i</v>
      </c>
      <c r="AD102" s="20">
        <f t="shared" si="119"/>
        <v>35.322792079872997</v>
      </c>
      <c r="AE102" s="44">
        <f t="shared" si="120"/>
        <v>-83.910185504781097</v>
      </c>
      <c r="AF102" t="str">
        <f t="shared" si="104"/>
        <v>-0.979317078436135</v>
      </c>
      <c r="AG102" t="str">
        <f t="shared" si="121"/>
        <v>434.690219152965i</v>
      </c>
      <c r="AH102">
        <f t="shared" si="122"/>
        <v>434.69021915296503</v>
      </c>
      <c r="AI102">
        <f t="shared" si="123"/>
        <v>1.5707963267948966</v>
      </c>
      <c r="AJ102" t="str">
        <f t="shared" si="105"/>
        <v>0.997075160253708+0.425961639552374i</v>
      </c>
      <c r="AK102">
        <f t="shared" si="124"/>
        <v>1.0842519050318076</v>
      </c>
      <c r="AL102">
        <f t="shared" si="125"/>
        <v>0.40374203127536823</v>
      </c>
      <c r="AM102" t="str">
        <f t="shared" si="106"/>
        <v>1+60.4741032885605i</v>
      </c>
      <c r="AN102">
        <f t="shared" si="126"/>
        <v>60.482370725323619</v>
      </c>
      <c r="AO102">
        <f t="shared" si="127"/>
        <v>1.5542618299755535</v>
      </c>
      <c r="AP102" t="str">
        <f t="shared" si="107"/>
        <v>1+0.408608806003788i</v>
      </c>
      <c r="AQ102">
        <f t="shared" si="128"/>
        <v>1.0802597633642759</v>
      </c>
      <c r="AR102">
        <f t="shared" si="129"/>
        <v>0.38790566098688589</v>
      </c>
      <c r="AS102" s="42" t="str">
        <f t="shared" si="130"/>
        <v>-0.13568839004773+0.00439388569431779i</v>
      </c>
      <c r="AT102">
        <f t="shared" si="131"/>
        <v>-17.344594558980184</v>
      </c>
      <c r="AU102" s="44">
        <f t="shared" si="132"/>
        <v>178.14528593554272</v>
      </c>
      <c r="AV102" s="42" t="str">
        <f t="shared" si="108"/>
        <v>-0.58513410718366+7.90173352335042i</v>
      </c>
      <c r="AW102" s="20">
        <f t="shared" si="133"/>
        <v>17.978197520892813</v>
      </c>
      <c r="AX102" s="44">
        <f t="shared" si="134"/>
        <v>94.235100430761634</v>
      </c>
    </row>
    <row r="103" spans="14:50" x14ac:dyDescent="0.3">
      <c r="N103" s="8">
        <v>85</v>
      </c>
      <c r="O103" s="35">
        <f t="shared" si="109"/>
        <v>70.794578438413865</v>
      </c>
      <c r="P103" s="34" t="str">
        <f t="shared" si="99"/>
        <v>545.10556621881</v>
      </c>
      <c r="Q103" s="4" t="str">
        <f t="shared" si="100"/>
        <v>1+9.50248755269434i</v>
      </c>
      <c r="R103" s="4">
        <f t="shared" si="110"/>
        <v>9.5549604755389161</v>
      </c>
      <c r="S103" s="4">
        <f t="shared" si="111"/>
        <v>1.4659466418579654</v>
      </c>
      <c r="T103" s="4" t="str">
        <f t="shared" si="101"/>
        <v>1+0.000222407727536107i</v>
      </c>
      <c r="U103" s="4">
        <f t="shared" si="112"/>
        <v>1.0000000247325984</v>
      </c>
      <c r="V103" s="4">
        <f t="shared" si="113"/>
        <v>2.2240772386895974E-4</v>
      </c>
      <c r="W103" t="str">
        <f t="shared" si="102"/>
        <v>1-0.000231037147364508i</v>
      </c>
      <c r="X103" s="4">
        <f t="shared" si="114"/>
        <v>1.0000000266890814</v>
      </c>
      <c r="Y103" s="4">
        <f t="shared" si="115"/>
        <v>-2.3103714325372861E-4</v>
      </c>
      <c r="Z103" t="str">
        <f t="shared" si="103"/>
        <v>0.999999679240171+0.00100049196627121i</v>
      </c>
      <c r="AA103" s="4">
        <f t="shared" si="116"/>
        <v>1.0000001797322937</v>
      </c>
      <c r="AB103" s="4">
        <f t="shared" si="117"/>
        <v>1.0004919533632825E-3</v>
      </c>
      <c r="AC103" s="48" t="str">
        <f t="shared" si="118"/>
        <v>5.91340919441967-56.742174777296i</v>
      </c>
      <c r="AD103" s="20">
        <f t="shared" si="119"/>
        <v>35.125033322079794</v>
      </c>
      <c r="AE103" s="44">
        <f t="shared" si="120"/>
        <v>-84.050373965512364</v>
      </c>
      <c r="AF103" t="str">
        <f t="shared" si="104"/>
        <v>-0.979317078436135</v>
      </c>
      <c r="AG103" t="str">
        <f t="shared" si="121"/>
        <v>444.815455072215i</v>
      </c>
      <c r="AH103">
        <f t="shared" si="122"/>
        <v>444.815455072215</v>
      </c>
      <c r="AI103">
        <f t="shared" si="123"/>
        <v>1.5707963267948966</v>
      </c>
      <c r="AJ103" t="str">
        <f t="shared" si="105"/>
        <v>0.996937316803184+0.435883560734365i</v>
      </c>
      <c r="AK103">
        <f t="shared" si="124"/>
        <v>1.0880618053002324</v>
      </c>
      <c r="AL103">
        <f t="shared" si="125"/>
        <v>0.41217761329409552</v>
      </c>
      <c r="AM103" t="str">
        <f t="shared" si="106"/>
        <v>1+61.8827261096465i</v>
      </c>
      <c r="AN103">
        <f t="shared" si="126"/>
        <v>61.8908053814258</v>
      </c>
      <c r="AO103">
        <f t="shared" si="127"/>
        <v>1.554638134803527</v>
      </c>
      <c r="AP103" t="str">
        <f t="shared" si="107"/>
        <v>1+0.418126527767883i</v>
      </c>
      <c r="AQ103">
        <f t="shared" si="128"/>
        <v>1.0838956560588413</v>
      </c>
      <c r="AR103">
        <f t="shared" si="129"/>
        <v>0.39603438000166596</v>
      </c>
      <c r="AS103" s="42" t="str">
        <f t="shared" si="130"/>
        <v>-0.135667835949027+0.00438378922808688i</v>
      </c>
      <c r="AT103">
        <f t="shared" si="131"/>
        <v>-17.345929909376128</v>
      </c>
      <c r="AU103" s="44">
        <f t="shared" si="132"/>
        <v>178.14926465898117</v>
      </c>
      <c r="AV103" s="42" t="str">
        <f t="shared" si="108"/>
        <v>-0.553513693921063+7.72401119860498i</v>
      </c>
      <c r="AW103" s="20">
        <f t="shared" si="133"/>
        <v>17.779103412703673</v>
      </c>
      <c r="AX103" s="44">
        <f t="shared" si="134"/>
        <v>94.098890693468789</v>
      </c>
    </row>
    <row r="104" spans="14:50" x14ac:dyDescent="0.3">
      <c r="N104" s="8">
        <v>86</v>
      </c>
      <c r="O104" s="35">
        <f t="shared" si="109"/>
        <v>72.443596007499011</v>
      </c>
      <c r="P104" s="34" t="str">
        <f t="shared" si="99"/>
        <v>545.10556621881</v>
      </c>
      <c r="Q104" s="4" t="str">
        <f t="shared" si="100"/>
        <v>1+9.72382892190719i</v>
      </c>
      <c r="R104" s="4">
        <f t="shared" si="110"/>
        <v>9.7751137539426498</v>
      </c>
      <c r="S104" s="4">
        <f t="shared" si="111"/>
        <v>1.4683164450695916</v>
      </c>
      <c r="T104" s="4" t="str">
        <f t="shared" si="101"/>
        <v>1+0.000227588269016785i</v>
      </c>
      <c r="U104" s="4">
        <f t="shared" si="112"/>
        <v>1.0000000258982098</v>
      </c>
      <c r="V104" s="4">
        <f t="shared" si="113"/>
        <v>2.2758826508736593E-4</v>
      </c>
      <c r="W104" t="str">
        <f t="shared" si="102"/>
        <v>1-0.000236418693854636i</v>
      </c>
      <c r="X104" s="4">
        <f t="shared" si="114"/>
        <v>1.000000027946899</v>
      </c>
      <c r="Y104" s="4">
        <f t="shared" si="115"/>
        <v>-2.3641868944985651E-4</v>
      </c>
      <c r="Z104" t="str">
        <f t="shared" si="103"/>
        <v>0.999999664123225+0.00102379641791851i</v>
      </c>
      <c r="AA104" s="4">
        <f t="shared" si="116"/>
        <v>1.0000001882028164</v>
      </c>
      <c r="AB104" s="4">
        <f t="shared" si="117"/>
        <v>1.0237964040874165E-3</v>
      </c>
      <c r="AC104" s="48" t="str">
        <f t="shared" si="118"/>
        <v>5.64746899805129-55.4779128351748i</v>
      </c>
      <c r="AD104" s="20">
        <f t="shared" si="119"/>
        <v>34.927174767451518</v>
      </c>
      <c r="AE104" s="44">
        <f t="shared" si="120"/>
        <v>-84.18750045122232</v>
      </c>
      <c r="AF104" t="str">
        <f t="shared" si="104"/>
        <v>-0.979317078436135</v>
      </c>
      <c r="AG104" t="str">
        <f t="shared" si="121"/>
        <v>455.176538033571i</v>
      </c>
      <c r="AH104">
        <f t="shared" si="122"/>
        <v>455.17653803357098</v>
      </c>
      <c r="AI104">
        <f t="shared" si="123"/>
        <v>1.5707963267948966</v>
      </c>
      <c r="AJ104" t="str">
        <f t="shared" si="105"/>
        <v>0.996792976990978+0.446036593149858i</v>
      </c>
      <c r="AK104">
        <f t="shared" si="124"/>
        <v>1.092037032983437</v>
      </c>
      <c r="AL104">
        <f t="shared" si="125"/>
        <v>0.42074935586170331</v>
      </c>
      <c r="AM104" t="str">
        <f t="shared" si="106"/>
        <v>1+63.3241599712304i</v>
      </c>
      <c r="AN104">
        <f t="shared" si="126"/>
        <v>63.332055359525306</v>
      </c>
      <c r="AO104">
        <f t="shared" si="127"/>
        <v>1.5550058783101752</v>
      </c>
      <c r="AP104" t="str">
        <f t="shared" si="107"/>
        <v>1+0.427865945751558i</v>
      </c>
      <c r="AQ104">
        <f t="shared" si="128"/>
        <v>1.0876898765428844</v>
      </c>
      <c r="AR104">
        <f t="shared" si="129"/>
        <v>0.40429562272776626</v>
      </c>
      <c r="AS104" s="42" t="str">
        <f t="shared" si="130"/>
        <v>-0.135646614309729+0.00437533049797837i</v>
      </c>
      <c r="AT104">
        <f t="shared" si="131"/>
        <v>-17.347304745013059</v>
      </c>
      <c r="AU104" s="44">
        <f t="shared" si="132"/>
        <v>178.15254447939751</v>
      </c>
      <c r="AV104" s="42" t="str">
        <f t="shared" si="108"/>
        <v>-0.523325845012889+7.55010058840528i</v>
      </c>
      <c r="AW104" s="20">
        <f t="shared" si="133"/>
        <v>17.579870022438463</v>
      </c>
      <c r="AX104" s="44">
        <f t="shared" si="134"/>
        <v>93.965044028175171</v>
      </c>
    </row>
    <row r="105" spans="14:50" x14ac:dyDescent="0.3">
      <c r="N105" s="8">
        <v>87</v>
      </c>
      <c r="O105" s="35">
        <f t="shared" si="109"/>
        <v>74.131024130091816</v>
      </c>
      <c r="P105" s="34" t="str">
        <f t="shared" si="99"/>
        <v>545.10556621881</v>
      </c>
      <c r="Q105" s="4" t="str">
        <f t="shared" si="100"/>
        <v>1+9.95032599392456i</v>
      </c>
      <c r="R105" s="4">
        <f t="shared" si="110"/>
        <v>10.000449359172356</v>
      </c>
      <c r="S105" s="4">
        <f t="shared" si="111"/>
        <v>1.4706334216589887</v>
      </c>
      <c r="T105" s="4" t="str">
        <f t="shared" si="101"/>
        <v>1+0.000232889480810184i</v>
      </c>
      <c r="U105" s="4">
        <f t="shared" si="112"/>
        <v>1.0000000271187548</v>
      </c>
      <c r="V105" s="4">
        <f t="shared" si="113"/>
        <v>2.328894765997356E-4</v>
      </c>
      <c r="W105" t="str">
        <f t="shared" si="102"/>
        <v>1-0.000241925592665618i</v>
      </c>
      <c r="X105" s="4">
        <f t="shared" si="114"/>
        <v>1.0000000292639959</v>
      </c>
      <c r="Y105" s="4">
        <f t="shared" si="115"/>
        <v>-2.4192558794581176E-4</v>
      </c>
      <c r="Z105" t="str">
        <f t="shared" si="103"/>
        <v>0.999999648293841+0.00104764369997816i</v>
      </c>
      <c r="AA105" s="4">
        <f t="shared" si="116"/>
        <v>1.0000001970725445</v>
      </c>
      <c r="AB105" s="4">
        <f t="shared" si="117"/>
        <v>1.0476436851578747E-3</v>
      </c>
      <c r="AC105" s="48" t="str">
        <f t="shared" si="118"/>
        <v>5.39325307773297-54.2406281417364i</v>
      </c>
      <c r="AD105" s="20">
        <f t="shared" si="119"/>
        <v>34.729220813285686</v>
      </c>
      <c r="AE105" s="44">
        <f t="shared" si="120"/>
        <v>-84.321631564579661</v>
      </c>
      <c r="AF105" t="str">
        <f t="shared" si="104"/>
        <v>-0.979317078436135</v>
      </c>
      <c r="AG105" t="str">
        <f t="shared" si="121"/>
        <v>465.778961620368i</v>
      </c>
      <c r="AH105">
        <f t="shared" si="122"/>
        <v>465.77896162036802</v>
      </c>
      <c r="AI105">
        <f t="shared" si="123"/>
        <v>1.5707963267948966</v>
      </c>
      <c r="AJ105" t="str">
        <f t="shared" si="105"/>
        <v>0.996641834652997+0.456426120071031i</v>
      </c>
      <c r="AK105">
        <f t="shared" si="124"/>
        <v>1.0961841768898086</v>
      </c>
      <c r="AL105">
        <f t="shared" si="125"/>
        <v>0.42945705202963019</v>
      </c>
      <c r="AM105" t="str">
        <f t="shared" si="106"/>
        <v>1+64.7991691406256i</v>
      </c>
      <c r="AN105">
        <f t="shared" si="126"/>
        <v>64.806884829587389</v>
      </c>
      <c r="AO105">
        <f t="shared" si="127"/>
        <v>1.5553652550798893</v>
      </c>
      <c r="AP105" t="str">
        <f t="shared" si="107"/>
        <v>1+0.437832223923147i</v>
      </c>
      <c r="AQ105">
        <f t="shared" si="128"/>
        <v>1.0916487788228817</v>
      </c>
      <c r="AR105">
        <f t="shared" si="129"/>
        <v>0.41268925781911464</v>
      </c>
      <c r="AS105" s="42" t="str">
        <f t="shared" si="130"/>
        <v>-0.135624715576366+0.00436847183315178i</v>
      </c>
      <c r="AT105">
        <f t="shared" si="131"/>
        <v>-17.34871979166012</v>
      </c>
      <c r="AU105" s="44">
        <f t="shared" si="132"/>
        <v>178.15514087736</v>
      </c>
      <c r="AV105" s="42" t="str">
        <f t="shared" si="108"/>
        <v>-0.494509758449259+7.37993003856557i</v>
      </c>
      <c r="AW105" s="20">
        <f t="shared" si="133"/>
        <v>17.380501021625566</v>
      </c>
      <c r="AX105" s="44">
        <f t="shared" si="134"/>
        <v>93.833509312780308</v>
      </c>
    </row>
    <row r="106" spans="14:50" x14ac:dyDescent="0.3">
      <c r="N106" s="8">
        <v>88</v>
      </c>
      <c r="O106" s="35">
        <f t="shared" si="109"/>
        <v>75.857757502918361</v>
      </c>
      <c r="P106" s="34" t="str">
        <f t="shared" si="99"/>
        <v>545.10556621881</v>
      </c>
      <c r="Q106" s="4" t="str">
        <f t="shared" si="100"/>
        <v>1+10.182098860492i</v>
      </c>
      <c r="R106" s="4">
        <f t="shared" si="110"/>
        <v>10.231086804676835</v>
      </c>
      <c r="S106" s="4">
        <f t="shared" si="111"/>
        <v>1.4728987005560228</v>
      </c>
      <c r="T106" s="4" t="str">
        <f t="shared" si="101"/>
        <v>1+0.000238314173688964i</v>
      </c>
      <c r="U106" s="4">
        <f t="shared" si="112"/>
        <v>1.0000000283968222</v>
      </c>
      <c r="V106" s="4">
        <f t="shared" si="113"/>
        <v>2.3831416917738726E-4</v>
      </c>
      <c r="W106" t="str">
        <f t="shared" si="102"/>
        <v>1-0.000247560763628096i</v>
      </c>
      <c r="X106" s="4">
        <f t="shared" si="114"/>
        <v>1.0000000306431653</v>
      </c>
      <c r="Y106" s="4">
        <f t="shared" si="115"/>
        <v>-2.4756075857073251E-4</v>
      </c>
      <c r="Z106" t="str">
        <f t="shared" si="103"/>
        <v>0.99999963171844+0.00107204645659473i</v>
      </c>
      <c r="AA106" s="4">
        <f t="shared" si="116"/>
        <v>1.0000002063602889</v>
      </c>
      <c r="AB106" s="4">
        <f t="shared" si="117"/>
        <v>1.0720464407145075E-3</v>
      </c>
      <c r="AC106" s="48" t="str">
        <f t="shared" si="118"/>
        <v>5.15025499560756-53.0298241697533i</v>
      </c>
      <c r="AD106" s="20">
        <f t="shared" si="119"/>
        <v>34.531175667112578</v>
      </c>
      <c r="AE106" s="44">
        <f t="shared" si="120"/>
        <v>-84.452832719205418</v>
      </c>
      <c r="AF106" t="str">
        <f t="shared" si="104"/>
        <v>-0.979317078436135</v>
      </c>
      <c r="AG106" t="str">
        <f t="shared" si="121"/>
        <v>476.628347377929i</v>
      </c>
      <c r="AH106">
        <f t="shared" si="122"/>
        <v>476.628347377929</v>
      </c>
      <c r="AI106">
        <f t="shared" si="123"/>
        <v>1.5707963267948966</v>
      </c>
      <c r="AJ106" t="str">
        <f t="shared" si="105"/>
        <v>0.996483569196078+0.46705765016258i</v>
      </c>
      <c r="AK106">
        <f t="shared" si="124"/>
        <v>1.1005100418683811</v>
      </c>
      <c r="AL106">
        <f t="shared" si="125"/>
        <v>0.43830033944656038</v>
      </c>
      <c r="AM106" t="str">
        <f t="shared" si="106"/>
        <v>1+66.3085356872175i</v>
      </c>
      <c r="AN106">
        <f t="shared" si="126"/>
        <v>66.316075765857846</v>
      </c>
      <c r="AO106">
        <f t="shared" si="127"/>
        <v>1.5557164552874638</v>
      </c>
      <c r="AP106" t="str">
        <f t="shared" si="107"/>
        <v>1+0.448030646535254i</v>
      </c>
      <c r="AQ106">
        <f t="shared" si="128"/>
        <v>1.0957789285411532</v>
      </c>
      <c r="AR106">
        <f t="shared" si="129"/>
        <v>0.4212150037800837</v>
      </c>
      <c r="AS106" s="42" t="str">
        <f t="shared" si="130"/>
        <v>-0.135602131040466+0.00436317545651495i</v>
      </c>
      <c r="AT106">
        <f t="shared" si="131"/>
        <v>-17.350175718054086</v>
      </c>
      <c r="AU106" s="44">
        <f t="shared" si="132"/>
        <v>178.15706938177112</v>
      </c>
      <c r="AV106" s="42" t="str">
        <f t="shared" si="108"/>
        <v>-0.46700712552542+7.21342863231139i</v>
      </c>
      <c r="AW106" s="20">
        <f t="shared" si="133"/>
        <v>17.180999949058496</v>
      </c>
      <c r="AX106" s="44">
        <f t="shared" si="134"/>
        <v>93.704236662565691</v>
      </c>
    </row>
    <row r="107" spans="14:50" x14ac:dyDescent="0.3">
      <c r="N107" s="8">
        <v>89</v>
      </c>
      <c r="O107" s="35">
        <f t="shared" si="109"/>
        <v>77.624711662869217</v>
      </c>
      <c r="P107" s="34" t="str">
        <f t="shared" si="99"/>
        <v>545.10556621881</v>
      </c>
      <c r="Q107" s="4" t="str">
        <f t="shared" si="100"/>
        <v>1+10.4192704106514i</v>
      </c>
      <c r="R107" s="4">
        <f t="shared" si="110"/>
        <v>10.467148412546551</v>
      </c>
      <c r="S107" s="4">
        <f t="shared" si="111"/>
        <v>1.4751133897964934</v>
      </c>
      <c r="T107" s="4" t="str">
        <f t="shared" si="101"/>
        <v>1+0.000243865223897096i</v>
      </c>
      <c r="U107" s="4">
        <f t="shared" si="112"/>
        <v>1.0000000297351233</v>
      </c>
      <c r="V107" s="4">
        <f t="shared" si="113"/>
        <v>2.4386521906285443E-4</v>
      </c>
      <c r="W107" t="str">
        <f t="shared" si="102"/>
        <v>1-0.000253327194584303i</v>
      </c>
      <c r="X107" s="4">
        <f t="shared" si="114"/>
        <v>1.0000000320873332</v>
      </c>
      <c r="Y107" s="4">
        <f t="shared" si="115"/>
        <v>-2.5332718916524041E-4</v>
      </c>
      <c r="Z107" t="str">
        <f t="shared" si="103"/>
        <v>0.999999614361865+0.0010970176264328i</v>
      </c>
      <c r="AA107" s="4">
        <f t="shared" si="116"/>
        <v>1.0000002160857524</v>
      </c>
      <c r="AB107" s="4">
        <f t="shared" si="117"/>
        <v>1.0970176094168334E-3</v>
      </c>
      <c r="AC107" s="48" t="str">
        <f t="shared" si="118"/>
        <v>4.91798927855599-51.8450081315468i</v>
      </c>
      <c r="AD107" s="20">
        <f t="shared" si="119"/>
        <v>34.3330433545337</v>
      </c>
      <c r="AE107" s="44">
        <f t="shared" si="120"/>
        <v>-84.581168148599204</v>
      </c>
      <c r="AF107" t="str">
        <f t="shared" si="104"/>
        <v>-0.979317078436135</v>
      </c>
      <c r="AG107" t="str">
        <f t="shared" si="121"/>
        <v>487.730447794192i</v>
      </c>
      <c r="AH107">
        <f t="shared" si="122"/>
        <v>487.730447794192</v>
      </c>
      <c r="AI107">
        <f t="shared" si="123"/>
        <v>1.5707963267948966</v>
      </c>
      <c r="AJ107" t="str">
        <f t="shared" si="105"/>
        <v>0.996317844917968+0.477936820402484i</v>
      </c>
      <c r="AK107">
        <f t="shared" si="124"/>
        <v>1.1050216524568286</v>
      </c>
      <c r="AL107">
        <f t="shared" si="125"/>
        <v>0.44727869383820873</v>
      </c>
      <c r="AM107" t="str">
        <f t="shared" si="106"/>
        <v>1+67.853059897128i</v>
      </c>
      <c r="AN107">
        <f t="shared" si="126"/>
        <v>67.860428361477645</v>
      </c>
      <c r="AO107">
        <f t="shared" si="127"/>
        <v>1.5560596647971576</v>
      </c>
      <c r="AP107" t="str">
        <f t="shared" si="107"/>
        <v>1+0.458466620926542i</v>
      </c>
      <c r="AQ107">
        <f t="shared" si="128"/>
        <v>1.1000871067800957</v>
      </c>
      <c r="AR107">
        <f t="shared" si="129"/>
        <v>0.42987242224972833</v>
      </c>
      <c r="AS107" s="42" t="str">
        <f t="shared" si="130"/>
        <v>-0.135578852920013+0.00435940350084875i</v>
      </c>
      <c r="AT107">
        <f t="shared" si="131"/>
        <v>-17.351673130915735</v>
      </c>
      <c r="AU107" s="44">
        <f t="shared" si="132"/>
        <v>178.15834556434035</v>
      </c>
      <c r="AV107" s="42" t="str">
        <f t="shared" si="108"/>
        <v>-0.440762035109346+7.05052623178194i</v>
      </c>
      <c r="AW107" s="20">
        <f t="shared" si="133"/>
        <v>16.981370223617969</v>
      </c>
      <c r="AX107" s="44">
        <f t="shared" si="134"/>
        <v>93.577177415741161</v>
      </c>
    </row>
    <row r="108" spans="14:50" x14ac:dyDescent="0.3">
      <c r="N108" s="8">
        <v>90</v>
      </c>
      <c r="O108" s="35">
        <f t="shared" si="109"/>
        <v>79.432823472428197</v>
      </c>
      <c r="P108" s="34" t="str">
        <f t="shared" si="99"/>
        <v>545.10556621881</v>
      </c>
      <c r="Q108" s="4" t="str">
        <f t="shared" si="100"/>
        <v>1+10.6619663958978i</v>
      </c>
      <c r="R108" s="4">
        <f t="shared" si="110"/>
        <v>10.708759378529985</v>
      </c>
      <c r="S108" s="4">
        <f t="shared" si="111"/>
        <v>1.4772785766884364</v>
      </c>
      <c r="T108" s="4" t="str">
        <f t="shared" si="101"/>
        <v>1+0.000249545574674876i</v>
      </c>
      <c r="U108" s="4">
        <f t="shared" si="112"/>
        <v>1.0000000311364965</v>
      </c>
      <c r="V108" s="4">
        <f t="shared" si="113"/>
        <v>2.4954556949489286E-4</v>
      </c>
      <c r="W108" t="str">
        <f t="shared" si="102"/>
        <v>1-0.00025922794297226i</v>
      </c>
      <c r="X108" s="4">
        <f t="shared" si="114"/>
        <v>1.0000000335995627</v>
      </c>
      <c r="Y108" s="4">
        <f t="shared" si="115"/>
        <v>-2.5922793716562983E-4</v>
      </c>
      <c r="Z108" t="str">
        <f t="shared" si="103"/>
        <v>0.999999596187299+0.00112257044953715i</v>
      </c>
      <c r="AA108" s="4">
        <f t="shared" si="116"/>
        <v>1.000000226269562</v>
      </c>
      <c r="AB108" s="4">
        <f t="shared" si="117"/>
        <v>1.1225704313042126E-3</v>
      </c>
      <c r="AC108" s="48" t="str">
        <f t="shared" si="118"/>
        <v>4.69599063042137-50.6856913685196i</v>
      </c>
      <c r="AD108" s="20">
        <f t="shared" si="119"/>
        <v>34.134827726768158</v>
      </c>
      <c r="AE108" s="44">
        <f t="shared" si="120"/>
        <v>-84.70670091606388</v>
      </c>
      <c r="AF108" t="str">
        <f t="shared" si="104"/>
        <v>-0.979317078436135</v>
      </c>
      <c r="AG108" t="str">
        <f t="shared" si="121"/>
        <v>499.091149349751i</v>
      </c>
      <c r="AH108">
        <f t="shared" si="122"/>
        <v>499.09114934975099</v>
      </c>
      <c r="AI108">
        <f t="shared" si="123"/>
        <v>1.5707963267948966</v>
      </c>
      <c r="AJ108" t="str">
        <f t="shared" si="105"/>
        <v>0.996144310295254+0.489069399070808i</v>
      </c>
      <c r="AK108">
        <f t="shared" si="124"/>
        <v>1.1097262563538308</v>
      </c>
      <c r="AL108">
        <f t="shared" si="125"/>
        <v>0.45639142267070792</v>
      </c>
      <c r="AM108" t="str">
        <f t="shared" si="106"/>
        <v>1+69.4335606975374i</v>
      </c>
      <c r="AN108">
        <f t="shared" si="126"/>
        <v>69.440761452756334</v>
      </c>
      <c r="AO108">
        <f t="shared" si="127"/>
        <v>1.5563950652595895</v>
      </c>
      <c r="AP108" t="str">
        <f t="shared" si="107"/>
        <v>1+0.469145680388767i</v>
      </c>
      <c r="AQ108">
        <f t="shared" si="128"/>
        <v>1.1045803137062686</v>
      </c>
      <c r="AR108">
        <f t="shared" si="129"/>
        <v>0.4386609114199303</v>
      </c>
      <c r="AS108" s="42" t="str">
        <f t="shared" si="130"/>
        <v>-0.135554874441891+0.00435711803219946i</v>
      </c>
      <c r="AT108">
        <f t="shared" si="131"/>
        <v>-17.353212569874255</v>
      </c>
      <c r="AU108" s="44">
        <f t="shared" si="132"/>
        <v>178.15898503108397</v>
      </c>
      <c r="AV108" s="42" t="str">
        <f t="shared" si="108"/>
        <v>-0.415720880450792+6.89115351491496i</v>
      </c>
      <c r="AW108" s="20">
        <f t="shared" si="133"/>
        <v>16.781615156893906</v>
      </c>
      <c r="AX108" s="44">
        <f t="shared" si="134"/>
        <v>93.452284115020092</v>
      </c>
    </row>
    <row r="109" spans="14:50" x14ac:dyDescent="0.3">
      <c r="N109" s="8">
        <v>91</v>
      </c>
      <c r="O109" s="35">
        <f t="shared" si="109"/>
        <v>81.283051616409963</v>
      </c>
      <c r="P109" s="34" t="str">
        <f t="shared" si="99"/>
        <v>545.10556621881</v>
      </c>
      <c r="Q109" s="4" t="str">
        <f t="shared" si="100"/>
        <v>1+10.910315496855i</v>
      </c>
      <c r="R109" s="4">
        <f t="shared" si="110"/>
        <v>10.956047838564524</v>
      </c>
      <c r="S109" s="4">
        <f t="shared" si="111"/>
        <v>1.4793953279940919</v>
      </c>
      <c r="T109" s="4" t="str">
        <f t="shared" si="101"/>
        <v>1+0.000255358237819473i</v>
      </c>
      <c r="U109" s="4">
        <f t="shared" si="112"/>
        <v>1.0000000326039142</v>
      </c>
      <c r="V109" s="4">
        <f t="shared" si="113"/>
        <v>2.5535823226902109E-4</v>
      </c>
      <c r="W109" t="str">
        <f t="shared" si="102"/>
        <v>1-0.000265266137446868i</v>
      </c>
      <c r="X109" s="4">
        <f t="shared" si="114"/>
        <v>1.0000000351830611</v>
      </c>
      <c r="Y109" s="4">
        <f t="shared" si="115"/>
        <v>-2.6526613122495165E-4</v>
      </c>
      <c r="Z109" t="str">
        <f t="shared" si="103"/>
        <v>0.999999577156193+0.00114871847435282i</v>
      </c>
      <c r="AA109" s="4">
        <f t="shared" si="116"/>
        <v>1.000000236933321</v>
      </c>
      <c r="AB109" s="4">
        <f t="shared" si="117"/>
        <v>1.1487184548158737E-3</v>
      </c>
      <c r="AC109" s="48" t="str">
        <f t="shared" si="118"/>
        <v>4.48381316662553-49.5513897033118i</v>
      </c>
      <c r="AD109" s="20">
        <f t="shared" si="119"/>
        <v>33.93653246791299</v>
      </c>
      <c r="AE109" s="44">
        <f t="shared" si="120"/>
        <v>-84.829492925537352</v>
      </c>
      <c r="AF109" t="str">
        <f t="shared" si="104"/>
        <v>-0.979317078436135</v>
      </c>
      <c r="AG109" t="str">
        <f t="shared" si="121"/>
        <v>510.716475638947i</v>
      </c>
      <c r="AH109">
        <f t="shared" si="122"/>
        <v>510.71647563894697</v>
      </c>
      <c r="AI109">
        <f t="shared" si="123"/>
        <v>1.5707963267948966</v>
      </c>
      <c r="AJ109" t="str">
        <f t="shared" si="105"/>
        <v>0.995962597237734+0.500461288808117i</v>
      </c>
      <c r="AK109">
        <f t="shared" si="124"/>
        <v>1.1146313277007847</v>
      </c>
      <c r="AL109">
        <f t="shared" si="125"/>
        <v>0.46563765904484872</v>
      </c>
      <c r="AM109" t="str">
        <f t="shared" si="106"/>
        <v>1+71.0508760908903i</v>
      </c>
      <c r="AN109">
        <f t="shared" si="126"/>
        <v>71.05791295333016</v>
      </c>
      <c r="AO109">
        <f t="shared" si="127"/>
        <v>1.5567228342065078</v>
      </c>
      <c r="AP109" t="str">
        <f t="shared" si="107"/>
        <v>1+0.480073487100611i</v>
      </c>
      <c r="AQ109">
        <f t="shared" si="128"/>
        <v>1.1092657720388475</v>
      </c>
      <c r="AR109">
        <f t="shared" si="129"/>
        <v>0.44757969963198613</v>
      </c>
      <c r="AS109" s="42" t="str">
        <f t="shared" si="130"/>
        <v>-0.13553018992479+0.00435628108087976i</v>
      </c>
      <c r="AT109">
        <f t="shared" si="131"/>
        <v>-17.354794502331366</v>
      </c>
      <c r="AU109" s="44">
        <f t="shared" si="132"/>
        <v>178.1590034107011</v>
      </c>
      <c r="AV109" s="42" t="str">
        <f t="shared" si="108"/>
        <v>-0.391832268564195+6.7352420079951i</v>
      </c>
      <c r="AW109" s="20">
        <f t="shared" si="133"/>
        <v>16.581737965581624</v>
      </c>
      <c r="AX109" s="44">
        <f t="shared" si="134"/>
        <v>93.329510485163738</v>
      </c>
    </row>
    <row r="110" spans="14:50" x14ac:dyDescent="0.3">
      <c r="N110" s="8">
        <v>92</v>
      </c>
      <c r="O110" s="35">
        <f t="shared" si="109"/>
        <v>83.176377110267126</v>
      </c>
      <c r="P110" s="34" t="str">
        <f t="shared" si="99"/>
        <v>545.10556621881</v>
      </c>
      <c r="Q110" s="4" t="str">
        <f t="shared" si="100"/>
        <v>1+11.1644493915039i</v>
      </c>
      <c r="R110" s="4">
        <f t="shared" si="110"/>
        <v>11.209144936856324</v>
      </c>
      <c r="S110" s="4">
        <f t="shared" si="111"/>
        <v>1.4814646901259956</v>
      </c>
      <c r="T110" s="4" t="str">
        <f t="shared" si="101"/>
        <v>1+0.000261306295281829i</v>
      </c>
      <c r="U110" s="4">
        <f t="shared" si="112"/>
        <v>1.0000000341404893</v>
      </c>
      <c r="V110" s="4">
        <f t="shared" si="113"/>
        <v>2.613062893344126E-4</v>
      </c>
      <c r="W110" t="str">
        <f t="shared" si="102"/>
        <v>1-0.000271444979538764i</v>
      </c>
      <c r="X110" s="4">
        <f t="shared" si="114"/>
        <v>1.0000000368411877</v>
      </c>
      <c r="Y110" s="4">
        <f t="shared" si="115"/>
        <v>-2.7144497287186052E-4</v>
      </c>
      <c r="Z110" t="str">
        <f t="shared" si="103"/>
        <v>0.999999557228179+0.00117547556490868i</v>
      </c>
      <c r="AA110" s="4">
        <f t="shared" si="116"/>
        <v>1.0000002480996479</v>
      </c>
      <c r="AB110" s="4">
        <f t="shared" si="117"/>
        <v>1.1754755439744621E-3</v>
      </c>
      <c r="AC110" s="48" t="str">
        <f t="shared" si="118"/>
        <v>4.28102967124008-48.441623757011i</v>
      </c>
      <c r="AD110" s="20">
        <f t="shared" si="119"/>
        <v>33.738161101926998</v>
      </c>
      <c r="AE110" s="44">
        <f t="shared" si="120"/>
        <v>-84.949604933242952</v>
      </c>
      <c r="AF110" t="str">
        <f t="shared" si="104"/>
        <v>-0.979317078436135</v>
      </c>
      <c r="AG110" t="str">
        <f t="shared" si="121"/>
        <v>522.612590563659i</v>
      </c>
      <c r="AH110">
        <f t="shared" si="122"/>
        <v>522.61259056365896</v>
      </c>
      <c r="AI110">
        <f t="shared" si="123"/>
        <v>1.5707963267948966</v>
      </c>
      <c r="AJ110" t="str">
        <f t="shared" si="105"/>
        <v>0.995772320307652+0.512118529745141i</v>
      </c>
      <c r="AK110">
        <f t="shared" si="124"/>
        <v>1.1197445701583955</v>
      </c>
      <c r="AL110">
        <f t="shared" si="125"/>
        <v>0.47501635587071711</v>
      </c>
      <c r="AM110" t="str">
        <f t="shared" si="106"/>
        <v>1+72.7058635992162i</v>
      </c>
      <c r="AN110">
        <f t="shared" si="126"/>
        <v>72.712740298436231</v>
      </c>
      <c r="AO110">
        <f t="shared" si="127"/>
        <v>1.5570431451434807</v>
      </c>
      <c r="AP110" t="str">
        <f t="shared" si="107"/>
        <v>1+0.491255835129841i</v>
      </c>
      <c r="AQ110">
        <f t="shared" si="128"/>
        <v>1.1141509303272683</v>
      </c>
      <c r="AR110">
        <f t="shared" si="129"/>
        <v>0.45662783919863797</v>
      </c>
      <c r="AS110" s="42" t="str">
        <f t="shared" si="130"/>
        <v>-0.13550479486198+0.00435685468039898i</v>
      </c>
      <c r="AT110">
        <f t="shared" si="131"/>
        <v>-17.356419318301569</v>
      </c>
      <c r="AU110" s="44">
        <f t="shared" si="132"/>
        <v>178.15841633968108</v>
      </c>
      <c r="AV110" s="42" t="str">
        <f t="shared" si="108"/>
        <v>-0.369046932207577+6.58272411413506i</v>
      </c>
      <c r="AW110" s="20">
        <f t="shared" si="133"/>
        <v>16.381741783625429</v>
      </c>
      <c r="AX110" s="44">
        <f t="shared" si="134"/>
        <v>93.20881140643813</v>
      </c>
    </row>
    <row r="111" spans="14:50" x14ac:dyDescent="0.3">
      <c r="N111" s="8">
        <v>93</v>
      </c>
      <c r="O111" s="35">
        <f t="shared" si="109"/>
        <v>85.113803820237734</v>
      </c>
      <c r="P111" s="34" t="str">
        <f t="shared" si="99"/>
        <v>545.10556621881</v>
      </c>
      <c r="Q111" s="4" t="str">
        <f t="shared" si="100"/>
        <v>1+11.4245028249991i</v>
      </c>
      <c r="R111" s="4">
        <f t="shared" si="110"/>
        <v>11.468184895545258</v>
      </c>
      <c r="S111" s="4">
        <f t="shared" si="111"/>
        <v>1.4834876893557631</v>
      </c>
      <c r="T111" s="4" t="str">
        <f t="shared" si="101"/>
        <v>1+0.000267392900800742i</v>
      </c>
      <c r="U111" s="4">
        <f t="shared" si="112"/>
        <v>1.0000000357494812</v>
      </c>
      <c r="V111" s="4">
        <f t="shared" si="113"/>
        <v>2.6739289442797058E-4</v>
      </c>
      <c r="W111" t="str">
        <f t="shared" si="102"/>
        <v>1-0.00027776774535181i</v>
      </c>
      <c r="X111" s="4">
        <f t="shared" si="114"/>
        <v>1.0000000385774594</v>
      </c>
      <c r="Y111" s="4">
        <f t="shared" si="115"/>
        <v>-2.7776773820809426E-4</v>
      </c>
      <c r="Z111" t="str">
        <f t="shared" si="103"/>
        <v>0.999999536360986+0.00120285590816831i</v>
      </c>
      <c r="AA111" s="4">
        <f t="shared" si="116"/>
        <v>1.0000002597922277</v>
      </c>
      <c r="AB111" s="4">
        <f t="shared" si="117"/>
        <v>1.2028558857368895E-3</v>
      </c>
      <c r="AC111" s="48" t="str">
        <f t="shared" si="118"/>
        <v>4.08723087648664-47.3559192337165i</v>
      </c>
      <c r="AD111" s="20">
        <f t="shared" si="119"/>
        <v>33.539716999347291</v>
      </c>
      <c r="AE111" s="44">
        <f t="shared" si="120"/>
        <v>-85.067096560076649</v>
      </c>
      <c r="AF111" t="str">
        <f t="shared" si="104"/>
        <v>-0.979317078436135</v>
      </c>
      <c r="AG111" t="str">
        <f t="shared" si="121"/>
        <v>534.785801601484i</v>
      </c>
      <c r="AH111">
        <f t="shared" si="122"/>
        <v>534.78580160148397</v>
      </c>
      <c r="AI111">
        <f t="shared" si="123"/>
        <v>1.5707963267948966</v>
      </c>
      <c r="AJ111" t="str">
        <f t="shared" si="105"/>
        <v>0.995573075902127+0.524047302705326i</v>
      </c>
      <c r="AK111">
        <f t="shared" si="124"/>
        <v>1.1250739197643636</v>
      </c>
      <c r="AL111">
        <f t="shared" si="125"/>
        <v>0.48452628037422696</v>
      </c>
      <c r="AM111" t="str">
        <f t="shared" si="106"/>
        <v>1+74.3994007187984i</v>
      </c>
      <c r="AN111">
        <f t="shared" si="126"/>
        <v>74.406120899535807</v>
      </c>
      <c r="AO111">
        <f t="shared" si="127"/>
        <v>1.5573561676405476</v>
      </c>
      <c r="AP111" t="str">
        <f t="shared" si="107"/>
        <v>1+0.502698653505396i</v>
      </c>
      <c r="AQ111">
        <f t="shared" si="128"/>
        <v>1.1192434660234287</v>
      </c>
      <c r="AR111">
        <f t="shared" si="129"/>
        <v>0.46580420050086874</v>
      </c>
      <c r="AS111" s="42" t="str">
        <f t="shared" si="130"/>
        <v>-0.135478686003265+0.00435880091458135i</v>
      </c>
      <c r="AT111">
        <f t="shared" si="131"/>
        <v>-17.358087325270695</v>
      </c>
      <c r="AU111" s="44">
        <f t="shared" si="132"/>
        <v>178.15723944402143</v>
      </c>
      <c r="AV111" s="42" t="str">
        <f t="shared" si="108"/>
        <v>-0.347317644471619+6.43353313794319i</v>
      </c>
      <c r="AW111" s="20">
        <f t="shared" si="133"/>
        <v>16.181629674076596</v>
      </c>
      <c r="AX111" s="44">
        <f t="shared" si="134"/>
        <v>93.090142883944779</v>
      </c>
    </row>
    <row r="112" spans="14:50" x14ac:dyDescent="0.3">
      <c r="N112" s="8">
        <v>94</v>
      </c>
      <c r="O112" s="35">
        <f t="shared" si="109"/>
        <v>87.096358995608071</v>
      </c>
      <c r="P112" s="34" t="str">
        <f t="shared" si="99"/>
        <v>545.10556621881</v>
      </c>
      <c r="Q112" s="4" t="str">
        <f t="shared" si="100"/>
        <v>1+11.6906136811132i</v>
      </c>
      <c r="R112" s="4">
        <f t="shared" si="110"/>
        <v>11.733305085994786</v>
      </c>
      <c r="S112" s="4">
        <f t="shared" si="111"/>
        <v>1.4854653320342552</v>
      </c>
      <c r="T112" s="4" t="str">
        <f t="shared" si="101"/>
        <v>1+0.000273621281575021i</v>
      </c>
      <c r="U112" s="4">
        <f t="shared" si="112"/>
        <v>1.0000000374343021</v>
      </c>
      <c r="V112" s="4">
        <f t="shared" si="113"/>
        <v>2.7362127474647334E-4</v>
      </c>
      <c r="W112" t="str">
        <f t="shared" si="102"/>
        <v>1-0.000284237787300132i</v>
      </c>
      <c r="X112" s="4">
        <f t="shared" si="114"/>
        <v>1.0000000403955591</v>
      </c>
      <c r="Y112" s="4">
        <f t="shared" si="115"/>
        <v>-2.8423777964550268E-4</v>
      </c>
      <c r="Z112" t="str">
        <f t="shared" si="103"/>
        <v>0.999999514510352+0.00123087402155214i</v>
      </c>
      <c r="AA112" s="4">
        <f t="shared" si="116"/>
        <v>1.0000002720358614</v>
      </c>
      <c r="AB112" s="4">
        <f t="shared" si="117"/>
        <v>1.2308739975164381E-3</v>
      </c>
      <c r="AC112" s="48" t="str">
        <f t="shared" si="118"/>
        <v>3.90202476456062-46.2938071746178i</v>
      </c>
      <c r="AD112" s="20">
        <f t="shared" si="119"/>
        <v>33.341203383744158</v>
      </c>
      <c r="AE112" s="44">
        <f t="shared" si="120"/>
        <v>-85.18202630465629</v>
      </c>
      <c r="AF112" t="str">
        <f t="shared" si="104"/>
        <v>-0.979317078436135</v>
      </c>
      <c r="AG112" t="str">
        <f t="shared" si="121"/>
        <v>547.242563150043i</v>
      </c>
      <c r="AH112">
        <f t="shared" si="122"/>
        <v>547.242563150043</v>
      </c>
      <c r="AI112">
        <f t="shared" si="123"/>
        <v>1.5707963267948966</v>
      </c>
      <c r="AJ112" t="str">
        <f t="shared" si="105"/>
        <v>0.995364441397063+0.53625393248199i</v>
      </c>
      <c r="AK112">
        <f t="shared" si="124"/>
        <v>1.130627547559357</v>
      </c>
      <c r="AL112">
        <f t="shared" si="125"/>
        <v>0.49416600898871588</v>
      </c>
      <c r="AM112" t="str">
        <f t="shared" si="106"/>
        <v>1+76.132385385434i</v>
      </c>
      <c r="AN112">
        <f t="shared" si="126"/>
        <v>76.138952609529937</v>
      </c>
      <c r="AO112">
        <f t="shared" si="127"/>
        <v>1.557662067420871</v>
      </c>
      <c r="AP112" t="str">
        <f t="shared" si="107"/>
        <v>1+0.514408009361042i</v>
      </c>
      <c r="AQ112">
        <f t="shared" si="128"/>
        <v>1.1245512883345028</v>
      </c>
      <c r="AR112">
        <f t="shared" si="129"/>
        <v>0.47510746641079693</v>
      </c>
      <c r="AS112" s="42" t="str">
        <f t="shared" si="130"/>
        <v>-0.13545186143545+0.00436208197308527i</v>
      </c>
      <c r="AT112">
        <f t="shared" si="131"/>
        <v>-17.359798743113867</v>
      </c>
      <c r="AU112" s="44">
        <f t="shared" si="132"/>
        <v>178.15548831745312</v>
      </c>
      <c r="AV112" s="42" t="str">
        <f t="shared" si="108"/>
        <v>-0.326599135985074+6.28760330661979i</v>
      </c>
      <c r="AW112" s="20">
        <f t="shared" si="133"/>
        <v>15.981404640630291</v>
      </c>
      <c r="AX112" s="44">
        <f t="shared" si="134"/>
        <v>92.973462012796844</v>
      </c>
    </row>
    <row r="113" spans="14:50" x14ac:dyDescent="0.3">
      <c r="N113" s="8">
        <v>95</v>
      </c>
      <c r="O113" s="35">
        <f t="shared" si="109"/>
        <v>89.125093813374562</v>
      </c>
      <c r="P113" s="34" t="str">
        <f t="shared" si="99"/>
        <v>545.10556621881</v>
      </c>
      <c r="Q113" s="4" t="str">
        <f t="shared" si="100"/>
        <v>1+11.9629230553446i</v>
      </c>
      <c r="R113" s="4">
        <f t="shared" si="110"/>
        <v>12.004646101743081</v>
      </c>
      <c r="S113" s="4">
        <f t="shared" si="111"/>
        <v>1.4873986048218595</v>
      </c>
      <c r="T113" s="4" t="str">
        <f t="shared" si="101"/>
        <v>1+0.000279994739974598i</v>
      </c>
      <c r="U113" s="4">
        <f t="shared" si="112"/>
        <v>1.0000000391985264</v>
      </c>
      <c r="V113" s="4">
        <f t="shared" si="113"/>
        <v>2.7999473265767741E-4</v>
      </c>
      <c r="W113" t="str">
        <f t="shared" si="102"/>
        <v>1-0.000290858535885612i</v>
      </c>
      <c r="X113" s="4">
        <f t="shared" si="114"/>
        <v>1.0000000422993429</v>
      </c>
      <c r="Y113" s="4">
        <f t="shared" si="115"/>
        <v>-2.9085852768352888E-4</v>
      </c>
      <c r="Z113" t="str">
        <f t="shared" si="103"/>
        <v>0.99999949162993+0.00125954476063473i</v>
      </c>
      <c r="AA113" s="4">
        <f t="shared" si="116"/>
        <v>1.0000002848565206</v>
      </c>
      <c r="AB113" s="4">
        <f t="shared" si="117"/>
        <v>1.2595447348800087E-3</v>
      </c>
      <c r="AC113" s="48" t="str">
        <f t="shared" si="118"/>
        <v>3.72503589161061-45.2548241836539i</v>
      </c>
      <c r="AD113" s="20">
        <f t="shared" si="119"/>
        <v>33.142623337924384</v>
      </c>
      <c r="AE113" s="44">
        <f t="shared" si="120"/>
        <v>-85.294451556960553</v>
      </c>
      <c r="AF113" t="str">
        <f t="shared" si="104"/>
        <v>-0.979317078436135</v>
      </c>
      <c r="AG113" t="str">
        <f t="shared" si="121"/>
        <v>559.989479949197i</v>
      </c>
      <c r="AH113">
        <f t="shared" si="122"/>
        <v>559.98947994919695</v>
      </c>
      <c r="AI113">
        <f t="shared" si="123"/>
        <v>1.5707963267948966</v>
      </c>
      <c r="AJ113" t="str">
        <f t="shared" si="105"/>
        <v>0.995145974250702+0.548744891191818i</v>
      </c>
      <c r="AK113">
        <f t="shared" si="124"/>
        <v>1.1364138619695285</v>
      </c>
      <c r="AL113">
        <f t="shared" si="125"/>
        <v>0.50393392268601245</v>
      </c>
      <c r="AM113" t="str">
        <f t="shared" si="106"/>
        <v>1+77.9057364505323i</v>
      </c>
      <c r="AN113">
        <f t="shared" si="126"/>
        <v>77.912154198814179</v>
      </c>
      <c r="AO113">
        <f t="shared" si="127"/>
        <v>1.5579610064474365</v>
      </c>
      <c r="AP113" t="str">
        <f t="shared" si="107"/>
        <v>1+0.526390111152246i</v>
      </c>
      <c r="AQ113">
        <f t="shared" si="128"/>
        <v>1.1300825408433111</v>
      </c>
      <c r="AR113">
        <f t="shared" si="129"/>
        <v>0.4845361270936584</v>
      </c>
      <c r="AS113" s="42" t="str">
        <f t="shared" si="130"/>
        <v>-0.135424320660518+0.00436666021547851i</v>
      </c>
      <c r="AT113">
        <f t="shared" si="131"/>
        <v>-17.361553699122737</v>
      </c>
      <c r="AU113" s="44">
        <f t="shared" si="132"/>
        <v>178.15317849609272</v>
      </c>
      <c r="AV113" s="42" t="str">
        <f t="shared" si="108"/>
        <v>-0.306848014736178+6.14486978771164i</v>
      </c>
      <c r="AW113" s="20">
        <f t="shared" si="133"/>
        <v>15.781069638801652</v>
      </c>
      <c r="AX113" s="44">
        <f t="shared" si="134"/>
        <v>92.858726939132183</v>
      </c>
    </row>
    <row r="114" spans="14:50" x14ac:dyDescent="0.3">
      <c r="N114" s="8">
        <v>96</v>
      </c>
      <c r="O114" s="35">
        <f t="shared" si="109"/>
        <v>91.201083935590972</v>
      </c>
      <c r="P114" s="34" t="str">
        <f t="shared" si="99"/>
        <v>545.10556621881</v>
      </c>
      <c r="Q114" s="4" t="str">
        <f t="shared" si="100"/>
        <v>1+12.241575329728i</v>
      </c>
      <c r="R114" s="4">
        <f t="shared" si="110"/>
        <v>12.282351833154967</v>
      </c>
      <c r="S114" s="4">
        <f t="shared" si="111"/>
        <v>1.4892884749277384</v>
      </c>
      <c r="T114" s="4" t="str">
        <f t="shared" si="101"/>
        <v>1+0.000286516655291479i</v>
      </c>
      <c r="U114" s="4">
        <f t="shared" si="112"/>
        <v>1.000000041045896</v>
      </c>
      <c r="V114" s="4">
        <f t="shared" si="113"/>
        <v>2.8651664745125733E-4</v>
      </c>
      <c r="W114" t="str">
        <f t="shared" si="102"/>
        <v>1-0.000297633501516787i</v>
      </c>
      <c r="X114" s="4">
        <f t="shared" si="114"/>
        <v>1.0000000442928496</v>
      </c>
      <c r="Y114" s="4">
        <f t="shared" si="115"/>
        <v>-2.9763349272809661E-4</v>
      </c>
      <c r="Z114" t="str">
        <f t="shared" si="103"/>
        <v>0.999999467671187+0.00128888332702146i</v>
      </c>
      <c r="AA114" s="4">
        <f t="shared" si="116"/>
        <v>1.0000002982813996</v>
      </c>
      <c r="AB114" s="4">
        <f t="shared" si="117"/>
        <v>1.288883299424776E-3</v>
      </c>
      <c r="AC114" s="48" t="str">
        <f t="shared" si="118"/>
        <v>3.55590473364348-44.2385126266967i</v>
      </c>
      <c r="AD114" s="20">
        <f t="shared" si="119"/>
        <v>32.94397980989087</v>
      </c>
      <c r="AE114" s="44">
        <f t="shared" si="120"/>
        <v>-85.40442861249214</v>
      </c>
      <c r="AF114" t="str">
        <f t="shared" si="104"/>
        <v>-0.979317078436135</v>
      </c>
      <c r="AG114" t="str">
        <f t="shared" si="121"/>
        <v>573.033310582957i</v>
      </c>
      <c r="AH114">
        <f t="shared" si="122"/>
        <v>573.03331058295703</v>
      </c>
      <c r="AI114">
        <f t="shared" si="123"/>
        <v>1.5707963267948966</v>
      </c>
      <c r="AJ114" t="str">
        <f t="shared" si="105"/>
        <v>0.994917211064935+0.561526801706452i</v>
      </c>
      <c r="AK114">
        <f t="shared" si="124"/>
        <v>1.1424415109352013</v>
      </c>
      <c r="AL114">
        <f t="shared" si="125"/>
        <v>0.51382820280214636</v>
      </c>
      <c r="AM114" t="str">
        <f t="shared" si="106"/>
        <v>1+79.720394168301i</v>
      </c>
      <c r="AN114">
        <f t="shared" si="126"/>
        <v>79.726665842422378</v>
      </c>
      <c r="AO114">
        <f t="shared" si="127"/>
        <v>1.5582531430078339</v>
      </c>
      <c r="AP114" t="str">
        <f t="shared" si="107"/>
        <v>1+0.538651311947981i</v>
      </c>
      <c r="AQ114">
        <f t="shared" si="128"/>
        <v>1.1358456038842961</v>
      </c>
      <c r="AR114">
        <f t="shared" si="129"/>
        <v>0.49408847524316546</v>
      </c>
      <c r="AS114" s="42" t="str">
        <f t="shared" si="130"/>
        <v>-0.135396064670742+0.00437249824393386i</v>
      </c>
      <c r="AT114">
        <f t="shared" si="131"/>
        <v>-17.363352223190187</v>
      </c>
      <c r="AU114" s="44">
        <f t="shared" si="132"/>
        <v>178.15032542947671</v>
      </c>
      <c r="AV114" s="42" t="str">
        <f t="shared" si="108"/>
        <v>-0.288022688504913+6.00526870374512i</v>
      </c>
      <c r="AW114" s="20">
        <f t="shared" si="133"/>
        <v>15.580627586700686</v>
      </c>
      <c r="AX114" s="44">
        <f t="shared" si="134"/>
        <v>92.745896816984583</v>
      </c>
    </row>
    <row r="115" spans="14:50" x14ac:dyDescent="0.3">
      <c r="N115" s="8">
        <v>97</v>
      </c>
      <c r="O115" s="35">
        <f t="shared" si="109"/>
        <v>93.325430079699174</v>
      </c>
      <c r="P115" s="34" t="str">
        <f t="shared" si="99"/>
        <v>545.10556621881</v>
      </c>
      <c r="Q115" s="4" t="str">
        <f t="shared" si="100"/>
        <v>1+12.5267182493877i</v>
      </c>
      <c r="R115" s="4">
        <f t="shared" si="110"/>
        <v>12.566569543815163</v>
      </c>
      <c r="S115" s="4">
        <f t="shared" si="111"/>
        <v>1.4911358903569629</v>
      </c>
      <c r="T115" s="4" t="str">
        <f t="shared" si="101"/>
        <v>1+0.000293190485531491i</v>
      </c>
      <c r="U115" s="4">
        <f t="shared" si="112"/>
        <v>1.0000000429803295</v>
      </c>
      <c r="V115" s="4">
        <f t="shared" si="113"/>
        <v>2.9319047713054214E-4</v>
      </c>
      <c r="W115" t="str">
        <f t="shared" si="102"/>
        <v>1-0.000304566276370112i</v>
      </c>
      <c r="X115" s="4">
        <f t="shared" si="114"/>
        <v>1.0000000463803074</v>
      </c>
      <c r="Y115" s="4">
        <f t="shared" si="115"/>
        <v>-3.0456626695286063E-4</v>
      </c>
      <c r="Z115" t="str">
        <f t="shared" si="103"/>
        <v>0.999999442583302+0.00131890527640857i</v>
      </c>
      <c r="AA115" s="4">
        <f t="shared" si="116"/>
        <v>1.0000003123389727</v>
      </c>
      <c r="AB115" s="4">
        <f t="shared" si="117"/>
        <v>1.3189052468381883E-3</v>
      </c>
      <c r="AC115" s="48" t="str">
        <f t="shared" si="118"/>
        <v>3.39428705407451-43.2444208060887i</v>
      </c>
      <c r="AD115" s="20">
        <f t="shared" si="119"/>
        <v>32.745275618565977</v>
      </c>
      <c r="AE115" s="44">
        <f t="shared" si="120"/>
        <v>-85.512012686903191</v>
      </c>
      <c r="AF115" t="str">
        <f t="shared" si="104"/>
        <v>-0.979317078436135</v>
      </c>
      <c r="AG115" t="str">
        <f t="shared" si="121"/>
        <v>586.380971062982i</v>
      </c>
      <c r="AH115">
        <f t="shared" si="122"/>
        <v>586.38097106298198</v>
      </c>
      <c r="AI115">
        <f t="shared" si="123"/>
        <v>1.5707963267948966</v>
      </c>
      <c r="AJ115" t="str">
        <f t="shared" si="105"/>
        <v>0.994677666602377+0.574606441164037i</v>
      </c>
      <c r="AK115">
        <f t="shared" si="124"/>
        <v>1.1487193837768863</v>
      </c>
      <c r="AL115">
        <f t="shared" si="125"/>
        <v>0.52384682741319999</v>
      </c>
      <c r="AM115" t="str">
        <f t="shared" si="106"/>
        <v>1+81.5773206942821i</v>
      </c>
      <c r="AN115">
        <f t="shared" si="126"/>
        <v>81.58344961852093</v>
      </c>
      <c r="AO115">
        <f t="shared" si="127"/>
        <v>1.5585386317971637</v>
      </c>
      <c r="AP115" t="str">
        <f t="shared" si="107"/>
        <v>1+0.551198112799204i</v>
      </c>
      <c r="AQ115">
        <f t="shared" si="128"/>
        <v>1.1418490966644428</v>
      </c>
      <c r="AR115">
        <f t="shared" si="129"/>
        <v>0.50376260180535504</v>
      </c>
      <c r="AS115" s="42" t="str">
        <f t="shared" si="130"/>
        <v>-0.135367096019866+0.00437955898455802i</v>
      </c>
      <c r="AT115">
        <f t="shared" si="131"/>
        <v>-17.365194243206737</v>
      </c>
      <c r="AU115" s="44">
        <f t="shared" si="132"/>
        <v>178.14694444795325</v>
      </c>
      <c r="AV115" s="42" t="str">
        <f t="shared" si="108"/>
        <v>-0.270083289894579+5.86873714394514i</v>
      </c>
      <c r="AW115" s="20">
        <f t="shared" si="133"/>
        <v>15.380081375359239</v>
      </c>
      <c r="AX115" s="44">
        <f t="shared" si="134"/>
        <v>92.634931761050055</v>
      </c>
    </row>
    <row r="116" spans="14:50" x14ac:dyDescent="0.3">
      <c r="N116" s="8">
        <v>98</v>
      </c>
      <c r="O116" s="35">
        <f t="shared" si="109"/>
        <v>95.499258602143655</v>
      </c>
      <c r="P116" s="34" t="str">
        <f t="shared" si="99"/>
        <v>545.10556621881</v>
      </c>
      <c r="Q116" s="4" t="str">
        <f t="shared" si="100"/>
        <v>1+12.8185030008739i</v>
      </c>
      <c r="R116" s="4">
        <f t="shared" si="110"/>
        <v>12.857449948703405</v>
      </c>
      <c r="S116" s="4">
        <f t="shared" si="111"/>
        <v>1.4929417801645297</v>
      </c>
      <c r="T116" s="4" t="str">
        <f t="shared" si="101"/>
        <v>1+0.000300019769247766i</v>
      </c>
      <c r="U116" s="4">
        <f t="shared" si="112"/>
        <v>1.0000000450059299</v>
      </c>
      <c r="V116" s="4">
        <f t="shared" si="113"/>
        <v>3.0001976024598715E-4</v>
      </c>
      <c r="W116" t="str">
        <f t="shared" si="102"/>
        <v>1-0.000311660536294579i</v>
      </c>
      <c r="X116" s="4">
        <f t="shared" si="114"/>
        <v>1.0000000485661438</v>
      </c>
      <c r="Y116" s="4">
        <f t="shared" si="115"/>
        <v>-3.1166052620381241E-4</v>
      </c>
      <c r="Z116" t="str">
        <f t="shared" si="103"/>
        <v>0.999999416313063+0.001349626526831i</v>
      </c>
      <c r="AA116" s="4">
        <f t="shared" si="116"/>
        <v>1.0000003270590609</v>
      </c>
      <c r="AB116" s="4">
        <f t="shared" si="117"/>
        <v>1.3496264951457606E-3</v>
      </c>
      <c r="AC116" s="48" t="str">
        <f t="shared" si="118"/>
        <v>3.23985329259769-42.2721031122675i</v>
      </c>
      <c r="AD116" s="20">
        <f t="shared" si="119"/>
        <v>32.546513459286615</v>
      </c>
      <c r="AE116" s="44">
        <f t="shared" si="120"/>
        <v>-85.617257931026089</v>
      </c>
      <c r="AF116" t="str">
        <f t="shared" si="104"/>
        <v>-0.979317078436135</v>
      </c>
      <c r="AG116" t="str">
        <f t="shared" si="121"/>
        <v>600.039538495533i</v>
      </c>
      <c r="AH116">
        <f t="shared" si="122"/>
        <v>600.03953849553295</v>
      </c>
      <c r="AI116">
        <f t="shared" si="123"/>
        <v>1.5707963267948966</v>
      </c>
      <c r="AJ116" t="str">
        <f t="shared" si="105"/>
        <v>0.994426832757104+0.587990744562543i</v>
      </c>
      <c r="AK116">
        <f t="shared" si="124"/>
        <v>1.1552566127915214</v>
      </c>
      <c r="AL116">
        <f t="shared" si="125"/>
        <v>0.53398756831645144</v>
      </c>
      <c r="AM116" t="str">
        <f t="shared" si="106"/>
        <v>1+83.4775005954985i</v>
      </c>
      <c r="AN116">
        <f t="shared" si="126"/>
        <v>83.483490018514757</v>
      </c>
      <c r="AO116">
        <f t="shared" si="127"/>
        <v>1.5588176239991061</v>
      </c>
      <c r="AP116" t="str">
        <f t="shared" si="107"/>
        <v>1+0.564037166185802i</v>
      </c>
      <c r="AQ116">
        <f t="shared" si="128"/>
        <v>1.1481018791200153</v>
      </c>
      <c r="AR116">
        <f t="shared" si="129"/>
        <v>0.51355639224636995</v>
      </c>
      <c r="AS116" s="42" t="str">
        <f t="shared" si="130"/>
        <v>-0.135337418889498+0.0043878057772481i</v>
      </c>
      <c r="AT116">
        <f t="shared" si="131"/>
        <v>-17.367079580722656</v>
      </c>
      <c r="AU116" s="44">
        <f t="shared" si="132"/>
        <v>178.14305072645527</v>
      </c>
      <c r="AV116" s="42" t="str">
        <f t="shared" si="108"/>
        <v>-0.252991603948378+5.7352131732397i</v>
      </c>
      <c r="AW116" s="20">
        <f t="shared" si="133"/>
        <v>15.179433878563968</v>
      </c>
      <c r="AX116" s="44">
        <f t="shared" si="134"/>
        <v>92.525792795429183</v>
      </c>
    </row>
    <row r="117" spans="14:50" x14ac:dyDescent="0.3">
      <c r="N117" s="8">
        <v>99</v>
      </c>
      <c r="O117" s="35">
        <f t="shared" si="109"/>
        <v>97.723722095581124</v>
      </c>
      <c r="P117" s="34" t="str">
        <f t="shared" si="99"/>
        <v>545.10556621881</v>
      </c>
      <c r="Q117" s="4" t="str">
        <f t="shared" si="100"/>
        <v>1+13.117084292324i</v>
      </c>
      <c r="R117" s="4">
        <f t="shared" si="110"/>
        <v>13.155147294193744</v>
      </c>
      <c r="S117" s="4">
        <f t="shared" si="111"/>
        <v>1.4947070547153278</v>
      </c>
      <c r="T117" s="4" t="str">
        <f t="shared" si="101"/>
        <v>1+0.000307008127416928i</v>
      </c>
      <c r="U117" s="4">
        <f t="shared" si="112"/>
        <v>1.0000000471269941</v>
      </c>
      <c r="V117" s="4">
        <f t="shared" si="113"/>
        <v>3.0700811777134817E-4</v>
      </c>
      <c r="W117" t="str">
        <f t="shared" si="102"/>
        <v>1-0.000318920042760704i</v>
      </c>
      <c r="X117" s="4">
        <f t="shared" si="114"/>
        <v>1.0000000508549955</v>
      </c>
      <c r="Y117" s="4">
        <f t="shared" si="115"/>
        <v>-3.1892003194825279E-4</v>
      </c>
      <c r="Z117" t="str">
        <f t="shared" si="103"/>
        <v>0.999999388804745+0.00138106336710237i</v>
      </c>
      <c r="AA117" s="4">
        <f t="shared" si="116"/>
        <v>1.0000003424728852</v>
      </c>
      <c r="AB117" s="4">
        <f t="shared" si="117"/>
        <v>1.3810633331510203E-3</v>
      </c>
      <c r="AC117" s="48" t="str">
        <f t="shared" si="118"/>
        <v>3.09228797501378-41.3211201541117i</v>
      </c>
      <c r="AD117" s="20">
        <f t="shared" si="119"/>
        <v>32.347695909079462</v>
      </c>
      <c r="AE117" s="44">
        <f t="shared" si="120"/>
        <v>-85.720217446256171</v>
      </c>
      <c r="AF117" t="str">
        <f t="shared" si="104"/>
        <v>-0.979317078436135</v>
      </c>
      <c r="AG117" t="str">
        <f t="shared" si="121"/>
        <v>614.016254833856i</v>
      </c>
      <c r="AH117">
        <f t="shared" si="122"/>
        <v>614.01625483385601</v>
      </c>
      <c r="AI117">
        <f t="shared" si="123"/>
        <v>1.5707963267948966</v>
      </c>
      <c r="AJ117" t="str">
        <f t="shared" si="105"/>
        <v>0.994164177476901+0.601686808436793i</v>
      </c>
      <c r="AK117">
        <f t="shared" si="124"/>
        <v>1.1620625745738382</v>
      </c>
      <c r="AL117">
        <f t="shared" si="125"/>
        <v>0.54424798867107749</v>
      </c>
      <c r="AM117" t="str">
        <f t="shared" si="106"/>
        <v>1+85.421941372486i</v>
      </c>
      <c r="AN117">
        <f t="shared" si="126"/>
        <v>85.42779446903937</v>
      </c>
      <c r="AO117">
        <f t="shared" si="127"/>
        <v>1.5590902673651936</v>
      </c>
      <c r="AP117" t="str">
        <f t="shared" si="107"/>
        <v>1+0.577175279543826i</v>
      </c>
      <c r="AQ117">
        <f t="shared" si="128"/>
        <v>1.1546130535016887</v>
      </c>
      <c r="AR117">
        <f t="shared" si="129"/>
        <v>0.52346752341936553</v>
      </c>
      <c r="AS117" s="42" t="str">
        <f t="shared" si="130"/>
        <v>-0.135307039149799+0.00439720247389736i</v>
      </c>
      <c r="AT117">
        <f t="shared" si="131"/>
        <v>-17.369007946933699</v>
      </c>
      <c r="AU117" s="44">
        <f t="shared" si="132"/>
        <v>178.13865924470736</v>
      </c>
      <c r="AV117" s="42" t="str">
        <f t="shared" si="108"/>
        <v>-0.236710998331772+5.60463583873967i</v>
      </c>
      <c r="AW117" s="20">
        <f t="shared" si="133"/>
        <v>14.978687962145749</v>
      </c>
      <c r="AX117" s="44">
        <f t="shared" si="134"/>
        <v>92.418441798451184</v>
      </c>
    </row>
    <row r="118" spans="14:50" x14ac:dyDescent="0.3">
      <c r="N118" s="8">
        <v>100</v>
      </c>
      <c r="O118" s="35">
        <f t="shared" si="109"/>
        <v>100</v>
      </c>
      <c r="P118" s="34" t="str">
        <f t="shared" si="99"/>
        <v>545.10556621881</v>
      </c>
      <c r="Q118" s="4" t="str">
        <f t="shared" si="100"/>
        <v>1+13.4226204354911i</v>
      </c>
      <c r="R118" s="4">
        <f t="shared" si="110"/>
        <v>13.459819439920553</v>
      </c>
      <c r="S118" s="4">
        <f t="shared" si="111"/>
        <v>1.4964326059491875</v>
      </c>
      <c r="T118" s="4" t="str">
        <f t="shared" si="101"/>
        <v>1+0.000314159265358979i</v>
      </c>
      <c r="U118" s="4">
        <f t="shared" si="112"/>
        <v>1.0000000493480208</v>
      </c>
      <c r="V118" s="4">
        <f t="shared" si="113"/>
        <v>3.1415925502355403E-4</v>
      </c>
      <c r="W118" t="str">
        <f t="shared" si="102"/>
        <v>1-0.000326348644854907i</v>
      </c>
      <c r="X118" s="4">
        <f t="shared" si="114"/>
        <v>1.0000000532517177</v>
      </c>
      <c r="Y118" s="4">
        <f t="shared" si="115"/>
        <v>-3.2634863326915685E-4</v>
      </c>
      <c r="Z118" t="str">
        <f t="shared" si="103"/>
        <v>0.99999936+0.00141323246545152i</v>
      </c>
      <c r="AA118" s="4">
        <f t="shared" si="116"/>
        <v>1.0000003586131412</v>
      </c>
      <c r="AB118" s="4">
        <f t="shared" si="117"/>
        <v>1.413232429071989E-3</v>
      </c>
      <c r="AC118" s="48" t="str">
        <f t="shared" si="118"/>
        <v>2.95128914362058-40.3910388695362i</v>
      </c>
      <c r="AD118" s="20">
        <f t="shared" si="119"/>
        <v>32.148825431722422</v>
      </c>
      <c r="AE118" s="44">
        <f t="shared" si="120"/>
        <v>-85.820943300237076</v>
      </c>
      <c r="AF118" t="str">
        <f t="shared" si="104"/>
        <v>-0.979317078436135</v>
      </c>
      <c r="AG118" t="str">
        <f t="shared" si="121"/>
        <v>628.318530717959i</v>
      </c>
      <c r="AH118">
        <f t="shared" si="122"/>
        <v>628.31853071795899</v>
      </c>
      <c r="AI118">
        <f t="shared" si="123"/>
        <v>1.5707963267948966</v>
      </c>
      <c r="AJ118" t="str">
        <f t="shared" si="105"/>
        <v>0.993889143634705+0.615701894621142i</v>
      </c>
      <c r="AK118">
        <f t="shared" si="124"/>
        <v>1.1691468910598837</v>
      </c>
      <c r="AL118">
        <f t="shared" si="125"/>
        <v>0.55462544135111291</v>
      </c>
      <c r="AM118" t="str">
        <f t="shared" si="106"/>
        <v>1+87.4116739934825i</v>
      </c>
      <c r="AN118">
        <f t="shared" si="126"/>
        <v>87.417393866111468</v>
      </c>
      <c r="AO118">
        <f t="shared" si="127"/>
        <v>1.5593567062923204</v>
      </c>
      <c r="AP118" t="str">
        <f t="shared" si="107"/>
        <v>1+0.590619418874883i</v>
      </c>
      <c r="AQ118">
        <f t="shared" si="128"/>
        <v>1.1613919656826046</v>
      </c>
      <c r="AR118">
        <f t="shared" si="129"/>
        <v>0.53349346108487783</v>
      </c>
      <c r="AS118" s="42" t="str">
        <f t="shared" si="130"/>
        <v>-0.135275964413575+0.00440771354466654i</v>
      </c>
      <c r="AT118">
        <f t="shared" si="131"/>
        <v>-17.370978939047493</v>
      </c>
      <c r="AU118" s="44">
        <f t="shared" si="132"/>
        <v>178.133784743962</v>
      </c>
      <c r="AV118" s="42" t="str">
        <f t="shared" si="108"/>
        <v>-0.22120635605818+5.47694517387527i</v>
      </c>
      <c r="AW118" s="20">
        <f t="shared" si="133"/>
        <v>14.777846492674929</v>
      </c>
      <c r="AX118" s="44">
        <f t="shared" si="134"/>
        <v>92.312841443724935</v>
      </c>
    </row>
    <row r="119" spans="14:50" x14ac:dyDescent="0.3">
      <c r="N119" s="8">
        <v>1</v>
      </c>
      <c r="O119" s="35">
        <f>10^(2+(N119/100))</f>
        <v>102.32929922807544</v>
      </c>
      <c r="P119" s="34" t="str">
        <f t="shared" si="99"/>
        <v>545.10556621881</v>
      </c>
      <c r="Q119" s="4" t="str">
        <f t="shared" si="100"/>
        <v>1+13.7352734296825i</v>
      </c>
      <c r="R119" s="4">
        <f t="shared" si="110"/>
        <v>13.771627942554288</v>
      </c>
      <c r="S119" s="4">
        <f t="shared" si="111"/>
        <v>1.4981193076502082</v>
      </c>
      <c r="T119" s="4" t="str">
        <f t="shared" si="101"/>
        <v>1+0.000321476974701913i</v>
      </c>
      <c r="U119" s="4">
        <f t="shared" si="112"/>
        <v>1.0000000516737213</v>
      </c>
      <c r="V119" s="4">
        <f t="shared" si="113"/>
        <v>3.2147696362730567E-4</v>
      </c>
      <c r="W119" t="str">
        <f t="shared" si="102"/>
        <v>1-0.000333950281320347i</v>
      </c>
      <c r="X119" s="4">
        <f t="shared" si="114"/>
        <v>1.0000000557613935</v>
      </c>
      <c r="Y119" s="4">
        <f t="shared" si="115"/>
        <v>-3.339502689059921E-4</v>
      </c>
      <c r="Z119" t="str">
        <f t="shared" si="103"/>
        <v>0.999999329837729+0.00144615087836019i</v>
      </c>
      <c r="AA119" s="4">
        <f t="shared" si="116"/>
        <v>1.0000003755140645</v>
      </c>
      <c r="AB119" s="4">
        <f t="shared" si="117"/>
        <v>1.4461508393788156E-3</v>
      </c>
      <c r="AC119" s="48" t="str">
        <f t="shared" si="118"/>
        <v>2.81656780774463-39.4814326177954i</v>
      </c>
      <c r="AD119" s="20">
        <f t="shared" si="119"/>
        <v>31.949904382602398</v>
      </c>
      <c r="AE119" s="44">
        <f t="shared" si="120"/>
        <v>-85.919486542802616</v>
      </c>
      <c r="AF119" t="str">
        <f t="shared" si="104"/>
        <v>-0.979317078436135</v>
      </c>
      <c r="AG119" t="str">
        <f t="shared" si="121"/>
        <v>642.953949403827i</v>
      </c>
      <c r="AH119">
        <f t="shared" si="122"/>
        <v>642.95394940382698</v>
      </c>
      <c r="AI119">
        <f t="shared" si="123"/>
        <v>1.5707963267948966</v>
      </c>
      <c r="AJ119" t="str">
        <f t="shared" si="105"/>
        <v>0.993601147846861+0.630043434099798i</v>
      </c>
      <c r="AK119">
        <f t="shared" si="124"/>
        <v>1.176519430292108</v>
      </c>
      <c r="AL119">
        <f t="shared" si="125"/>
        <v>0.56511706806106587</v>
      </c>
      <c r="AM119" t="str">
        <f t="shared" si="106"/>
        <v>1+89.4477534410604i</v>
      </c>
      <c r="AN119">
        <f t="shared" si="126"/>
        <v>89.453343121723151</v>
      </c>
      <c r="AO119">
        <f t="shared" si="127"/>
        <v>1.55961708189853</v>
      </c>
      <c r="AP119" t="str">
        <f t="shared" si="107"/>
        <v>1+0.604376712439599i</v>
      </c>
      <c r="AQ119">
        <f t="shared" si="128"/>
        <v>1.1684482061860071</v>
      </c>
      <c r="AR119">
        <f t="shared" si="129"/>
        <v>0.54363145813748137</v>
      </c>
      <c r="AS119" s="42" t="str">
        <f t="shared" si="130"/>
        <v>-0.135244204082851+0.00441930419192012i</v>
      </c>
      <c r="AT119">
        <f t="shared" si="131"/>
        <v>-17.372992037089464</v>
      </c>
      <c r="AU119" s="44">
        <f t="shared" si="132"/>
        <v>178.12844168040925</v>
      </c>
      <c r="AV119" s="42" t="str">
        <f t="shared" si="108"/>
        <v>-0.206444010732968+5.35208220036404i</v>
      </c>
      <c r="AW119" s="20">
        <f t="shared" si="133"/>
        <v>14.576912345512925</v>
      </c>
      <c r="AX119" s="44">
        <f t="shared" si="134"/>
        <v>92.208955137606623</v>
      </c>
    </row>
    <row r="120" spans="14:50" x14ac:dyDescent="0.3">
      <c r="N120" s="8">
        <v>2</v>
      </c>
      <c r="O120" s="35">
        <f t="shared" ref="O120:O183" si="135">10^(2+(N120/100))</f>
        <v>104.71285480508998</v>
      </c>
      <c r="P120" s="34" t="str">
        <f t="shared" si="99"/>
        <v>545.10556621881</v>
      </c>
      <c r="Q120" s="4" t="str">
        <f t="shared" si="100"/>
        <v>1+14.0552090476542i</v>
      </c>
      <c r="R120" s="4">
        <f t="shared" si="110"/>
        <v>14.09073814153327</v>
      </c>
      <c r="S120" s="4">
        <f t="shared" si="111"/>
        <v>1.4997680157196236</v>
      </c>
      <c r="T120" s="4" t="str">
        <f t="shared" si="101"/>
        <v>1+0.000328965135392085i</v>
      </c>
      <c r="U120" s="4">
        <f t="shared" si="112"/>
        <v>1.0000000541090286</v>
      </c>
      <c r="V120" s="4">
        <f t="shared" si="113"/>
        <v>3.2896512352542949E-4</v>
      </c>
      <c r="W120" t="str">
        <f t="shared" si="102"/>
        <v>1-0.000341728982645297i</v>
      </c>
      <c r="X120" s="4">
        <f t="shared" si="114"/>
        <v>1.0000000583893471</v>
      </c>
      <c r="Y120" s="4">
        <f t="shared" si="115"/>
        <v>-3.4172896934307609E-4</v>
      </c>
      <c r="Z120" t="str">
        <f t="shared" si="103"/>
        <v>0.999999298253955+0.00147983605960664i</v>
      </c>
      <c r="AA120" s="4">
        <f t="shared" si="116"/>
        <v>1.0000003932115056</v>
      </c>
      <c r="AB120" s="4">
        <f t="shared" si="117"/>
        <v>1.4798360178373379E-3</v>
      </c>
      <c r="AC120" s="48" t="str">
        <f t="shared" si="118"/>
        <v>2.68784741396845-38.5918812548379i</v>
      </c>
      <c r="AD120" s="20">
        <f t="shared" si="119"/>
        <v>31.750935013373503</v>
      </c>
      <c r="AE120" s="44">
        <f t="shared" si="120"/>
        <v>-86.015897222133745</v>
      </c>
      <c r="AF120" t="str">
        <f t="shared" si="104"/>
        <v>-0.979317078436135</v>
      </c>
      <c r="AG120" t="str">
        <f t="shared" si="121"/>
        <v>657.930270784171i</v>
      </c>
      <c r="AH120">
        <f t="shared" si="122"/>
        <v>657.93027078417094</v>
      </c>
      <c r="AI120">
        <f t="shared" si="123"/>
        <v>1.5707963267948966</v>
      </c>
      <c r="AJ120" t="str">
        <f t="shared" si="105"/>
        <v>0.993299579235691+0.644719030946825i</v>
      </c>
      <c r="AK120">
        <f t="shared" si="124"/>
        <v>1.1841903069079791</v>
      </c>
      <c r="AL120">
        <f t="shared" si="125"/>
        <v>0.57571979926158734</v>
      </c>
      <c r="AM120" t="str">
        <f t="shared" si="106"/>
        <v>1+91.5312592714939i</v>
      </c>
      <c r="AN120">
        <f t="shared" si="126"/>
        <v>91.536721723172036</v>
      </c>
      <c r="AO120">
        <f t="shared" si="127"/>
        <v>1.5598715320971162</v>
      </c>
      <c r="AP120" t="str">
        <f t="shared" si="107"/>
        <v>1+0.618454454537122i</v>
      </c>
      <c r="AQ120">
        <f t="shared" si="128"/>
        <v>1.1757916109314648</v>
      </c>
      <c r="AR120">
        <f t="shared" si="129"/>
        <v>0.55387855358935301</v>
      </c>
      <c r="AS120" s="42" t="str">
        <f t="shared" si="130"/>
        <v>-0.135211769387054+0.00443194047133185i</v>
      </c>
      <c r="AT120">
        <f t="shared" si="131"/>
        <v>-17.375046601204982</v>
      </c>
      <c r="AU120" s="44">
        <f t="shared" si="132"/>
        <v>178.12264417544287</v>
      </c>
      <c r="AV120" s="42" t="str">
        <f t="shared" si="108"/>
        <v>-0.192391684286942+5.22998892817645i</v>
      </c>
      <c r="AW120" s="20">
        <f t="shared" si="133"/>
        <v>14.375888412168527</v>
      </c>
      <c r="AX120" s="44">
        <f t="shared" si="134"/>
        <v>92.106746953309113</v>
      </c>
    </row>
    <row r="121" spans="14:50" x14ac:dyDescent="0.3">
      <c r="N121" s="8">
        <v>3</v>
      </c>
      <c r="O121" s="35">
        <f t="shared" si="135"/>
        <v>107.15193052376065</v>
      </c>
      <c r="P121" s="34" t="str">
        <f t="shared" si="99"/>
        <v>545.10556621881</v>
      </c>
      <c r="Q121" s="4" t="str">
        <f t="shared" si="100"/>
        <v>1+14.3825969235056i</v>
      </c>
      <c r="R121" s="4">
        <f t="shared" si="110"/>
        <v>14.417319246795943</v>
      </c>
      <c r="S121" s="4">
        <f t="shared" si="111"/>
        <v>1.5013795684515137</v>
      </c>
      <c r="T121" s="4" t="str">
        <f t="shared" si="101"/>
        <v>1+0.00033662771775141i</v>
      </c>
      <c r="U121" s="4">
        <f t="shared" si="112"/>
        <v>1.0000000566591085</v>
      </c>
      <c r="V121" s="4">
        <f t="shared" si="113"/>
        <v>3.3662770503605958E-4</v>
      </c>
      <c r="W121" t="str">
        <f t="shared" si="102"/>
        <v>1-0.000349688873200164i</v>
      </c>
      <c r="X121" s="4">
        <f t="shared" si="114"/>
        <v>1.0000000611411521</v>
      </c>
      <c r="Y121" s="4">
        <f t="shared" si="115"/>
        <v>-3.4968885894657751E-4</v>
      </c>
      <c r="Z121" t="str">
        <f t="shared" si="103"/>
        <v>0.999999265181682+0.00151430586951984i</v>
      </c>
      <c r="AA121" s="4">
        <f t="shared" si="116"/>
        <v>1.0000004117430006</v>
      </c>
      <c r="AB121" s="4">
        <f t="shared" si="117"/>
        <v>1.5143058247632213E-3</v>
      </c>
      <c r="AC121" s="48" t="str">
        <f t="shared" si="118"/>
        <v>2.5648633355929-37.7219711930025i</v>
      </c>
      <c r="AD121" s="20">
        <f t="shared" si="119"/>
        <v>31.551919476425528</v>
      </c>
      <c r="AE121" s="44">
        <f t="shared" si="120"/>
        <v>-86.110224401090264</v>
      </c>
      <c r="AF121" t="str">
        <f t="shared" si="104"/>
        <v>-0.979317078436135</v>
      </c>
      <c r="AG121" t="str">
        <f t="shared" si="121"/>
        <v>673.255435502821i</v>
      </c>
      <c r="AH121">
        <f t="shared" si="122"/>
        <v>673.255435502821</v>
      </c>
      <c r="AI121">
        <f t="shared" si="123"/>
        <v>1.5707963267948966</v>
      </c>
      <c r="AJ121" t="str">
        <f t="shared" si="105"/>
        <v>0.992983798133739+0.659736466357924i</v>
      </c>
      <c r="AK121">
        <f t="shared" si="124"/>
        <v>1.1921698823567664</v>
      </c>
      <c r="AL121">
        <f t="shared" si="125"/>
        <v>0.58643035494884432</v>
      </c>
      <c r="AM121" t="str">
        <f t="shared" si="106"/>
        <v>1+93.6632961871525i</v>
      </c>
      <c r="AN121">
        <f t="shared" si="126"/>
        <v>93.668634305418664</v>
      </c>
      <c r="AO121">
        <f t="shared" si="127"/>
        <v>1.5601201916690715</v>
      </c>
      <c r="AP121" t="str">
        <f t="shared" si="107"/>
        <v>1+0.632860109372653i</v>
      </c>
      <c r="AQ121">
        <f t="shared" si="128"/>
        <v>1.1834322617011783</v>
      </c>
      <c r="AR121">
        <f t="shared" si="129"/>
        <v>0.56423157235839394</v>
      </c>
      <c r="AS121" s="42" t="str">
        <f t="shared" si="130"/>
        <v>-0.13517867341191+0.00444558941954096i</v>
      </c>
      <c r="AT121">
        <f t="shared" si="131"/>
        <v>-17.377141869515842</v>
      </c>
      <c r="AU121" s="44">
        <f t="shared" si="132"/>
        <v>178.1164059630176</v>
      </c>
      <c r="AV121" s="42" t="str">
        <f t="shared" si="108"/>
        <v>-0.179018427168454+5.11060835365964i</v>
      </c>
      <c r="AW121" s="20">
        <f t="shared" si="133"/>
        <v>14.174777606909682</v>
      </c>
      <c r="AX121" s="44">
        <f t="shared" si="134"/>
        <v>92.006181561927335</v>
      </c>
    </row>
    <row r="122" spans="14:50" x14ac:dyDescent="0.3">
      <c r="N122" s="8">
        <v>4</v>
      </c>
      <c r="O122" s="35">
        <f t="shared" si="135"/>
        <v>109.64781961431861</v>
      </c>
      <c r="P122" s="34" t="str">
        <f t="shared" si="99"/>
        <v>545.10556621881</v>
      </c>
      <c r="Q122" s="4" t="str">
        <f t="shared" si="100"/>
        <v>1+14.717610642622i</v>
      </c>
      <c r="R122" s="4">
        <f t="shared" si="110"/>
        <v>14.751544428561383</v>
      </c>
      <c r="S122" s="4">
        <f t="shared" si="111"/>
        <v>1.5029547868107305</v>
      </c>
      <c r="T122" s="4" t="str">
        <f t="shared" si="101"/>
        <v>1+0.000344468784582482i</v>
      </c>
      <c r="U122" s="4">
        <f t="shared" si="112"/>
        <v>1.0000000593293701</v>
      </c>
      <c r="V122" s="4">
        <f t="shared" si="113"/>
        <v>3.4446877095773858E-4</v>
      </c>
      <c r="W122" t="str">
        <f t="shared" si="102"/>
        <v>1-0.000357834173424281i</v>
      </c>
      <c r="X122" s="4">
        <f t="shared" si="114"/>
        <v>1.0000000640226459</v>
      </c>
      <c r="Y122" s="4">
        <f t="shared" si="115"/>
        <v>-3.5783415815128798E-4</v>
      </c>
      <c r="Z122" t="str">
        <f t="shared" si="103"/>
        <v>0.999999230550762+0.00154957858444927i</v>
      </c>
      <c r="AA122" s="4">
        <f t="shared" si="116"/>
        <v>1.0000004311478599</v>
      </c>
      <c r="AB122" s="4">
        <f t="shared" si="117"/>
        <v>1.5495785364916814E-3</v>
      </c>
      <c r="AC122" s="48" t="str">
        <f t="shared" si="118"/>
        <v>2.44736238085694-36.8712954462449i</v>
      </c>
      <c r="AD122" s="20">
        <f t="shared" si="119"/>
        <v>31.352859829167752</v>
      </c>
      <c r="AE122" s="44">
        <f t="shared" si="120"/>
        <v>-86.202516173682042</v>
      </c>
      <c r="AF122" t="str">
        <f t="shared" si="104"/>
        <v>-0.979317078436135</v>
      </c>
      <c r="AG122" t="str">
        <f t="shared" si="121"/>
        <v>688.937569164964i</v>
      </c>
      <c r="AH122">
        <f t="shared" si="122"/>
        <v>688.93756916496397</v>
      </c>
      <c r="AI122">
        <f t="shared" si="123"/>
        <v>1.5707963267948966</v>
      </c>
      <c r="AJ122" t="str">
        <f t="shared" si="105"/>
        <v>0.99265313472695+0.675103702776132i</v>
      </c>
      <c r="AK122">
        <f t="shared" si="124"/>
        <v>1.2004687648519992</v>
      </c>
      <c r="AL122">
        <f t="shared" si="125"/>
        <v>0.59724524632671949</v>
      </c>
      <c r="AM122" t="str">
        <f t="shared" si="106"/>
        <v>1+95.8449946222298i</v>
      </c>
      <c r="AN122">
        <f t="shared" si="126"/>
        <v>95.850211236779558</v>
      </c>
      <c r="AO122">
        <f t="shared" si="127"/>
        <v>1.5603631923339216</v>
      </c>
      <c r="AP122" t="str">
        <f t="shared" si="107"/>
        <v>1+0.647601315015068i</v>
      </c>
      <c r="AQ122">
        <f t="shared" si="128"/>
        <v>1.1913804863305615</v>
      </c>
      <c r="AR122">
        <f t="shared" si="129"/>
        <v>0.57468712590489557</v>
      </c>
      <c r="AS122" s="42" t="str">
        <f t="shared" si="130"/>
        <v>-0.135144931118259+0.00446021918763795i</v>
      </c>
      <c r="AT122">
        <f t="shared" si="131"/>
        <v>-17.379276956583741</v>
      </c>
      <c r="AU122" s="44">
        <f t="shared" si="132"/>
        <v>178.10974033437523</v>
      </c>
      <c r="AV122" s="42" t="str">
        <f t="shared" si="108"/>
        <v>-0.16629456095992+4.99388445597395i</v>
      </c>
      <c r="AW122" s="20">
        <f t="shared" si="133"/>
        <v>13.973582872584018</v>
      </c>
      <c r="AX122" s="44">
        <f t="shared" si="134"/>
        <v>91.907224160693175</v>
      </c>
    </row>
    <row r="123" spans="14:50" x14ac:dyDescent="0.3">
      <c r="N123" s="8">
        <v>5</v>
      </c>
      <c r="O123" s="35">
        <f t="shared" si="135"/>
        <v>112.20184543019634</v>
      </c>
      <c r="P123" s="34" t="str">
        <f t="shared" si="99"/>
        <v>545.10556621881</v>
      </c>
      <c r="Q123" s="4" t="str">
        <f t="shared" si="100"/>
        <v>1+15.0604278337117i</v>
      </c>
      <c r="R123" s="4">
        <f t="shared" si="110"/>
        <v>15.093590909205075</v>
      </c>
      <c r="S123" s="4">
        <f t="shared" si="111"/>
        <v>1.5044944747124458</v>
      </c>
      <c r="T123" s="4" t="str">
        <f t="shared" si="101"/>
        <v>1+0.000352492493322723i</v>
      </c>
      <c r="U123" s="4">
        <f t="shared" si="112"/>
        <v>1.000000062125477</v>
      </c>
      <c r="V123" s="4">
        <f t="shared" si="113"/>
        <v>3.5249247872354744E-4</v>
      </c>
      <c r="W123" t="str">
        <f t="shared" si="102"/>
        <v>1-0.000366169202063643i</v>
      </c>
      <c r="X123" s="4">
        <f t="shared" si="114"/>
        <v>1.00000006703994</v>
      </c>
      <c r="Y123" s="4">
        <f t="shared" si="115"/>
        <v>-3.6616918569833622E-4</v>
      </c>
      <c r="Z123" t="str">
        <f t="shared" si="103"/>
        <v>0.999999194287736+0.00158567290645527i</v>
      </c>
      <c r="AA123" s="4">
        <f t="shared" si="116"/>
        <v>1.0000004514672418</v>
      </c>
      <c r="AB123" s="4">
        <f t="shared" si="117"/>
        <v>1.5856728550677809E-3</v>
      </c>
      <c r="AC123" s="48" t="str">
        <f t="shared" si="118"/>
        <v>2.33510231942865-36.0394536620281i</v>
      </c>
      <c r="AD123" s="20">
        <f t="shared" si="119"/>
        <v>31.153758038136647</v>
      </c>
      <c r="AE123" s="44">
        <f t="shared" si="120"/>
        <v>-86.292819681646023</v>
      </c>
      <c r="AF123" t="str">
        <f t="shared" si="104"/>
        <v>-0.979317078436135</v>
      </c>
      <c r="AG123" t="str">
        <f t="shared" si="121"/>
        <v>704.984986645445i</v>
      </c>
      <c r="AH123">
        <f t="shared" si="122"/>
        <v>704.98498664544502</v>
      </c>
      <c r="AI123">
        <f t="shared" si="123"/>
        <v>1.5707963267948966</v>
      </c>
      <c r="AJ123" t="str">
        <f t="shared" si="105"/>
        <v>0.992306887633906+0.690828888113604i</v>
      </c>
      <c r="AK123">
        <f t="shared" si="124"/>
        <v>1.2090978090700386</v>
      </c>
      <c r="AL123">
        <f t="shared" si="125"/>
        <v>0.60816077840567617</v>
      </c>
      <c r="AM123" t="str">
        <f t="shared" si="106"/>
        <v>1+98.0775113421143i</v>
      </c>
      <c r="AN123">
        <f t="shared" si="126"/>
        <v>98.082609218263357</v>
      </c>
      <c r="AO123">
        <f t="shared" si="127"/>
        <v>1.5606006628189779</v>
      </c>
      <c r="AP123" t="str">
        <f t="shared" si="107"/>
        <v>1+0.66268588744672i</v>
      </c>
      <c r="AQ123">
        <f t="shared" si="128"/>
        <v>1.1996468586300915</v>
      </c>
      <c r="AR123">
        <f t="shared" si="129"/>
        <v>0.58524161375626071</v>
      </c>
      <c r="AS123" s="42" t="str">
        <f t="shared" si="130"/>
        <v>-0.135110559350002+0.00447579917963695i</v>
      </c>
      <c r="AT123">
        <f t="shared" si="131"/>
        <v>-17.381450852533003</v>
      </c>
      <c r="AU123" s="44">
        <f t="shared" si="132"/>
        <v>178.10266008046929</v>
      </c>
      <c r="AV123" s="42" t="str">
        <f t="shared" si="108"/>
        <v>-0.154191623382423+4.87976219199076i</v>
      </c>
      <c r="AW123" s="20">
        <f t="shared" si="133"/>
        <v>13.772307185603641</v>
      </c>
      <c r="AX123" s="44">
        <f t="shared" si="134"/>
        <v>91.809840398823283</v>
      </c>
    </row>
    <row r="124" spans="14:50" x14ac:dyDescent="0.3">
      <c r="N124" s="8">
        <v>6</v>
      </c>
      <c r="O124" s="35">
        <f t="shared" si="135"/>
        <v>114.81536214968835</v>
      </c>
      <c r="P124" s="34" t="str">
        <f t="shared" si="99"/>
        <v>545.10556621881</v>
      </c>
      <c r="Q124" s="4" t="str">
        <f t="shared" si="100"/>
        <v>1+15.4112302629872i</v>
      </c>
      <c r="R124" s="4">
        <f t="shared" si="110"/>
        <v>15.443640057279646</v>
      </c>
      <c r="S124" s="4">
        <f t="shared" si="111"/>
        <v>1.5059994193027852</v>
      </c>
      <c r="T124" s="4" t="str">
        <f t="shared" si="101"/>
        <v>1+0.000360703098248712i</v>
      </c>
      <c r="U124" s="4">
        <f t="shared" si="112"/>
        <v>1.0000000650533605</v>
      </c>
      <c r="V124" s="4">
        <f t="shared" si="113"/>
        <v>3.6070308260541359E-4</v>
      </c>
      <c r="W124" t="str">
        <f t="shared" si="102"/>
        <v>1-0.000374698378460761i</v>
      </c>
      <c r="X124" s="4">
        <f t="shared" si="114"/>
        <v>1.0000000701994349</v>
      </c>
      <c r="Y124" s="4">
        <f t="shared" si="115"/>
        <v>-3.746983609250189E-4</v>
      </c>
      <c r="Z124" t="str">
        <f t="shared" si="103"/>
        <v>0.999999156315687+0.00162260797322513i</v>
      </c>
      <c r="AA124" s="4">
        <f t="shared" si="116"/>
        <v>1.0000004727442486</v>
      </c>
      <c r="AB124" s="4">
        <f t="shared" si="117"/>
        <v>1.6226079181624338E-3</v>
      </c>
      <c r="AC124" s="48" t="str">
        <f t="shared" si="118"/>
        <v>2.22785142667173-35.2260521409198i</v>
      </c>
      <c r="AD124" s="20">
        <f t="shared" si="119"/>
        <v>30.954615982931681</v>
      </c>
      <c r="AE124" s="44">
        <f t="shared" si="120"/>
        <v>-86.381181131098415</v>
      </c>
      <c r="AF124" t="str">
        <f t="shared" si="104"/>
        <v>-0.979317078436135</v>
      </c>
      <c r="AG124" t="str">
        <f t="shared" si="121"/>
        <v>721.406196497425i</v>
      </c>
      <c r="AH124">
        <f t="shared" si="122"/>
        <v>721.40619649742496</v>
      </c>
      <c r="AI124">
        <f t="shared" si="123"/>
        <v>1.5707963267948966</v>
      </c>
      <c r="AJ124" t="str">
        <f t="shared" si="105"/>
        <v>0.9919443224181+0.706920360071757i</v>
      </c>
      <c r="AK124">
        <f t="shared" si="124"/>
        <v>1.2180681156082718</v>
      </c>
      <c r="AL124">
        <f t="shared" si="125"/>
        <v>0.61917305355616792</v>
      </c>
      <c r="AM124" t="str">
        <f t="shared" si="106"/>
        <v>1+100.362030056722i</v>
      </c>
      <c r="AN124">
        <f t="shared" si="126"/>
        <v>100.36701189686964</v>
      </c>
      <c r="AO124">
        <f t="shared" si="127"/>
        <v>1.5608327289270407</v>
      </c>
      <c r="AP124" t="str">
        <f t="shared" si="107"/>
        <v>1+0.678121824707581i</v>
      </c>
      <c r="AQ124">
        <f t="shared" si="128"/>
        <v>1.2082421980483629</v>
      </c>
      <c r="AR124">
        <f t="shared" si="129"/>
        <v>0.59589122595411048</v>
      </c>
      <c r="AS124" s="42" t="str">
        <f t="shared" si="130"/>
        <v>-0.1350755768305+0.00449230019500146i</v>
      </c>
      <c r="AT124">
        <f t="shared" si="131"/>
        <v>-17.383662422878711</v>
      </c>
      <c r="AU124" s="44">
        <f t="shared" si="132"/>
        <v>178.09517743245726</v>
      </c>
      <c r="AV124" s="42" t="str">
        <f t="shared" si="108"/>
        <v>-0.142682315648551+4.76818748979448i</v>
      </c>
      <c r="AW124" s="20">
        <f t="shared" si="133"/>
        <v>13.570953560052963</v>
      </c>
      <c r="AX124" s="44">
        <f t="shared" si="134"/>
        <v>91.713996301358847</v>
      </c>
    </row>
    <row r="125" spans="14:50" x14ac:dyDescent="0.3">
      <c r="N125" s="8">
        <v>7</v>
      </c>
      <c r="O125" s="35">
        <f t="shared" si="135"/>
        <v>117.48975549395293</v>
      </c>
      <c r="P125" s="34" t="str">
        <f t="shared" si="99"/>
        <v>545.10556621881</v>
      </c>
      <c r="Q125" s="4" t="str">
        <f t="shared" si="100"/>
        <v>1+15.7702039305399i</v>
      </c>
      <c r="R125" s="4">
        <f t="shared" si="110"/>
        <v>15.801877483730095</v>
      </c>
      <c r="S125" s="4">
        <f t="shared" si="111"/>
        <v>1.5074703912400449</v>
      </c>
      <c r="T125" s="4" t="str">
        <f t="shared" si="101"/>
        <v>1+0.000369104952731863i</v>
      </c>
      <c r="U125" s="4">
        <f t="shared" si="112"/>
        <v>1.0000000681192307</v>
      </c>
      <c r="V125" s="4">
        <f t="shared" si="113"/>
        <v>3.6910493596976684E-4</v>
      </c>
      <c r="W125" t="str">
        <f t="shared" si="102"/>
        <v>1-0.000383426224897859i</v>
      </c>
      <c r="X125" s="4">
        <f t="shared" si="114"/>
        <v>1.0000000735078323</v>
      </c>
      <c r="Y125" s="4">
        <f t="shared" si="115"/>
        <v>-3.8342620610797289E-4</v>
      </c>
      <c r="Z125" t="str">
        <f t="shared" si="103"/>
        <v>0.999999116554071+0.00166040336822015i</v>
      </c>
      <c r="AA125" s="4">
        <f t="shared" si="116"/>
        <v>1.0000004950240113</v>
      </c>
      <c r="AB125" s="4">
        <f t="shared" si="117"/>
        <v>1.660403309219397E-3</v>
      </c>
      <c r="AC125" s="48" t="str">
        <f t="shared" si="118"/>
        <v>2.12538804518885-34.4307038448985i</v>
      </c>
      <c r="AD125" s="20">
        <f t="shared" si="119"/>
        <v>30.755435459988817</v>
      </c>
      <c r="AE125" s="44">
        <f t="shared" si="120"/>
        <v>-86.467645809233574</v>
      </c>
      <c r="AF125" t="str">
        <f t="shared" si="104"/>
        <v>-0.979317078436135</v>
      </c>
      <c r="AG125" t="str">
        <f t="shared" si="121"/>
        <v>738.209905463727i</v>
      </c>
      <c r="AH125">
        <f t="shared" si="122"/>
        <v>738.20990546372695</v>
      </c>
      <c r="AI125">
        <f t="shared" si="123"/>
        <v>1.5707963267948966</v>
      </c>
      <c r="AJ125" t="str">
        <f t="shared" si="105"/>
        <v>0.991564670030098+0.723386650562016i</v>
      </c>
      <c r="AK125">
        <f t="shared" si="124"/>
        <v>1.2273910302194773</v>
      </c>
      <c r="AL125">
        <f t="shared" si="125"/>
        <v>0.63027797603771274</v>
      </c>
      <c r="AM125" t="str">
        <f t="shared" si="106"/>
        <v>1+102.699762048114i</v>
      </c>
      <c r="AN125">
        <f t="shared" si="126"/>
        <v>102.70463049317317</v>
      </c>
      <c r="AO125">
        <f t="shared" si="127"/>
        <v>1.5610595136025927</v>
      </c>
      <c r="AP125" t="str">
        <f t="shared" si="107"/>
        <v>1+0.693917311135905i</v>
      </c>
      <c r="AQ125">
        <f t="shared" si="128"/>
        <v>1.2171775690892781</v>
      </c>
      <c r="AR125">
        <f t="shared" si="129"/>
        <v>0.60663194645214169</v>
      </c>
      <c r="AS125" s="42" t="str">
        <f t="shared" si="130"/>
        <v>-0.135040004146811+0.00450969457417416i</v>
      </c>
      <c r="AT125">
        <f t="shared" si="131"/>
        <v>-17.385910409102653</v>
      </c>
      <c r="AU125" s="44">
        <f t="shared" si="132"/>
        <v>178.08730400067898</v>
      </c>
      <c r="AV125" s="42" t="str">
        <f t="shared" si="108"/>
        <v>-0.131740452121549+4.65910724092812i</v>
      </c>
      <c r="AW125" s="20">
        <f t="shared" si="133"/>
        <v>13.369525050886168</v>
      </c>
      <c r="AX125" s="44">
        <f t="shared" si="134"/>
        <v>91.61965819144541</v>
      </c>
    </row>
    <row r="126" spans="14:50" x14ac:dyDescent="0.3">
      <c r="N126" s="8">
        <v>8</v>
      </c>
      <c r="O126" s="35">
        <f t="shared" si="135"/>
        <v>120.22644346174135</v>
      </c>
      <c r="P126" s="34" t="str">
        <f t="shared" si="99"/>
        <v>545.10556621881</v>
      </c>
      <c r="Q126" s="4" t="str">
        <f t="shared" si="100"/>
        <v>1+16.1375391689599i</v>
      </c>
      <c r="R126" s="4">
        <f t="shared" si="110"/>
        <v>16.168493140355256</v>
      </c>
      <c r="S126" s="4">
        <f t="shared" si="111"/>
        <v>1.5089081449760404</v>
      </c>
      <c r="T126" s="4" t="str">
        <f t="shared" si="101"/>
        <v>1+0.000377702511546636i</v>
      </c>
      <c r="U126" s="4">
        <f t="shared" si="112"/>
        <v>1.0000000713295911</v>
      </c>
      <c r="V126" s="4">
        <f t="shared" si="113"/>
        <v>3.7770249358572643E-4</v>
      </c>
      <c r="W126" t="str">
        <f t="shared" si="102"/>
        <v>1-0.000392357368994644i</v>
      </c>
      <c r="X126" s="4">
        <f t="shared" si="114"/>
        <v>1.0000000769721495</v>
      </c>
      <c r="Y126" s="4">
        <f t="shared" si="115"/>
        <v>-3.9235734886091837E-4</v>
      </c>
      <c r="Z126" t="str">
        <f t="shared" si="103"/>
        <v>0.999999074918547+0.00169907913105904i</v>
      </c>
      <c r="AA126" s="4">
        <f t="shared" si="116"/>
        <v>1.0000005183537872</v>
      </c>
      <c r="AB126" s="4">
        <f t="shared" si="117"/>
        <v>1.6990790678385831E-3</v>
      </c>
      <c r="AC126" s="48" t="str">
        <f t="shared" si="118"/>
        <v>2.02750016313836-33.6530283952796i</v>
      </c>
      <c r="AD126" s="20">
        <f t="shared" si="119"/>
        <v>30.556218186194958</v>
      </c>
      <c r="AE126" s="44">
        <f t="shared" si="120"/>
        <v>-86.552258101044103</v>
      </c>
      <c r="AF126" t="str">
        <f t="shared" si="104"/>
        <v>-0.979317078436135</v>
      </c>
      <c r="AG126" t="str">
        <f t="shared" si="121"/>
        <v>755.405023093271i</v>
      </c>
      <c r="AH126">
        <f t="shared" si="122"/>
        <v>755.40502309327098</v>
      </c>
      <c r="AI126">
        <f t="shared" si="123"/>
        <v>1.5707963267948966</v>
      </c>
      <c r="AJ126" t="str">
        <f t="shared" si="105"/>
        <v>0.991167125176287+0.740236490229558i</v>
      </c>
      <c r="AK126">
        <f t="shared" si="124"/>
        <v>1.2370781428420761</v>
      </c>
      <c r="AL126">
        <f t="shared" si="125"/>
        <v>0.64147125751747203</v>
      </c>
      <c r="AM126" t="str">
        <f t="shared" si="106"/>
        <v>1+105.091946812736i</v>
      </c>
      <c r="AN126">
        <f t="shared" si="126"/>
        <v>105.09670444353111</v>
      </c>
      <c r="AO126">
        <f t="shared" si="127"/>
        <v>1.5612811369965063</v>
      </c>
      <c r="AP126" t="str">
        <f t="shared" si="107"/>
        <v>1+0.710080721707676i</v>
      </c>
      <c r="AQ126">
        <f t="shared" si="128"/>
        <v>1.226464280499393</v>
      </c>
      <c r="AR126">
        <f t="shared" si="129"/>
        <v>0.61745955748648773</v>
      </c>
      <c r="AS126" s="42" t="str">
        <f t="shared" si="130"/>
        <v>-0.135003863721271+0.00452795634598209i</v>
      </c>
      <c r="AT126">
        <f t="shared" si="131"/>
        <v>-17.388193430012315</v>
      </c>
      <c r="AU126" s="44">
        <f t="shared" si="132"/>
        <v>178.07905071257673</v>
      </c>
      <c r="AV126" s="42" t="str">
        <f t="shared" si="108"/>
        <v>-0.121340912235264+4.55246929151455i</v>
      </c>
      <c r="AW126" s="20">
        <f t="shared" si="133"/>
        <v>13.168024756182639</v>
      </c>
      <c r="AX126" s="44">
        <f t="shared" si="134"/>
        <v>91.526792611532628</v>
      </c>
    </row>
    <row r="127" spans="14:50" x14ac:dyDescent="0.3">
      <c r="N127" s="8">
        <v>9</v>
      </c>
      <c r="O127" s="35">
        <f t="shared" si="135"/>
        <v>123.02687708123821</v>
      </c>
      <c r="P127" s="34" t="str">
        <f t="shared" si="99"/>
        <v>545.10556621881</v>
      </c>
      <c r="Q127" s="4" t="str">
        <f t="shared" si="100"/>
        <v>1+16.5134307442528i</v>
      </c>
      <c r="R127" s="4">
        <f t="shared" si="110"/>
        <v>16.543681420567601</v>
      </c>
      <c r="S127" s="4">
        <f t="shared" si="111"/>
        <v>1.5103134190371623</v>
      </c>
      <c r="T127" s="4" t="str">
        <f t="shared" si="101"/>
        <v>1+0.000386500333232513i</v>
      </c>
      <c r="U127" s="4">
        <f t="shared" si="112"/>
        <v>1.000000074691251</v>
      </c>
      <c r="V127" s="4">
        <f t="shared" si="113"/>
        <v>3.8650031398705176E-4</v>
      </c>
      <c r="W127" t="str">
        <f t="shared" si="102"/>
        <v>1-0.000401496546161933i</v>
      </c>
      <c r="X127" s="4">
        <f t="shared" si="114"/>
        <v>1.0000000805997351</v>
      </c>
      <c r="Y127" s="4">
        <f t="shared" si="115"/>
        <v>-4.0149652458825737E-4</v>
      </c>
      <c r="Z127" t="str">
        <f t="shared" si="103"/>
        <v>0.999999031320801+0.00173865576814319i</v>
      </c>
      <c r="AA127" s="4">
        <f t="shared" si="116"/>
        <v>1.0000005427830629</v>
      </c>
      <c r="AB127" s="4">
        <f t="shared" si="117"/>
        <v>1.7386557004012376E-3</v>
      </c>
      <c r="AC127" s="48" t="str">
        <f t="shared" si="118"/>
        <v>1.93398500882217-32.8926520611339i</v>
      </c>
      <c r="AD127" s="20">
        <f t="shared" si="119"/>
        <v>30.356965802350963</v>
      </c>
      <c r="AE127" s="44">
        <f t="shared" si="120"/>
        <v>-86.635061506038255</v>
      </c>
      <c r="AF127" t="str">
        <f t="shared" si="104"/>
        <v>-0.979317078436135</v>
      </c>
      <c r="AG127" t="str">
        <f t="shared" si="121"/>
        <v>773.000666465025i</v>
      </c>
      <c r="AH127">
        <f t="shared" si="122"/>
        <v>773.00066646502501</v>
      </c>
      <c r="AI127">
        <f t="shared" si="123"/>
        <v>1.5707963267948966</v>
      </c>
      <c r="AJ127" t="str">
        <f t="shared" si="105"/>
        <v>0.99075084461073+0.757478813082407i</v>
      </c>
      <c r="AK127">
        <f t="shared" si="124"/>
        <v>1.2471412864489761</v>
      </c>
      <c r="AL127">
        <f t="shared" si="125"/>
        <v>0.65274842358419682</v>
      </c>
      <c r="AM127" t="str">
        <f t="shared" si="106"/>
        <v>1+107.539852718614i</v>
      </c>
      <c r="AN127">
        <f t="shared" si="126"/>
        <v>107.54450205724694</v>
      </c>
      <c r="AO127">
        <f t="shared" si="127"/>
        <v>1.5614977165293045</v>
      </c>
      <c r="AP127" t="str">
        <f t="shared" si="107"/>
        <v>1+0.726620626477125i</v>
      </c>
      <c r="AQ127">
        <f t="shared" si="128"/>
        <v>1.2361138842444939</v>
      </c>
      <c r="AR127">
        <f t="shared" si="129"/>
        <v>0.62836964493301983</v>
      </c>
      <c r="AS127" s="42" t="str">
        <f t="shared" si="130"/>
        <v>-0.134967179770026+0.00454706137570582i</v>
      </c>
      <c r="AT127">
        <f t="shared" si="131"/>
        <v>-17.390509983912118</v>
      </c>
      <c r="AU127" s="44">
        <f t="shared" si="132"/>
        <v>178.07042775004857</v>
      </c>
      <c r="AV127" s="42" t="str">
        <f t="shared" si="108"/>
        <v>-0.111459594626525+4.44822243238279i</v>
      </c>
      <c r="AW127" s="20">
        <f t="shared" si="133"/>
        <v>12.966455818438851</v>
      </c>
      <c r="AX127" s="44">
        <f t="shared" si="134"/>
        <v>91.435366244010311</v>
      </c>
    </row>
    <row r="128" spans="14:50" x14ac:dyDescent="0.3">
      <c r="N128" s="8">
        <v>10</v>
      </c>
      <c r="O128" s="35">
        <f t="shared" si="135"/>
        <v>125.89254117941677</v>
      </c>
      <c r="P128" s="34" t="str">
        <f t="shared" si="99"/>
        <v>545.10556621881</v>
      </c>
      <c r="Q128" s="4" t="str">
        <f t="shared" si="100"/>
        <v>1+16.8980779591075i</v>
      </c>
      <c r="R128" s="4">
        <f t="shared" si="110"/>
        <v>16.927641262505379</v>
      </c>
      <c r="S128" s="4">
        <f t="shared" si="111"/>
        <v>1.511686936304756</v>
      </c>
      <c r="T128" s="4" t="str">
        <f t="shared" si="101"/>
        <v>1+0.000395503082511006i</v>
      </c>
      <c r="U128" s="4">
        <f t="shared" si="112"/>
        <v>1.0000000782113412</v>
      </c>
      <c r="V128" s="4">
        <f t="shared" si="113"/>
        <v>3.955030618891228E-4</v>
      </c>
      <c r="W128" t="str">
        <f t="shared" si="102"/>
        <v>1-0.000410848602112432i</v>
      </c>
      <c r="X128" s="4">
        <f t="shared" si="114"/>
        <v>1.0000000843982833</v>
      </c>
      <c r="Y128" s="4">
        <f t="shared" si="115"/>
        <v>-4.1084857899582221E-4</v>
      </c>
      <c r="Z128" t="str">
        <f t="shared" si="103"/>
        <v>0.999998985668357+0.00177915426352944i</v>
      </c>
      <c r="AA128" s="4">
        <f t="shared" si="116"/>
        <v>1.0000005683636568</v>
      </c>
      <c r="AB128" s="4">
        <f t="shared" si="117"/>
        <v>1.7791541909426157E-3</v>
      </c>
      <c r="AC128" s="48" t="str">
        <f t="shared" si="118"/>
        <v>1.84464866104348-32.1492077390066i</v>
      </c>
      <c r="AD128" s="20">
        <f t="shared" si="119"/>
        <v>30.157679876489077</v>
      </c>
      <c r="AE128" s="44">
        <f t="shared" si="120"/>
        <v>-86.716098654932907</v>
      </c>
      <c r="AF128" t="str">
        <f t="shared" si="104"/>
        <v>-0.979317078436135</v>
      </c>
      <c r="AG128" t="str">
        <f t="shared" si="121"/>
        <v>791.006165022012i</v>
      </c>
      <c r="AH128">
        <f t="shared" si="122"/>
        <v>791.00616502201206</v>
      </c>
      <c r="AI128">
        <f t="shared" si="123"/>
        <v>1.5707963267948966</v>
      </c>
      <c r="AJ128" t="str">
        <f t="shared" si="105"/>
        <v>0.990314945346536+0.775122761228371i</v>
      </c>
      <c r="AK128">
        <f t="shared" si="124"/>
        <v>1.2575925357408126</v>
      </c>
      <c r="AL128">
        <f t="shared" si="125"/>
        <v>0.66410482125501202</v>
      </c>
      <c r="AM128" t="str">
        <f t="shared" si="106"/>
        <v>1+110.044777677862i</v>
      </c>
      <c r="AN128">
        <f t="shared" si="126"/>
        <v>110.04932118904721</v>
      </c>
      <c r="AO128">
        <f t="shared" si="127"/>
        <v>1.5617093669530038</v>
      </c>
      <c r="AP128" t="str">
        <f t="shared" si="107"/>
        <v>1+0.743545795120693i</v>
      </c>
      <c r="AQ128">
        <f t="shared" si="128"/>
        <v>1.246138174297563</v>
      </c>
      <c r="AR128">
        <f t="shared" si="129"/>
        <v>0.63935760465817504</v>
      </c>
      <c r="AS128" s="42" t="str">
        <f t="shared" si="130"/>
        <v>-0.134929978248281+0.00456698751253181i</v>
      </c>
      <c r="AT128">
        <f t="shared" si="131"/>
        <v>-17.392858451606489</v>
      </c>
      <c r="AU128" s="44">
        <f t="shared" si="132"/>
        <v>178.06144448675983</v>
      </c>
      <c r="AV128" s="42" t="str">
        <f t="shared" si="108"/>
        <v>-0.102073373428483+4.34631638832362i</v>
      </c>
      <c r="AW128" s="20">
        <f t="shared" si="133"/>
        <v>12.764821424882582</v>
      </c>
      <c r="AX128" s="44">
        <f t="shared" si="134"/>
        <v>91.345345831826904</v>
      </c>
    </row>
    <row r="129" spans="14:50" x14ac:dyDescent="0.3">
      <c r="N129" s="8">
        <v>11</v>
      </c>
      <c r="O129" s="35">
        <f t="shared" si="135"/>
        <v>128.82495516931343</v>
      </c>
      <c r="P129" s="34" t="str">
        <f t="shared" si="99"/>
        <v>545.10556621881</v>
      </c>
      <c r="Q129" s="4" t="str">
        <f t="shared" si="100"/>
        <v>1+17.2916847585686i</v>
      </c>
      <c r="R129" s="4">
        <f t="shared" si="110"/>
        <v>17.320576254550932</v>
      </c>
      <c r="S129" s="4">
        <f t="shared" si="111"/>
        <v>1.5130294042944754</v>
      </c>
      <c r="T129" s="4" t="str">
        <f t="shared" si="101"/>
        <v>1+0.00040471553275895i</v>
      </c>
      <c r="U129" s="4">
        <f t="shared" si="112"/>
        <v>1.0000000818973278</v>
      </c>
      <c r="V129" s="4">
        <f t="shared" si="113"/>
        <v>4.0471551066220414E-4</v>
      </c>
      <c r="W129" t="str">
        <f t="shared" si="102"/>
        <v>1-0.000420418495429996i</v>
      </c>
      <c r="X129" s="4">
        <f t="shared" si="114"/>
        <v>1.0000000883758517</v>
      </c>
      <c r="Y129" s="4">
        <f t="shared" si="115"/>
        <v>-4.2041847066010246E-4</v>
      </c>
      <c r="Z129" t="str">
        <f t="shared" si="103"/>
        <v>0.999998937864379+0.0018205960900561i</v>
      </c>
      <c r="AA129" s="4">
        <f t="shared" si="116"/>
        <v>1.0000005951498274</v>
      </c>
      <c r="AB129" s="4">
        <f t="shared" si="117"/>
        <v>1.8205960122779014E-3</v>
      </c>
      <c r="AC129" s="48" t="str">
        <f t="shared" si="118"/>
        <v>1.75930567473627-31.4223349246908i</v>
      </c>
      <c r="AD129" s="20">
        <f t="shared" si="119"/>
        <v>29.958361907050048</v>
      </c>
      <c r="AE129" s="44">
        <f t="shared" si="120"/>
        <v>-86.795411326302172</v>
      </c>
      <c r="AF129" t="str">
        <f t="shared" si="104"/>
        <v>-0.979317078436135</v>
      </c>
      <c r="AG129" t="str">
        <f t="shared" si="121"/>
        <v>809.431065517899i</v>
      </c>
      <c r="AH129">
        <f t="shared" si="122"/>
        <v>809.43106551789901</v>
      </c>
      <c r="AI129">
        <f t="shared" si="123"/>
        <v>1.5707963267948966</v>
      </c>
      <c r="AJ129" t="str">
        <f t="shared" si="105"/>
        <v>0.989858502782925+0.7931776897223i</v>
      </c>
      <c r="AK129">
        <f t="shared" si="124"/>
        <v>1.2684442057122021</v>
      </c>
      <c r="AL129">
        <f t="shared" si="125"/>
        <v>0.67553562746367068</v>
      </c>
      <c r="AM129" t="str">
        <f t="shared" si="106"/>
        <v>1+112.60804983485i</v>
      </c>
      <c r="AN129">
        <f t="shared" si="126"/>
        <v>112.61248992721927</v>
      </c>
      <c r="AO129">
        <f t="shared" si="127"/>
        <v>1.5619162004115681</v>
      </c>
      <c r="AP129" t="str">
        <f t="shared" si="107"/>
        <v>1+0.760865201586827i</v>
      </c>
      <c r="AQ129">
        <f t="shared" si="128"/>
        <v>1.2565491852632602</v>
      </c>
      <c r="AR129">
        <f t="shared" si="129"/>
        <v>0.65041864986148656</v>
      </c>
      <c r="AS129" s="42" t="str">
        <f t="shared" si="130"/>
        <v>-0.134892286782115+0.00458771473505508i</v>
      </c>
      <c r="AT129">
        <f t="shared" si="131"/>
        <v>-17.395237100249229</v>
      </c>
      <c r="AU129" s="44">
        <f t="shared" si="132"/>
        <v>178.05210942596264</v>
      </c>
      <c r="AV129" s="42" t="str">
        <f t="shared" si="108"/>
        <v>-0.0931600566700875+4.24670180659251i</v>
      </c>
      <c r="AW129" s="20">
        <f t="shared" si="133"/>
        <v>12.563124806800809</v>
      </c>
      <c r="AX129" s="44">
        <f t="shared" si="134"/>
        <v>91.256698099660468</v>
      </c>
    </row>
    <row r="130" spans="14:50" x14ac:dyDescent="0.3">
      <c r="N130" s="8">
        <v>12</v>
      </c>
      <c r="O130" s="35">
        <f t="shared" si="135"/>
        <v>131.82567385564084</v>
      </c>
      <c r="P130" s="34" t="str">
        <f t="shared" si="99"/>
        <v>545.10556621881</v>
      </c>
      <c r="Q130" s="4" t="str">
        <f t="shared" si="100"/>
        <v>1+17.6944598381711i</v>
      </c>
      <c r="R130" s="4">
        <f t="shared" si="110"/>
        <v>17.722694743312879</v>
      </c>
      <c r="S130" s="4">
        <f t="shared" si="111"/>
        <v>1.5143415154342883</v>
      </c>
      <c r="T130" s="4" t="str">
        <f t="shared" si="101"/>
        <v>1+0.000414142568539405i</v>
      </c>
      <c r="U130" s="4">
        <f t="shared" si="112"/>
        <v>1.0000000857570299</v>
      </c>
      <c r="V130" s="4">
        <f t="shared" si="113"/>
        <v>4.1414254486231536E-4</v>
      </c>
      <c r="W130" t="str">
        <f t="shared" si="102"/>
        <v>1-0.000430211300198733i</v>
      </c>
      <c r="X130" s="4">
        <f t="shared" si="114"/>
        <v>1.0000000925408772</v>
      </c>
      <c r="Y130" s="4">
        <f t="shared" si="115"/>
        <v>-4.3021127365731399E-4</v>
      </c>
      <c r="Z130" t="str">
        <f t="shared" si="103"/>
        <v>0.99999888780747+0.00186300322072815i</v>
      </c>
      <c r="AA130" s="4">
        <f t="shared" si="116"/>
        <v>1.0000006231983947</v>
      </c>
      <c r="AB130" s="4">
        <f t="shared" si="117"/>
        <v>1.8630031373872893E-3</v>
      </c>
      <c r="AC130" s="48" t="str">
        <f t="shared" si="118"/>
        <v>1.6777787213728-30.7116796777617i</v>
      </c>
      <c r="AD130" s="20">
        <f t="shared" si="119"/>
        <v>29.759013325925501</v>
      </c>
      <c r="AE130" s="44">
        <f t="shared" si="120"/>
        <v>-86.87304046316396</v>
      </c>
      <c r="AF130" t="str">
        <f t="shared" si="104"/>
        <v>-0.979317078436135</v>
      </c>
      <c r="AG130" t="str">
        <f t="shared" si="121"/>
        <v>828.285137078811i</v>
      </c>
      <c r="AH130">
        <f t="shared" si="122"/>
        <v>828.28513707881098</v>
      </c>
      <c r="AI130">
        <f t="shared" si="123"/>
        <v>1.5707963267948966</v>
      </c>
      <c r="AJ130" t="str">
        <f t="shared" si="105"/>
        <v>0.989380548744022+0.811653171526268i</v>
      </c>
      <c r="AK130">
        <f t="shared" si="124"/>
        <v>1.2797088501224299</v>
      </c>
      <c r="AL130">
        <f t="shared" si="125"/>
        <v>0.68703585850982296</v>
      </c>
      <c r="AM130" t="str">
        <f t="shared" si="106"/>
        <v>1+115.231028270404i</v>
      </c>
      <c r="AN130">
        <f t="shared" si="126"/>
        <v>115.23536729778165</v>
      </c>
      <c r="AO130">
        <f t="shared" si="127"/>
        <v>1.5621183265000076</v>
      </c>
      <c r="AP130" t="str">
        <f t="shared" si="107"/>
        <v>1+0.778588028854084i</v>
      </c>
      <c r="AQ130">
        <f t="shared" si="128"/>
        <v>1.2673591908669333</v>
      </c>
      <c r="AR130">
        <f t="shared" si="129"/>
        <v>0.66154781939922103</v>
      </c>
      <c r="AS130" s="42" t="str">
        <f t="shared" si="130"/>
        <v>-0.134854134586949+0.00460922529347611i</v>
      </c>
      <c r="AT130">
        <f t="shared" si="131"/>
        <v>-17.397644088038849</v>
      </c>
      <c r="AU130" s="44">
        <f t="shared" si="132"/>
        <v>178.04243013938779</v>
      </c>
      <c r="AV130" s="42" t="str">
        <f t="shared" si="108"/>
        <v>-0.0846983467232513+4.14933024477555i</v>
      </c>
      <c r="AW130" s="20">
        <f t="shared" si="133"/>
        <v>12.361369237886652</v>
      </c>
      <c r="AX130" s="44">
        <f t="shared" si="134"/>
        <v>91.16938967622383</v>
      </c>
    </row>
    <row r="131" spans="14:50" x14ac:dyDescent="0.3">
      <c r="N131" s="8">
        <v>13</v>
      </c>
      <c r="O131" s="35">
        <f t="shared" si="135"/>
        <v>134.89628825916537</v>
      </c>
      <c r="P131" s="34" t="str">
        <f t="shared" si="99"/>
        <v>545.10556621881</v>
      </c>
      <c r="Q131" s="4" t="str">
        <f t="shared" si="100"/>
        <v>1+18.1066167545938i</v>
      </c>
      <c r="R131" s="4">
        <f t="shared" si="110"/>
        <v>18.13420994412872</v>
      </c>
      <c r="S131" s="4">
        <f t="shared" si="111"/>
        <v>1.5156239473408444</v>
      </c>
      <c r="T131" s="4" t="str">
        <f t="shared" si="101"/>
        <v>1+0.000423789188191525i</v>
      </c>
      <c r="U131" s="4">
        <f t="shared" si="112"/>
        <v>1.0000000897986339</v>
      </c>
      <c r="V131" s="4">
        <f t="shared" si="113"/>
        <v>4.2378916282106646E-4</v>
      </c>
      <c r="W131" t="str">
        <f t="shared" si="102"/>
        <v>1-0.000440232208693355i</v>
      </c>
      <c r="X131" s="4">
        <f t="shared" si="114"/>
        <v>1.000000096902194</v>
      </c>
      <c r="Y131" s="4">
        <f t="shared" si="115"/>
        <v>-4.4023218025371233E-4</v>
      </c>
      <c r="Z131" t="str">
        <f t="shared" si="103"/>
        <v>0.999998835391451+0.00190639814036759i</v>
      </c>
      <c r="AA131" s="4">
        <f t="shared" si="116"/>
        <v>1.0000006525688512</v>
      </c>
      <c r="AB131" s="4">
        <f t="shared" si="117"/>
        <v>1.9063980510662288E-3</v>
      </c>
      <c r="AC131" s="48" t="str">
        <f t="shared" si="118"/>
        <v>1.5998982436616-30.0168945795302i</v>
      </c>
      <c r="AD131" s="20">
        <f t="shared" si="119"/>
        <v>29.559635501371101</v>
      </c>
      <c r="AE131" s="44">
        <f t="shared" si="120"/>
        <v>-86.949026189487924</v>
      </c>
      <c r="AF131" t="str">
        <f t="shared" si="104"/>
        <v>-0.979317078436135</v>
      </c>
      <c r="AG131" t="str">
        <f t="shared" si="121"/>
        <v>847.57837638305i</v>
      </c>
      <c r="AH131">
        <f t="shared" si="122"/>
        <v>847.57837638305</v>
      </c>
      <c r="AI131">
        <f t="shared" si="123"/>
        <v>1.5707963267948966</v>
      </c>
      <c r="AJ131" t="str">
        <f t="shared" si="105"/>
        <v>0.988880069425231+0.830559002585279i</v>
      </c>
      <c r="AK131">
        <f t="shared" si="124"/>
        <v>1.291399259904505</v>
      </c>
      <c r="AL131">
        <f t="shared" si="125"/>
        <v>0.69860038043952888</v>
      </c>
      <c r="AM131" t="str">
        <f t="shared" si="106"/>
        <v>1+117.91510372241i</v>
      </c>
      <c r="AN131">
        <f t="shared" si="126"/>
        <v>117.91934398505917</v>
      </c>
      <c r="AO131">
        <f t="shared" si="127"/>
        <v>1.562315852322149</v>
      </c>
      <c r="AP131" t="str">
        <f t="shared" si="107"/>
        <v>1+0.796723673800069i</v>
      </c>
      <c r="AQ131">
        <f t="shared" si="128"/>
        <v>1.2785807023389173</v>
      </c>
      <c r="AR131">
        <f t="shared" si="129"/>
        <v>0.67273998706943172</v>
      </c>
      <c r="AS131" s="42" t="str">
        <f t="shared" si="130"/>
        <v>-0.134815552372826+0.00463150384710757i</v>
      </c>
      <c r="AT131">
        <f t="shared" si="131"/>
        <v>-17.400077469755125</v>
      </c>
      <c r="AU131" s="44">
        <f t="shared" si="132"/>
        <v>178.03241320778849</v>
      </c>
      <c r="AV131" s="42" t="str">
        <f t="shared" si="108"/>
        <v>-0.0766678027362363+4.05415415812675i</v>
      </c>
      <c r="AW131" s="20">
        <f t="shared" si="133"/>
        <v>12.15955803161598</v>
      </c>
      <c r="AX131" s="44">
        <f t="shared" si="134"/>
        <v>91.083387018300584</v>
      </c>
    </row>
    <row r="132" spans="14:50" x14ac:dyDescent="0.3">
      <c r="N132" s="8">
        <v>14</v>
      </c>
      <c r="O132" s="35">
        <f t="shared" si="135"/>
        <v>138.0384264602886</v>
      </c>
      <c r="P132" s="34" t="str">
        <f t="shared" si="99"/>
        <v>545.10556621881</v>
      </c>
      <c r="Q132" s="4" t="str">
        <f t="shared" si="100"/>
        <v>1+18.5283740388891i</v>
      </c>
      <c r="R132" s="4">
        <f t="shared" si="110"/>
        <v>18.555340054145585</v>
      </c>
      <c r="S132" s="4">
        <f t="shared" si="111"/>
        <v>1.5168773630939361</v>
      </c>
      <c r="T132" s="4" t="str">
        <f t="shared" si="101"/>
        <v>1+0.000433660506480738i</v>
      </c>
      <c r="U132" s="4">
        <f t="shared" si="112"/>
        <v>1.000000094030713</v>
      </c>
      <c r="V132" s="4">
        <f t="shared" si="113"/>
        <v>4.3366047929580204E-4</v>
      </c>
      <c r="W132" t="str">
        <f t="shared" si="102"/>
        <v>1-0.000450486534132189i</v>
      </c>
      <c r="X132" s="4">
        <f t="shared" si="114"/>
        <v>1.0000001014690536</v>
      </c>
      <c r="Y132" s="4">
        <f t="shared" si="115"/>
        <v>-4.5048650365856299E-4</v>
      </c>
      <c r="Z132" t="str">
        <f t="shared" si="103"/>
        <v>0.99999878050514+0.00195080385753522i</v>
      </c>
      <c r="AA132" s="4">
        <f t="shared" si="116"/>
        <v>1.0000006833234953</v>
      </c>
      <c r="AB132" s="4">
        <f t="shared" si="117"/>
        <v>1.9508037618470669E-3</v>
      </c>
      <c r="AC132" s="48" t="str">
        <f t="shared" si="118"/>
        <v>1.52550212405529-29.3376386850297i</v>
      </c>
      <c r="AD132" s="20">
        <f t="shared" si="119"/>
        <v>29.360229740795592</v>
      </c>
      <c r="AE132" s="44">
        <f t="shared" si="120"/>
        <v>-87.023407826609926</v>
      </c>
      <c r="AF132" t="str">
        <f t="shared" si="104"/>
        <v>-0.979317078436135</v>
      </c>
      <c r="AG132" t="str">
        <f t="shared" si="121"/>
        <v>867.321012961475i</v>
      </c>
      <c r="AH132">
        <f t="shared" si="122"/>
        <v>867.32101296147505</v>
      </c>
      <c r="AI132">
        <f t="shared" si="123"/>
        <v>1.5707963267948966</v>
      </c>
      <c r="AJ132" t="str">
        <f t="shared" si="105"/>
        <v>0.988356003242815+0.849905207021209i</v>
      </c>
      <c r="AK132">
        <f t="shared" si="124"/>
        <v>1.3035284615488361</v>
      </c>
      <c r="AL132">
        <f t="shared" si="125"/>
        <v>0.7102239203179801</v>
      </c>
      <c r="AM132" t="str">
        <f t="shared" si="106"/>
        <v>1+120.6616993232i</v>
      </c>
      <c r="AN132">
        <f t="shared" si="126"/>
        <v>120.66584306904056</v>
      </c>
      <c r="AO132">
        <f t="shared" si="127"/>
        <v>1.5625088825471081</v>
      </c>
      <c r="AP132" t="str">
        <f t="shared" si="107"/>
        <v>1+0.815281752183789i</v>
      </c>
      <c r="AQ132">
        <f t="shared" si="128"/>
        <v>1.2902264667273993</v>
      </c>
      <c r="AR132">
        <f t="shared" si="129"/>
        <v>0.68398987182946724</v>
      </c>
      <c r="AS132" s="42" t="str">
        <f t="shared" si="130"/>
        <v>-0.134776572236877+0.00465453759581517i</v>
      </c>
      <c r="AT132">
        <f t="shared" si="131"/>
        <v>-17.402535203118504</v>
      </c>
      <c r="AU132" s="44">
        <f t="shared" si="132"/>
        <v>178.02206416371828</v>
      </c>
      <c r="AV132" s="42" t="str">
        <f t="shared" si="108"/>
        <v>-0.0690488049883348+3.96112688648121i</v>
      </c>
      <c r="AW132" s="20">
        <f t="shared" si="133"/>
        <v>11.957694537677082</v>
      </c>
      <c r="AX132" s="44">
        <f t="shared" si="134"/>
        <v>90.998656337108343</v>
      </c>
    </row>
    <row r="133" spans="14:50" x14ac:dyDescent="0.3">
      <c r="N133" s="8">
        <v>15</v>
      </c>
      <c r="O133" s="35">
        <f t="shared" si="135"/>
        <v>141.25375446227542</v>
      </c>
      <c r="P133" s="34" t="str">
        <f t="shared" si="99"/>
        <v>545.10556621881</v>
      </c>
      <c r="Q133" s="4" t="str">
        <f t="shared" si="100"/>
        <v>1+18.9599553123518i</v>
      </c>
      <c r="R133" s="4">
        <f t="shared" si="110"/>
        <v>18.986308368041882</v>
      </c>
      <c r="S133" s="4">
        <f t="shared" si="111"/>
        <v>1.5181024115088189</v>
      </c>
      <c r="T133" s="4" t="str">
        <f t="shared" si="101"/>
        <v>1+0.000443761757310661i</v>
      </c>
      <c r="U133" s="4">
        <f t="shared" si="112"/>
        <v>1.0000000984622437</v>
      </c>
      <c r="V133" s="4">
        <f t="shared" si="113"/>
        <v>4.4376172818147745E-4</v>
      </c>
      <c r="W133" t="str">
        <f t="shared" si="102"/>
        <v>1-0.000460979713494313i</v>
      </c>
      <c r="X133" s="4">
        <f t="shared" si="114"/>
        <v>1.0000001062511426</v>
      </c>
      <c r="Y133" s="4">
        <f t="shared" si="115"/>
        <v>-4.6097968084123461E-4</v>
      </c>
      <c r="Z133" t="str">
        <f t="shared" si="103"/>
        <v>0.999998723032118+0.00199624391673005i</v>
      </c>
      <c r="AA133" s="4">
        <f t="shared" si="116"/>
        <v>1.000000715527565</v>
      </c>
      <c r="AB133" s="4">
        <f t="shared" si="117"/>
        <v>1.9962438141983207E-3</v>
      </c>
      <c r="AC133" s="48" t="str">
        <f t="shared" si="118"/>
        <v>1.45443536659524-28.6735774696075i</v>
      </c>
      <c r="AD133" s="20">
        <f t="shared" si="119"/>
        <v>29.160797293430491</v>
      </c>
      <c r="AE133" s="44">
        <f t="shared" si="120"/>
        <v>-87.096223909539759</v>
      </c>
      <c r="AF133" t="str">
        <f t="shared" si="104"/>
        <v>-0.979317078436135</v>
      </c>
      <c r="AG133" t="str">
        <f t="shared" si="121"/>
        <v>887.523514621322i</v>
      </c>
      <c r="AH133">
        <f t="shared" si="122"/>
        <v>887.52351462132197</v>
      </c>
      <c r="AI133">
        <f t="shared" si="123"/>
        <v>1.5707963267948966</v>
      </c>
      <c r="AJ133" t="str">
        <f t="shared" si="105"/>
        <v>0.987807238582139+0.869702042447726i</v>
      </c>
      <c r="AK133">
        <f t="shared" si="124"/>
        <v>1.31610971549982</v>
      </c>
      <c r="AL133">
        <f t="shared" si="125"/>
        <v>0.72190107834615691</v>
      </c>
      <c r="AM133" t="str">
        <f t="shared" si="106"/>
        <v>1+123.472271354118i</v>
      </c>
      <c r="AN133">
        <f t="shared" si="126"/>
        <v>123.47632077991695</v>
      </c>
      <c r="AO133">
        <f t="shared" si="127"/>
        <v>1.5626975194644928</v>
      </c>
      <c r="AP133" t="str">
        <f t="shared" si="107"/>
        <v>1+0.834272103744045i</v>
      </c>
      <c r="AQ133">
        <f t="shared" si="128"/>
        <v>1.3023094651754301</v>
      </c>
      <c r="AR133">
        <f t="shared" si="129"/>
        <v>0.69529204890765262</v>
      </c>
      <c r="AS133" s="42" t="str">
        <f t="shared" si="130"/>
        <v>-0.134737227543485+0.00467831640405325i</v>
      </c>
      <c r="AT133">
        <f t="shared" si="131"/>
        <v>-17.405015155945115</v>
      </c>
      <c r="AU133" s="44">
        <f t="shared" si="132"/>
        <v>178.01138743711257</v>
      </c>
      <c r="AV133" s="42" t="str">
        <f t="shared" si="108"/>
        <v>-0.0618225210972784+3.87020264084243i</v>
      </c>
      <c r="AW133" s="20">
        <f t="shared" si="133"/>
        <v>11.755782137485378</v>
      </c>
      <c r="AX133" s="44">
        <f t="shared" si="134"/>
        <v>90.915163527572801</v>
      </c>
    </row>
    <row r="134" spans="14:50" x14ac:dyDescent="0.3">
      <c r="N134" s="8">
        <v>16</v>
      </c>
      <c r="O134" s="35">
        <f t="shared" si="135"/>
        <v>144.54397707459285</v>
      </c>
      <c r="P134" s="34" t="str">
        <f t="shared" si="99"/>
        <v>545.10556621881</v>
      </c>
      <c r="Q134" s="4" t="str">
        <f t="shared" si="100"/>
        <v>1+19.4015894050859i</v>
      </c>
      <c r="R134" s="4">
        <f t="shared" si="110"/>
        <v>19.427343396448766</v>
      </c>
      <c r="S134" s="4">
        <f t="shared" si="111"/>
        <v>1.5192997274061701</v>
      </c>
      <c r="T134" s="4" t="str">
        <f t="shared" si="101"/>
        <v>1+0.000454098296498192i</v>
      </c>
      <c r="U134" s="4">
        <f t="shared" si="112"/>
        <v>1.0000001031026262</v>
      </c>
      <c r="V134" s="4">
        <f t="shared" si="113"/>
        <v>4.5409826528570963E-4</v>
      </c>
      <c r="W134" t="str">
        <f t="shared" si="102"/>
        <v>1-0.000471717310402321i</v>
      </c>
      <c r="X134" s="4">
        <f t="shared" si="114"/>
        <v>1.0000001112586043</v>
      </c>
      <c r="Y134" s="4">
        <f t="shared" si="115"/>
        <v>-4.7171727541391734E-4</v>
      </c>
      <c r="Z134" t="str">
        <f t="shared" si="103"/>
        <v>0.999998662850476+0.00204274241087294i</v>
      </c>
      <c r="AA134" s="4">
        <f t="shared" si="116"/>
        <v>1.0000007492493679</v>
      </c>
      <c r="AB134" s="4">
        <f t="shared" si="117"/>
        <v>2.0427423010081843E-3</v>
      </c>
      <c r="AC134" s="48" t="str">
        <f t="shared" si="118"/>
        <v>1.38654979162888-28.0243827706537i</v>
      </c>
      <c r="AD134" s="20">
        <f t="shared" si="119"/>
        <v>28.961339352885332</v>
      </c>
      <c r="AE134" s="44">
        <f t="shared" si="120"/>
        <v>-87.167512203150167</v>
      </c>
      <c r="AF134" t="str">
        <f t="shared" si="104"/>
        <v>-0.979317078436135</v>
      </c>
      <c r="AG134" t="str">
        <f t="shared" si="121"/>
        <v>908.196592996385i</v>
      </c>
      <c r="AH134">
        <f t="shared" si="122"/>
        <v>908.19659299638499</v>
      </c>
      <c r="AI134">
        <f t="shared" si="123"/>
        <v>1.5707963267948966</v>
      </c>
      <c r="AJ134" t="str">
        <f t="shared" si="105"/>
        <v>0.987232611439784+0.889960005409018i</v>
      </c>
      <c r="AK134">
        <f t="shared" si="124"/>
        <v>1.3291565146053474</v>
      </c>
      <c r="AL134">
        <f t="shared" si="125"/>
        <v>0.73362634076423039</v>
      </c>
      <c r="AM134" t="str">
        <f t="shared" si="106"/>
        <v>1+126.348310017657i</v>
      </c>
      <c r="AN134">
        <f t="shared" si="126"/>
        <v>126.35226727019172</v>
      </c>
      <c r="AO134">
        <f t="shared" si="127"/>
        <v>1.5628818630383634</v>
      </c>
      <c r="AP134" t="str">
        <f t="shared" si="107"/>
        <v>1+0.853704797416604i</v>
      </c>
      <c r="AQ134">
        <f t="shared" si="128"/>
        <v>1.3148429111997086</v>
      </c>
      <c r="AR134">
        <f t="shared" si="129"/>
        <v>0.70664096176167412</v>
      </c>
      <c r="AS134" s="42" t="str">
        <f t="shared" si="130"/>
        <v>-0.134697552792846+0.00470283291619656i</v>
      </c>
      <c r="AT134">
        <f t="shared" si="131"/>
        <v>-17.40751511405816</v>
      </c>
      <c r="AU134" s="44">
        <f t="shared" si="132"/>
        <v>178.0003863042339</v>
      </c>
      <c r="AV134" s="42" t="str">
        <f t="shared" si="108"/>
        <v>-0.0549708740079188+3.78133648973707i</v>
      </c>
      <c r="AW134" s="20">
        <f t="shared" si="133"/>
        <v>11.553824238827172</v>
      </c>
      <c r="AX134" s="44">
        <f t="shared" si="134"/>
        <v>90.832874101083746</v>
      </c>
    </row>
    <row r="135" spans="14:50" x14ac:dyDescent="0.3">
      <c r="N135" s="8">
        <v>17</v>
      </c>
      <c r="O135" s="35">
        <f t="shared" si="135"/>
        <v>147.91083881682084</v>
      </c>
      <c r="P135" s="34" t="str">
        <f t="shared" si="99"/>
        <v>545.10556621881</v>
      </c>
      <c r="Q135" s="4" t="str">
        <f t="shared" si="100"/>
        <v>1+19.8535104773329i</v>
      </c>
      <c r="R135" s="4">
        <f t="shared" si="110"/>
        <v>19.878678987135117</v>
      </c>
      <c r="S135" s="4">
        <f t="shared" si="111"/>
        <v>1.5204699318794919</v>
      </c>
      <c r="T135" s="4" t="str">
        <f t="shared" si="101"/>
        <v>1+0.000464675604613228i</v>
      </c>
      <c r="U135" s="4">
        <f t="shared" si="112"/>
        <v>1.0000001079617029</v>
      </c>
      <c r="V135" s="4">
        <f t="shared" si="113"/>
        <v>4.6467557116845076E-4</v>
      </c>
      <c r="W135" t="str">
        <f t="shared" si="102"/>
        <v>1-0.00048270501807222i</v>
      </c>
      <c r="X135" s="4">
        <f t="shared" si="114"/>
        <v>1.0000001165020604</v>
      </c>
      <c r="Y135" s="4">
        <f t="shared" si="115"/>
        <v>-4.8270498058147022E-4</v>
      </c>
      <c r="Z135" t="str">
        <f t="shared" si="103"/>
        <v>0.999998599832561+0.00209032399408098i</v>
      </c>
      <c r="AA135" s="4">
        <f t="shared" si="116"/>
        <v>1.0000007845604337</v>
      </c>
      <c r="AB135" s="4">
        <f t="shared" si="117"/>
        <v>2.0903238763587402E-3</v>
      </c>
      <c r="AC135" s="48" t="str">
        <f t="shared" si="118"/>
        <v>1.32170374294507-27.3897327249653i</v>
      </c>
      <c r="AD135" s="20">
        <f t="shared" si="119"/>
        <v>28.761857059593755</v>
      </c>
      <c r="AE135" s="44">
        <f t="shared" si="120"/>
        <v>-87.237309718235934</v>
      </c>
      <c r="AF135" t="str">
        <f t="shared" si="104"/>
        <v>-0.979317078436135</v>
      </c>
      <c r="AG135" t="str">
        <f t="shared" si="121"/>
        <v>929.351209226457i</v>
      </c>
      <c r="AH135">
        <f t="shared" si="122"/>
        <v>929.35120922645694</v>
      </c>
      <c r="AI135">
        <f t="shared" si="123"/>
        <v>1.5707963267948966</v>
      </c>
      <c r="AJ135" t="str">
        <f t="shared" si="105"/>
        <v>0.98663090295454+0.91068983694519i</v>
      </c>
      <c r="AK135">
        <f t="shared" si="124"/>
        <v>1.3426825826606033</v>
      </c>
      <c r="AL135">
        <f t="shared" si="125"/>
        <v>0.74539409347594843</v>
      </c>
      <c r="AM135" t="str">
        <f t="shared" si="106"/>
        <v>1+129.291340227585i</v>
      </c>
      <c r="AN135">
        <f t="shared" si="126"/>
        <v>129.29520740478026</v>
      </c>
      <c r="AO135">
        <f t="shared" si="127"/>
        <v>1.5630620109599784</v>
      </c>
      <c r="AP135" t="str">
        <f t="shared" si="107"/>
        <v>1+0.873590136672872i</v>
      </c>
      <c r="AQ135">
        <f t="shared" si="128"/>
        <v>1.3278402490104475</v>
      </c>
      <c r="AR135">
        <f t="shared" si="129"/>
        <v>0.71803093482718006</v>
      </c>
      <c r="AS135" s="42" t="str">
        <f t="shared" si="130"/>
        <v>-0.134657583478742+0.00472808266193189i</v>
      </c>
      <c r="AT135">
        <f t="shared" si="131"/>
        <v>-17.410032789908886</v>
      </c>
      <c r="AU135" s="44">
        <f t="shared" si="132"/>
        <v>177.98906284051665</v>
      </c>
      <c r="AV135" s="42" t="str">
        <f t="shared" si="108"/>
        <v>-0.0484765116879346+3.69448434542368i</v>
      </c>
      <c r="AW135" s="20">
        <f t="shared" si="133"/>
        <v>11.351824269684879</v>
      </c>
      <c r="AX135" s="44">
        <f t="shared" si="134"/>
        <v>90.751753122280732</v>
      </c>
    </row>
    <row r="136" spans="14:50" x14ac:dyDescent="0.3">
      <c r="N136" s="8">
        <v>18</v>
      </c>
      <c r="O136" s="35">
        <f t="shared" si="135"/>
        <v>151.3561248436209</v>
      </c>
      <c r="P136" s="34" t="str">
        <f t="shared" si="99"/>
        <v>545.10556621881</v>
      </c>
      <c r="Q136" s="4" t="str">
        <f t="shared" si="100"/>
        <v>1+20.3159581436273i</v>
      </c>
      <c r="R136" s="4">
        <f t="shared" si="110"/>
        <v>20.340554449021695</v>
      </c>
      <c r="S136" s="4">
        <f t="shared" si="111"/>
        <v>1.5216136325597855</v>
      </c>
      <c r="T136" s="4" t="str">
        <f t="shared" si="101"/>
        <v>1+0.000475499289884539i</v>
      </c>
      <c r="U136" s="4">
        <f t="shared" si="112"/>
        <v>1.0000001130497809</v>
      </c>
      <c r="V136" s="4">
        <f t="shared" si="113"/>
        <v>4.7549925404781479E-4</v>
      </c>
      <c r="W136" t="str">
        <f t="shared" si="102"/>
        <v>1-0.000493948662332058i</v>
      </c>
      <c r="X136" s="4">
        <f t="shared" si="114"/>
        <v>1.0000001219926331</v>
      </c>
      <c r="Y136" s="4">
        <f t="shared" si="115"/>
        <v>-4.9394862215999618E-4</v>
      </c>
      <c r="Z136" t="str">
        <f t="shared" si="103"/>
        <v>0.999998533844702+0.00213901389473938i</v>
      </c>
      <c r="AA136" s="4">
        <f t="shared" si="116"/>
        <v>1.0000008215356604</v>
      </c>
      <c r="AB136" s="4">
        <f t="shared" si="117"/>
        <v>2.1390137685976928E-3</v>
      </c>
      <c r="AC136" s="48" t="str">
        <f t="shared" si="118"/>
        <v>1.2597618068821-26.7693117022023i</v>
      </c>
      <c r="AD136" s="20">
        <f t="shared" si="119"/>
        <v>28.562351503153593</v>
      </c>
      <c r="AE136" s="44">
        <f t="shared" si="120"/>
        <v>-87.305652727434264</v>
      </c>
      <c r="AF136" t="str">
        <f t="shared" si="104"/>
        <v>-0.979317078436135</v>
      </c>
      <c r="AG136" t="str">
        <f t="shared" si="121"/>
        <v>950.998579769078i</v>
      </c>
      <c r="AH136">
        <f t="shared" si="122"/>
        <v>950.99857976907799</v>
      </c>
      <c r="AI136">
        <f t="shared" si="123"/>
        <v>1.5707963267948966</v>
      </c>
      <c r="AJ136" t="str">
        <f t="shared" si="105"/>
        <v>0.986000836822036+0.931902528287315i</v>
      </c>
      <c r="AK136">
        <f t="shared" si="124"/>
        <v>1.3567018730885738</v>
      </c>
      <c r="AL136">
        <f t="shared" si="125"/>
        <v>0.75719863632027662</v>
      </c>
      <c r="AM136" t="str">
        <f t="shared" si="106"/>
        <v>1+132.302922417474i</v>
      </c>
      <c r="AN136">
        <f t="shared" si="126"/>
        <v>132.30670156951288</v>
      </c>
      <c r="AO136">
        <f t="shared" si="127"/>
        <v>1.5632380586993522</v>
      </c>
      <c r="AP136" t="str">
        <f t="shared" si="107"/>
        <v>1+0.893938664982936i</v>
      </c>
      <c r="AQ136">
        <f t="shared" si="128"/>
        <v>1.3413151519130297</v>
      </c>
      <c r="AR136">
        <f t="shared" si="129"/>
        <v>0.72945618699156622</v>
      </c>
      <c r="AS136" s="42" t="str">
        <f t="shared" si="130"/>
        <v>-0.134617355936534+0.0047540641505873i</v>
      </c>
      <c r="AT136">
        <f t="shared" si="131"/>
        <v>-17.412565831847498</v>
      </c>
      <c r="AU136" s="44">
        <f t="shared" si="132"/>
        <v>177.97741787780626</v>
      </c>
      <c r="AV136" s="42" t="str">
        <f t="shared" si="108"/>
        <v>-0.0423227784529618+3.60960295003577i</v>
      </c>
      <c r="AW136" s="20">
        <f t="shared" si="133"/>
        <v>11.149785671306095</v>
      </c>
      <c r="AX136" s="44">
        <f t="shared" si="134"/>
        <v>90.671765150372011</v>
      </c>
    </row>
    <row r="137" spans="14:50" x14ac:dyDescent="0.3">
      <c r="N137" s="8">
        <v>19</v>
      </c>
      <c r="O137" s="35">
        <f t="shared" si="135"/>
        <v>154.8816618912482</v>
      </c>
      <c r="P137" s="34" t="str">
        <f t="shared" si="99"/>
        <v>545.10556621881</v>
      </c>
      <c r="Q137" s="4" t="str">
        <f t="shared" si="100"/>
        <v>1+20.789177599843i</v>
      </c>
      <c r="R137" s="4">
        <f t="shared" si="110"/>
        <v>20.813214679088233</v>
      </c>
      <c r="S137" s="4">
        <f t="shared" si="111"/>
        <v>1.5227314238773404</v>
      </c>
      <c r="T137" s="4" t="str">
        <f t="shared" si="101"/>
        <v>1+0.000486575091173323i</v>
      </c>
      <c r="U137" s="4">
        <f t="shared" si="112"/>
        <v>1.0000001183776526</v>
      </c>
      <c r="V137" s="4">
        <f t="shared" si="113"/>
        <v>4.8657505277358145E-4</v>
      </c>
      <c r="W137" t="str">
        <f t="shared" si="102"/>
        <v>1-0.000505454204710847i</v>
      </c>
      <c r="X137" s="4">
        <f t="shared" si="114"/>
        <v>1.0000001277419683</v>
      </c>
      <c r="Y137" s="4">
        <f t="shared" si="115"/>
        <v>-5.0545416166570753E-4</v>
      </c>
      <c r="Z137" t="str">
        <f t="shared" si="103"/>
        <v>0.999998464746932+0.00218883792887797i</v>
      </c>
      <c r="AA137" s="4">
        <f t="shared" si="116"/>
        <v>1.00000086025348</v>
      </c>
      <c r="AB137" s="4">
        <f t="shared" si="117"/>
        <v>2.1888377937146759E-3</v>
      </c>
      <c r="AC137" s="48" t="str">
        <f t="shared" si="118"/>
        <v>1.20059454297396-26.1628102348671i</v>
      </c>
      <c r="AD137" s="20">
        <f t="shared" si="119"/>
        <v>28.362823724566244</v>
      </c>
      <c r="AE137" s="44">
        <f t="shared" si="120"/>
        <v>-87.372576780997051</v>
      </c>
      <c r="AF137" t="str">
        <f t="shared" si="104"/>
        <v>-0.979317078436135</v>
      </c>
      <c r="AG137" t="str">
        <f t="shared" si="121"/>
        <v>973.150182346647i</v>
      </c>
      <c r="AH137">
        <f t="shared" si="122"/>
        <v>973.15018234664694</v>
      </c>
      <c r="AI137">
        <f t="shared" si="123"/>
        <v>1.5707963267948966</v>
      </c>
      <c r="AJ137" t="str">
        <f t="shared" si="105"/>
        <v>0.985341076587531+0.953609326685127i</v>
      </c>
      <c r="AK137">
        <f t="shared" si="124"/>
        <v>1.371228567800254</v>
      </c>
      <c r="AL137">
        <f t="shared" si="125"/>
        <v>0.76903419790921812</v>
      </c>
      <c r="AM137" t="str">
        <f t="shared" si="106"/>
        <v>1+135.384653368066i</v>
      </c>
      <c r="AN137">
        <f t="shared" si="126"/>
        <v>135.38834649847598</v>
      </c>
      <c r="AO137">
        <f t="shared" si="127"/>
        <v>1.5634100995556519</v>
      </c>
      <c r="AP137" t="str">
        <f t="shared" si="107"/>
        <v>1+0.91476117140585i</v>
      </c>
      <c r="AQ137">
        <f t="shared" si="128"/>
        <v>1.3552815208331452</v>
      </c>
      <c r="AR137">
        <f t="shared" si="129"/>
        <v>0.74091084571982913</v>
      </c>
      <c r="AS137" s="42" t="str">
        <f t="shared" si="130"/>
        <v>-0.134576907182494+0.00478077895336202i</v>
      </c>
      <c r="AT137">
        <f t="shared" si="131"/>
        <v>-17.415111833977125</v>
      </c>
      <c r="AU137" s="44">
        <f t="shared" si="132"/>
        <v>177.96545096645482</v>
      </c>
      <c r="AV137" s="42" t="str">
        <f t="shared" si="108"/>
        <v>-0.0364936878419583+3.52664986173348i</v>
      </c>
      <c r="AW137" s="20">
        <f t="shared" si="133"/>
        <v>10.947711890589108</v>
      </c>
      <c r="AX137" s="44">
        <f t="shared" si="134"/>
        <v>90.592874185457759</v>
      </c>
    </row>
    <row r="138" spans="14:50" x14ac:dyDescent="0.3">
      <c r="N138" s="8">
        <v>20</v>
      </c>
      <c r="O138" s="35">
        <f t="shared" si="135"/>
        <v>158.48931924611153</v>
      </c>
      <c r="P138" s="34" t="str">
        <f t="shared" si="99"/>
        <v>545.10556621881</v>
      </c>
      <c r="Q138" s="4" t="str">
        <f t="shared" si="100"/>
        <v>1+21.2734197531993i</v>
      </c>
      <c r="R138" s="4">
        <f t="shared" si="110"/>
        <v>21.296910292242163</v>
      </c>
      <c r="S138" s="4">
        <f t="shared" si="111"/>
        <v>1.5238238873204977</v>
      </c>
      <c r="T138" s="4" t="str">
        <f t="shared" si="101"/>
        <v>1+0.000497908881016032i</v>
      </c>
      <c r="U138" s="4">
        <f t="shared" si="112"/>
        <v>1.0000001239566192</v>
      </c>
      <c r="V138" s="4">
        <f t="shared" si="113"/>
        <v>4.9790883986996787E-4</v>
      </c>
      <c r="W138" t="str">
        <f t="shared" si="102"/>
        <v>1-0.000517227745599452i</v>
      </c>
      <c r="X138" s="4">
        <f t="shared" si="114"/>
        <v>1.0000001337622615</v>
      </c>
      <c r="Y138" s="4">
        <f t="shared" si="115"/>
        <v>-5.1722769947575432E-4</v>
      </c>
      <c r="Z138" t="str">
        <f t="shared" si="103"/>
        <v>0.999998392392684+0.00223982251385915i</v>
      </c>
      <c r="AA138" s="4">
        <f t="shared" si="116"/>
        <v>1.0000009007960173</v>
      </c>
      <c r="AB138" s="4">
        <f t="shared" si="117"/>
        <v>2.2398223690290259E-3</v>
      </c>
      <c r="AC138" s="48" t="str">
        <f t="shared" si="118"/>
        <v>1.1440782257109-25.5699249452047i</v>
      </c>
      <c r="AD138" s="20">
        <f t="shared" si="119"/>
        <v>28.163274718379508</v>
      </c>
      <c r="AE138" s="44">
        <f t="shared" si="120"/>
        <v>-87.438116722408012</v>
      </c>
      <c r="AF138" t="str">
        <f t="shared" si="104"/>
        <v>-0.979317078436135</v>
      </c>
      <c r="AG138" t="str">
        <f t="shared" si="121"/>
        <v>995.817762032063i</v>
      </c>
      <c r="AH138">
        <f t="shared" si="122"/>
        <v>995.817762032063</v>
      </c>
      <c r="AI138">
        <f t="shared" si="123"/>
        <v>1.5707963267948966</v>
      </c>
      <c r="AJ138" t="str">
        <f t="shared" si="105"/>
        <v>0.984650222811112+0.975821741370459i</v>
      </c>
      <c r="AK138">
        <f t="shared" si="124"/>
        <v>1.3862770762777719</v>
      </c>
      <c r="AL138">
        <f t="shared" si="125"/>
        <v>0.78089495094427019</v>
      </c>
      <c r="AM138" t="str">
        <f t="shared" si="106"/>
        <v>1+138.538167053901i</v>
      </c>
      <c r="AN138">
        <f t="shared" si="126"/>
        <v>138.54177612061488</v>
      </c>
      <c r="AO138">
        <f t="shared" si="127"/>
        <v>1.5635782247064565</v>
      </c>
      <c r="AP138" t="str">
        <f t="shared" si="107"/>
        <v>1+0.936068696310142i</v>
      </c>
      <c r="AQ138">
        <f t="shared" si="128"/>
        <v>1.3697534830077158</v>
      </c>
      <c r="AR138">
        <f t="shared" si="129"/>
        <v>0.7523889617520132</v>
      </c>
      <c r="AS138" s="42" t="str">
        <f t="shared" si="130"/>
        <v>-0.134536274745712+0.0048082317725715i</v>
      </c>
      <c r="AT138">
        <f t="shared" si="131"/>
        <v>-17.417668346515647</v>
      </c>
      <c r="AU138" s="44">
        <f t="shared" si="132"/>
        <v>177.95316034267583</v>
      </c>
      <c r="AV138" s="42" t="str">
        <f t="shared" si="108"/>
        <v>-0.0309738969610265+3.44558344093046i</v>
      </c>
      <c r="AW138" s="20">
        <f t="shared" si="133"/>
        <v>10.745606371863847</v>
      </c>
      <c r="AX138" s="44">
        <f t="shared" si="134"/>
        <v>90.515043620267846</v>
      </c>
    </row>
    <row r="139" spans="14:50" x14ac:dyDescent="0.3">
      <c r="N139" s="8">
        <v>21</v>
      </c>
      <c r="O139" s="35">
        <f t="shared" si="135"/>
        <v>162.18100973589304</v>
      </c>
      <c r="P139" s="34" t="str">
        <f t="shared" si="99"/>
        <v>545.10556621881</v>
      </c>
      <c r="Q139" s="4" t="str">
        <f t="shared" si="100"/>
        <v>1+21.7689413552958i</v>
      </c>
      <c r="R139" s="4">
        <f t="shared" si="110"/>
        <v>21.791897754218375</v>
      </c>
      <c r="S139" s="4">
        <f t="shared" si="111"/>
        <v>1.5248915916912713</v>
      </c>
      <c r="T139" s="4" t="str">
        <f t="shared" si="101"/>
        <v>1+0.000509506668738055i</v>
      </c>
      <c r="U139" s="4">
        <f t="shared" si="112"/>
        <v>1.0000001297985144</v>
      </c>
      <c r="V139" s="4">
        <f t="shared" si="113"/>
        <v>5.0950662464925329E-4</v>
      </c>
      <c r="W139" t="str">
        <f t="shared" si="102"/>
        <v>1-0.00052927552748509i</v>
      </c>
      <c r="X139" s="4">
        <f t="shared" si="114"/>
        <v>1.0000001400662821</v>
      </c>
      <c r="Y139" s="4">
        <f t="shared" si="115"/>
        <v>-5.2927547806265788E-4</v>
      </c>
      <c r="Z139" t="str">
        <f t="shared" si="103"/>
        <v>0.999998316628485+0.00229199468238472i</v>
      </c>
      <c r="AA139" s="4">
        <f t="shared" si="116"/>
        <v>1.0000009432492689</v>
      </c>
      <c r="AB139" s="4">
        <f t="shared" si="117"/>
        <v>2.2919945271963958E-3</v>
      </c>
      <c r="AC139" s="48" t="str">
        <f t="shared" si="118"/>
        <v>1.09009459700087-24.9903584693904i</v>
      </c>
      <c r="AD139" s="20">
        <f t="shared" si="119"/>
        <v>27.963705434737012</v>
      </c>
      <c r="AE139" s="44">
        <f t="shared" si="120"/>
        <v>-87.502306703838073</v>
      </c>
      <c r="AF139" t="str">
        <f t="shared" si="104"/>
        <v>-0.979317078436135</v>
      </c>
      <c r="AG139" t="str">
        <f t="shared" si="121"/>
        <v>1019.01333747611i</v>
      </c>
      <c r="AH139">
        <f t="shared" si="122"/>
        <v>1019.01333747611</v>
      </c>
      <c r="AI139">
        <f t="shared" si="123"/>
        <v>1.5707963267948966</v>
      </c>
      <c r="AJ139" t="str">
        <f t="shared" si="105"/>
        <v>0.983926810099295+0.998551549659593i</v>
      </c>
      <c r="AK139">
        <f t="shared" si="124"/>
        <v>1.4018620349234614</v>
      </c>
      <c r="AL139">
        <f t="shared" si="125"/>
        <v>0.79277502791840782</v>
      </c>
      <c r="AM139" t="str">
        <f t="shared" si="106"/>
        <v>1+141.765135509676i</v>
      </c>
      <c r="AN139">
        <f t="shared" si="126"/>
        <v>141.76866242606931</v>
      </c>
      <c r="AO139">
        <f t="shared" si="127"/>
        <v>1.5637425232559068</v>
      </c>
      <c r="AP139" t="str">
        <f t="shared" si="107"/>
        <v>1+0.957872537227546i</v>
      </c>
      <c r="AQ139">
        <f t="shared" si="128"/>
        <v>1.3847453908840919</v>
      </c>
      <c r="AR139">
        <f t="shared" si="129"/>
        <v>0.76388452428517872</v>
      </c>
      <c r="AS139" s="42" t="str">
        <f t="shared" si="130"/>
        <v>-0.134495496493949+0.00483643049715223i</v>
      </c>
      <c r="AT139">
        <f t="shared" si="131"/>
        <v>-17.420232886581182</v>
      </c>
      <c r="AU139" s="44">
        <f t="shared" si="132"/>
        <v>177.9405429015101</v>
      </c>
      <c r="AV139" s="42" t="str">
        <f t="shared" si="108"/>
        <v>-0.025748682212877+3.36636283665614i</v>
      </c>
      <c r="AW139" s="20">
        <f t="shared" si="133"/>
        <v>10.543472548155826</v>
      </c>
      <c r="AX139" s="44">
        <f t="shared" si="134"/>
        <v>90.438236197672012</v>
      </c>
    </row>
    <row r="140" spans="14:50" x14ac:dyDescent="0.3">
      <c r="N140" s="8">
        <v>22</v>
      </c>
      <c r="O140" s="35">
        <f t="shared" si="135"/>
        <v>165.95869074375622</v>
      </c>
      <c r="P140" s="34" t="str">
        <f t="shared" si="99"/>
        <v>545.10556621881</v>
      </c>
      <c r="Q140" s="4" t="str">
        <f t="shared" si="100"/>
        <v>1+22.276005138245i</v>
      </c>
      <c r="R140" s="4">
        <f t="shared" si="110"/>
        <v>22.298439517578753</v>
      </c>
      <c r="S140" s="4">
        <f t="shared" si="111"/>
        <v>1.525935093357712</v>
      </c>
      <c r="T140" s="4" t="str">
        <f t="shared" si="101"/>
        <v>1+0.000521374603639965i</v>
      </c>
      <c r="U140" s="4">
        <f t="shared" si="112"/>
        <v>1.0000001359157293</v>
      </c>
      <c r="V140" s="4">
        <f t="shared" si="113"/>
        <v>5.2137455639796309E-4</v>
      </c>
      <c r="W140" t="str">
        <f t="shared" si="102"/>
        <v>1-0.000541603938261194i</v>
      </c>
      <c r="X140" s="4">
        <f t="shared" si="114"/>
        <v>1.0000001466674022</v>
      </c>
      <c r="Y140" s="4">
        <f t="shared" si="115"/>
        <v>-5.4160388530410432E-4</v>
      </c>
      <c r="Z140" t="str">
        <f t="shared" si="103"/>
        <v>0.99999823729363+0.00234538209682905i</v>
      </c>
      <c r="AA140" s="4">
        <f t="shared" si="116"/>
        <v>1.000000987703286</v>
      </c>
      <c r="AB140" s="4">
        <f t="shared" si="117"/>
        <v>2.3453819305417076E-3</v>
      </c>
      <c r="AC140" s="48" t="str">
        <f t="shared" si="118"/>
        <v>1.03853062893035-24.4238193793502i</v>
      </c>
      <c r="AD140" s="20">
        <f t="shared" si="119"/>
        <v>27.764116781339393</v>
      </c>
      <c r="AE140" s="44">
        <f t="shared" si="120"/>
        <v>-87.565180201433151</v>
      </c>
      <c r="AF140" t="str">
        <f t="shared" si="104"/>
        <v>-0.979317078436135</v>
      </c>
      <c r="AG140" t="str">
        <f t="shared" si="121"/>
        <v>1042.74920727993i</v>
      </c>
      <c r="AH140">
        <f t="shared" si="122"/>
        <v>1042.74920727993</v>
      </c>
      <c r="AI140">
        <f t="shared" si="123"/>
        <v>1.5707963267948966</v>
      </c>
      <c r="AJ140" t="str">
        <f t="shared" si="105"/>
        <v>0.983169303996728+1.02181080319775i</v>
      </c>
      <c r="AK140">
        <f t="shared" si="124"/>
        <v>1.4179983067172688</v>
      </c>
      <c r="AL140">
        <f t="shared" si="125"/>
        <v>0.80466853710595954</v>
      </c>
      <c r="AM140" t="str">
        <f t="shared" si="106"/>
        <v>1+145.067269716784i</v>
      </c>
      <c r="AN140">
        <f t="shared" si="126"/>
        <v>145.07071635268835</v>
      </c>
      <c r="AO140">
        <f t="shared" si="127"/>
        <v>1.5639030822817674</v>
      </c>
      <c r="AP140" t="str">
        <f t="shared" si="107"/>
        <v>1+0.980184254843137i</v>
      </c>
      <c r="AQ140">
        <f t="shared" si="128"/>
        <v>1.4002718212698546</v>
      </c>
      <c r="AR140">
        <f t="shared" si="129"/>
        <v>0.77539147654723029</v>
      </c>
      <c r="AS140" s="42" t="str">
        <f t="shared" si="130"/>
        <v>-0.134454610454876+0.00486538624384836i</v>
      </c>
      <c r="AT140">
        <f t="shared" si="131"/>
        <v>-17.422802949311755</v>
      </c>
      <c r="AU140" s="44">
        <f t="shared" si="132"/>
        <v>177.927594175682</v>
      </c>
      <c r="AV140" s="42" t="str">
        <f t="shared" si="108"/>
        <v>-0.0208039163277601+3.2889479731066i</v>
      </c>
      <c r="AW140" s="20">
        <f t="shared" si="133"/>
        <v>10.34131383202765</v>
      </c>
      <c r="AX140" s="44">
        <f t="shared" si="134"/>
        <v>90.362413974248881</v>
      </c>
    </row>
    <row r="141" spans="14:50" x14ac:dyDescent="0.3">
      <c r="N141" s="8">
        <v>23</v>
      </c>
      <c r="O141" s="35">
        <f t="shared" si="135"/>
        <v>169.82436524617444</v>
      </c>
      <c r="P141" s="34" t="str">
        <f t="shared" si="99"/>
        <v>545.10556621881</v>
      </c>
      <c r="Q141" s="4" t="str">
        <f t="shared" si="100"/>
        <v>1+22.7948799539761i</v>
      </c>
      <c r="R141" s="4">
        <f t="shared" si="110"/>
        <v>22.816804160885052</v>
      </c>
      <c r="S141" s="4">
        <f t="shared" si="111"/>
        <v>1.5269549365029267</v>
      </c>
      <c r="T141" s="4" t="str">
        <f t="shared" si="101"/>
        <v>1+0.00053351897825793i</v>
      </c>
      <c r="U141" s="4">
        <f t="shared" si="112"/>
        <v>1.0000001423212399</v>
      </c>
      <c r="V141" s="4">
        <f t="shared" si="113"/>
        <v>5.3351892763721343E-4</v>
      </c>
      <c r="W141" t="str">
        <f t="shared" si="102"/>
        <v>1-0.000554219514614336i</v>
      </c>
      <c r="X141" s="4">
        <f t="shared" si="114"/>
        <v>1.0000001535796235</v>
      </c>
      <c r="Y141" s="4">
        <f t="shared" si="115"/>
        <v>-5.5421945786979254E-4</v>
      </c>
      <c r="Z141" t="str">
        <f t="shared" si="103"/>
        <v>0.999998154219838+0.00240001306390589i</v>
      </c>
      <c r="AA141" s="4">
        <f t="shared" si="116"/>
        <v>1.00000103425236</v>
      </c>
      <c r="AB141" s="4">
        <f t="shared" si="117"/>
        <v>2.4000128857257293E-3</v>
      </c>
      <c r="AC141" s="48" t="str">
        <f t="shared" si="118"/>
        <v>0.989278296433552-23.8700221025283i</v>
      </c>
      <c r="AD141" s="20">
        <f t="shared" si="119"/>
        <v>27.564509625319932</v>
      </c>
      <c r="AE141" s="44">
        <f t="shared" si="120"/>
        <v>-87.626770030429412</v>
      </c>
      <c r="AF141" t="str">
        <f t="shared" si="104"/>
        <v>-0.979317078436135</v>
      </c>
      <c r="AG141" t="str">
        <f t="shared" si="121"/>
        <v>1067.03795651586i</v>
      </c>
      <c r="AH141">
        <f t="shared" si="122"/>
        <v>1067.0379565158601</v>
      </c>
      <c r="AI141">
        <f t="shared" si="123"/>
        <v>1.5707963267948966</v>
      </c>
      <c r="AJ141" t="str">
        <f t="shared" si="105"/>
        <v>0.982376097731408+1.04561183434902i</v>
      </c>
      <c r="AK141">
        <f t="shared" si="124"/>
        <v>1.4347009812238616</v>
      </c>
      <c r="AL141">
        <f t="shared" si="125"/>
        <v>0.81656957873934533</v>
      </c>
      <c r="AM141" t="str">
        <f t="shared" si="106"/>
        <v>1+148.446320510486i</v>
      </c>
      <c r="AN141">
        <f t="shared" si="126"/>
        <v>148.44968869317961</v>
      </c>
      <c r="AO141">
        <f t="shared" si="127"/>
        <v>1.5640599868814273</v>
      </c>
      <c r="AP141" t="str">
        <f t="shared" si="107"/>
        <v>1+1.00301567912491i</v>
      </c>
      <c r="AQ141">
        <f t="shared" si="128"/>
        <v>1.4163475747747811</v>
      </c>
      <c r="AR141">
        <f t="shared" si="129"/>
        <v>0.78690373166521377</v>
      </c>
      <c r="AS141" s="42" t="str">
        <f t="shared" si="130"/>
        <v>-0.134413654634172+0.00489511338365468i</v>
      </c>
      <c r="AT141">
        <f t="shared" si="131"/>
        <v>-17.425376019226867</v>
      </c>
      <c r="AU141" s="44">
        <f t="shared" si="132"/>
        <v>177.9143083205644</v>
      </c>
      <c r="AV141" s="42" t="str">
        <f t="shared" si="108"/>
        <v>-0.0161260466116822+3.21329953642832i</v>
      </c>
      <c r="AW141" s="20">
        <f t="shared" si="133"/>
        <v>10.139133606093063</v>
      </c>
      <c r="AX141" s="44">
        <f t="shared" si="134"/>
        <v>90.287538290135004</v>
      </c>
    </row>
    <row r="142" spans="14:50" x14ac:dyDescent="0.3">
      <c r="N142" s="8">
        <v>24</v>
      </c>
      <c r="O142" s="35">
        <f t="shared" si="135"/>
        <v>173.78008287493768</v>
      </c>
      <c r="P142" s="34" t="str">
        <f t="shared" si="99"/>
        <v>545.10556621881</v>
      </c>
      <c r="Q142" s="4" t="str">
        <f t="shared" si="100"/>
        <v>1+23.3258409167848i</v>
      </c>
      <c r="R142" s="4">
        <f t="shared" si="110"/>
        <v>23.34726653111991</v>
      </c>
      <c r="S142" s="4">
        <f t="shared" si="111"/>
        <v>1.5279516533706712</v>
      </c>
      <c r="T142" s="4" t="str">
        <f t="shared" si="101"/>
        <v>1+0.00054594623170013i</v>
      </c>
      <c r="U142" s="4">
        <f t="shared" si="112"/>
        <v>1.0000001490286328</v>
      </c>
      <c r="V142" s="4">
        <f t="shared" si="113"/>
        <v>5.4594617745905522E-4</v>
      </c>
      <c r="W142" t="str">
        <f t="shared" si="102"/>
        <v>1-0.000567128945490094i</v>
      </c>
      <c r="X142" s="4">
        <f t="shared" si="114"/>
        <v>1.0000001608176075</v>
      </c>
      <c r="Y142" s="4">
        <f t="shared" si="115"/>
        <v>-5.6712888468722069E-4</v>
      </c>
      <c r="Z142" t="str">
        <f t="shared" si="103"/>
        <v>0.999998067230899+0.00245591654967717i</v>
      </c>
      <c r="AA142" s="4">
        <f t="shared" si="116"/>
        <v>1.0000010829952297</v>
      </c>
      <c r="AB142" s="4">
        <f t="shared" si="117"/>
        <v>2.4559163587536161E-3</v>
      </c>
      <c r="AC142" s="48" t="str">
        <f t="shared" si="118"/>
        <v>0.942234359490679-23.3286868398936i</v>
      </c>
      <c r="AD142" s="20">
        <f t="shared" si="119"/>
        <v>27.364884795037913</v>
      </c>
      <c r="AE142" s="44">
        <f t="shared" si="120"/>
        <v>-87.687108360092111</v>
      </c>
      <c r="AF142" t="str">
        <f t="shared" si="104"/>
        <v>-0.979317078436135</v>
      </c>
      <c r="AG142" t="str">
        <f t="shared" si="121"/>
        <v>1091.89246340026i</v>
      </c>
      <c r="AH142">
        <f t="shared" si="122"/>
        <v>1091.8924634002601</v>
      </c>
      <c r="AI142">
        <f t="shared" si="123"/>
        <v>1.5707963267948966</v>
      </c>
      <c r="AJ142" t="str">
        <f t="shared" si="105"/>
        <v>0.981545508806498+1.06996726273518i</v>
      </c>
      <c r="AK142">
        <f t="shared" si="124"/>
        <v>1.4519853749894387</v>
      </c>
      <c r="AL142">
        <f t="shared" si="125"/>
        <v>0.82847226126947804</v>
      </c>
      <c r="AM142" t="str">
        <f t="shared" si="106"/>
        <v>1+151.904079508244i</v>
      </c>
      <c r="AN142">
        <f t="shared" si="126"/>
        <v>151.90737102341976</v>
      </c>
      <c r="AO142">
        <f t="shared" si="127"/>
        <v>1.564213320216862</v>
      </c>
      <c r="AP142" t="str">
        <f t="shared" si="107"/>
        <v>1+1.02637891559625i</v>
      </c>
      <c r="AQ142">
        <f t="shared" si="128"/>
        <v>1.4329876755857092</v>
      </c>
      <c r="AR142">
        <f t="shared" si="129"/>
        <v>0.7984151887273726</v>
      </c>
      <c r="AS142" s="42" t="str">
        <f t="shared" si="130"/>
        <v>-0.134372666832092+0.00492562955328243i</v>
      </c>
      <c r="AT142">
        <f t="shared" si="131"/>
        <v>-17.427949581728999</v>
      </c>
      <c r="AU142" s="44">
        <f t="shared" si="132"/>
        <v>177.90067810539065</v>
      </c>
      <c r="AV142" s="42" t="str">
        <f t="shared" si="108"/>
        <v>-0.0117020743277398+3.13937896177446i</v>
      </c>
      <c r="AW142" s="20">
        <f t="shared" si="133"/>
        <v>9.9369352133089226</v>
      </c>
      <c r="AX142" s="44">
        <f t="shared" si="134"/>
        <v>90.213569745298528</v>
      </c>
    </row>
    <row r="143" spans="14:50" x14ac:dyDescent="0.3">
      <c r="N143" s="8">
        <v>25</v>
      </c>
      <c r="O143" s="35">
        <f t="shared" si="135"/>
        <v>177.82794100389242</v>
      </c>
      <c r="P143" s="34" t="str">
        <f t="shared" si="99"/>
        <v>545.10556621881</v>
      </c>
      <c r="Q143" s="4" t="str">
        <f t="shared" si="100"/>
        <v>1+23.8691695492017i</v>
      </c>
      <c r="R143" s="4">
        <f t="shared" si="110"/>
        <v>23.890107889428581</v>
      </c>
      <c r="S143" s="4">
        <f t="shared" si="111"/>
        <v>1.5289257645074477</v>
      </c>
      <c r="T143" s="4" t="str">
        <f t="shared" si="101"/>
        <v>1+0.00055866295306083i</v>
      </c>
      <c r="U143" s="4">
        <f t="shared" si="112"/>
        <v>1.0000001560521354</v>
      </c>
      <c r="V143" s="4">
        <f t="shared" si="113"/>
        <v>5.5866289494047191E-4</v>
      </c>
      <c r="W143" t="str">
        <f t="shared" si="102"/>
        <v>1-0.000580339075639588i</v>
      </c>
      <c r="X143" s="4">
        <f t="shared" si="114"/>
        <v>1.0000001683967072</v>
      </c>
      <c r="Y143" s="4">
        <f t="shared" si="115"/>
        <v>-5.803390104881361E-4</v>
      </c>
      <c r="Z143" t="str">
        <f t="shared" si="103"/>
        <v>0.999997976142297+0.00251312219491099i</v>
      </c>
      <c r="AA143" s="4">
        <f t="shared" si="116"/>
        <v>1.0000011340352852</v>
      </c>
      <c r="AB143" s="4">
        <f t="shared" si="117"/>
        <v>2.513121990332638E-3</v>
      </c>
      <c r="AC143" s="48" t="str">
        <f t="shared" si="118"/>
        <v>0.897300154487433-22.7995394824611i</v>
      </c>
      <c r="AD143" s="20">
        <f t="shared" si="119"/>
        <v>27.165243081794817</v>
      </c>
      <c r="AE143" s="44">
        <f t="shared" si="120"/>
        <v>-87.746226728474241</v>
      </c>
      <c r="AF143" t="str">
        <f t="shared" si="104"/>
        <v>-0.979317078436135</v>
      </c>
      <c r="AG143" t="str">
        <f t="shared" si="121"/>
        <v>1117.32590612166i</v>
      </c>
      <c r="AH143">
        <f t="shared" si="122"/>
        <v>1117.32590612166</v>
      </c>
      <c r="AI143">
        <f t="shared" si="123"/>
        <v>1.5707963267948966</v>
      </c>
      <c r="AJ143" t="str">
        <f t="shared" si="105"/>
        <v>0.98067577543153+1.09489000192673i</v>
      </c>
      <c r="AK143">
        <f t="shared" si="124"/>
        <v>1.4698670323663114</v>
      </c>
      <c r="AL143">
        <f t="shared" si="125"/>
        <v>0.84037071760554982</v>
      </c>
      <c r="AM143" t="str">
        <f t="shared" si="106"/>
        <v>1+155.442380059645i</v>
      </c>
      <c r="AN143">
        <f t="shared" si="126"/>
        <v>155.44559665235653</v>
      </c>
      <c r="AO143">
        <f t="shared" si="127"/>
        <v>1.5643631635585782</v>
      </c>
      <c r="AP143" t="str">
        <f t="shared" si="107"/>
        <v>1+1.05028635175436i</v>
      </c>
      <c r="AQ143">
        <f t="shared" si="128"/>
        <v>1.4502073716132748</v>
      </c>
      <c r="AR143">
        <f t="shared" si="129"/>
        <v>0.80991974893569918</v>
      </c>
      <c r="AS143" s="42" t="str">
        <f t="shared" si="130"/>
        <v>-0.134331684459994+0.0049569556516047i</v>
      </c>
      <c r="AT143">
        <f t="shared" si="131"/>
        <v>-17.430521134650071</v>
      </c>
      <c r="AU143" s="44">
        <f t="shared" si="132"/>
        <v>177.88669491077277</v>
      </c>
      <c r="AV143" s="42" t="str">
        <f t="shared" si="108"/>
        <v>-0.00751953512693967+3.06714842066311i</v>
      </c>
      <c r="AW143" s="20">
        <f t="shared" si="133"/>
        <v>9.7347219471447399</v>
      </c>
      <c r="AX143" s="44">
        <f t="shared" si="134"/>
        <v>90.14046818229852</v>
      </c>
    </row>
    <row r="144" spans="14:50" x14ac:dyDescent="0.3">
      <c r="N144" s="8">
        <v>26</v>
      </c>
      <c r="O144" s="35">
        <f t="shared" si="135"/>
        <v>181.9700858609983</v>
      </c>
      <c r="P144" s="34" t="str">
        <f t="shared" si="99"/>
        <v>545.10556621881</v>
      </c>
      <c r="Q144" s="4" t="str">
        <f t="shared" si="100"/>
        <v>1+24.4251539312591i</v>
      </c>
      <c r="R144" s="4">
        <f t="shared" si="110"/>
        <v>24.44561606026123</v>
      </c>
      <c r="S144" s="4">
        <f t="shared" si="111"/>
        <v>1.5298777790010465</v>
      </c>
      <c r="T144" s="4" t="str">
        <f t="shared" si="101"/>
        <v>1+0.000571675884914015i</v>
      </c>
      <c r="U144" s="4">
        <f t="shared" si="112"/>
        <v>1.0000001634066453</v>
      </c>
      <c r="V144" s="4">
        <f t="shared" si="113"/>
        <v>5.7167582263692972E-4</v>
      </c>
      <c r="W144" t="str">
        <f t="shared" si="102"/>
        <v>1-0.000593856909248677i</v>
      </c>
      <c r="X144" s="4">
        <f t="shared" si="114"/>
        <v>1.0000001763329986</v>
      </c>
      <c r="Y144" s="4">
        <f t="shared" si="115"/>
        <v>-5.9385683943763922E-4</v>
      </c>
      <c r="Z144" t="str">
        <f t="shared" si="103"/>
        <v>0.999997880760823+0.00257166033079762i</v>
      </c>
      <c r="AA144" s="4">
        <f t="shared" si="116"/>
        <v>1.0000011874807919</v>
      </c>
      <c r="AB144" s="4">
        <f t="shared" si="117"/>
        <v>2.5716601115878738E-3</v>
      </c>
      <c r="AC144" s="48" t="str">
        <f t="shared" si="118"/>
        <v>0.854381394378926-22.2823115265732i</v>
      </c>
      <c r="AD144" s="20">
        <f t="shared" si="119"/>
        <v>26.965585241474717</v>
      </c>
      <c r="AE144" s="44">
        <f t="shared" si="120"/>
        <v>-87.804156056992156</v>
      </c>
      <c r="AF144" t="str">
        <f t="shared" si="104"/>
        <v>-0.979317078436135</v>
      </c>
      <c r="AG144" t="str">
        <f t="shared" si="121"/>
        <v>1143.35176982803i</v>
      </c>
      <c r="AH144">
        <f t="shared" si="122"/>
        <v>1143.35176982803</v>
      </c>
      <c r="AI144">
        <f t="shared" si="123"/>
        <v>1.5707963267948966</v>
      </c>
      <c r="AJ144" t="str">
        <f t="shared" si="105"/>
        <v>0.979765052785408+1.12039326628989i</v>
      </c>
      <c r="AK144">
        <f t="shared" si="124"/>
        <v>1.4883617268014258</v>
      </c>
      <c r="AL144">
        <f t="shared" si="125"/>
        <v>0.85225912123037495</v>
      </c>
      <c r="AM144" t="str">
        <f t="shared" si="106"/>
        <v>1+159.063098218476i</v>
      </c>
      <c r="AN144">
        <f t="shared" si="126"/>
        <v>159.06624159406215</v>
      </c>
      <c r="AO144">
        <f t="shared" si="127"/>
        <v>1.5645095963285685</v>
      </c>
      <c r="AP144" t="str">
        <f t="shared" si="107"/>
        <v>1+1.07475066363835i</v>
      </c>
      <c r="AQ144">
        <f t="shared" si="128"/>
        <v>1.4680221350480629</v>
      </c>
      <c r="AR144">
        <f t="shared" si="129"/>
        <v>0.82141133174491643</v>
      </c>
      <c r="AS144" s="42" t="str">
        <f t="shared" si="130"/>
        <v>-0.134290744358457+0.00498911582119769i</v>
      </c>
      <c r="AT144">
        <f t="shared" si="131"/>
        <v>-17.433088199737725</v>
      </c>
      <c r="AU144" s="44">
        <f t="shared" si="132"/>
        <v>177.87234873251822</v>
      </c>
      <c r="AV144" s="42" t="str">
        <f t="shared" si="108"/>
        <v>-0.00356648044708038+2.99657080866257i</v>
      </c>
      <c r="AW144" s="20">
        <f t="shared" si="133"/>
        <v>9.5324970417369865</v>
      </c>
      <c r="AX144" s="44">
        <f t="shared" si="134"/>
        <v>90.068192675526078</v>
      </c>
    </row>
    <row r="145" spans="14:50" x14ac:dyDescent="0.3">
      <c r="N145" s="8">
        <v>27</v>
      </c>
      <c r="O145" s="35">
        <f t="shared" si="135"/>
        <v>186.20871366628685</v>
      </c>
      <c r="P145" s="34" t="str">
        <f t="shared" si="99"/>
        <v>545.10556621881</v>
      </c>
      <c r="Q145" s="4" t="str">
        <f t="shared" si="100"/>
        <v>1+24.9940888532361i</v>
      </c>
      <c r="R145" s="4">
        <f t="shared" si="110"/>
        <v>25.014085583995691</v>
      </c>
      <c r="S145" s="4">
        <f t="shared" si="111"/>
        <v>1.5308081947154935</v>
      </c>
      <c r="T145" s="4" t="str">
        <f t="shared" si="101"/>
        <v>1+0.00058499192688841i</v>
      </c>
      <c r="U145" s="4">
        <f t="shared" si="112"/>
        <v>1.0000001711077626</v>
      </c>
      <c r="V145" s="4">
        <f t="shared" si="113"/>
        <v>5.8499186015731146E-4</v>
      </c>
      <c r="W145" t="str">
        <f t="shared" si="102"/>
        <v>1-0.000607689613651679i</v>
      </c>
      <c r="X145" s="4">
        <f t="shared" si="114"/>
        <v>1.0000001846433162</v>
      </c>
      <c r="Y145" s="4">
        <f t="shared" si="115"/>
        <v>-6.0768953884780493E-4</v>
      </c>
      <c r="Z145" t="str">
        <f t="shared" si="103"/>
        <v>0.999997780884157+0.00263156199503161i</v>
      </c>
      <c r="AA145" s="4">
        <f t="shared" si="116"/>
        <v>1.0000012434451131</v>
      </c>
      <c r="AB145" s="4">
        <f t="shared" si="117"/>
        <v>2.6315617601440355E-3</v>
      </c>
      <c r="AC145" s="48" t="str">
        <f t="shared" si="118"/>
        <v>0.813387977312458-21.7767399881739i</v>
      </c>
      <c r="AD145" s="20">
        <f t="shared" si="119"/>
        <v>26.765911996112884</v>
      </c>
      <c r="AE145" s="44">
        <f t="shared" si="120"/>
        <v>-87.860926664816489</v>
      </c>
      <c r="AF145" t="str">
        <f t="shared" si="104"/>
        <v>-0.979317078436135</v>
      </c>
      <c r="AG145" t="str">
        <f t="shared" si="121"/>
        <v>1169.98385377682i</v>
      </c>
      <c r="AH145">
        <f t="shared" si="122"/>
        <v>1169.9838537768201</v>
      </c>
      <c r="AI145">
        <f t="shared" si="123"/>
        <v>1.5707963267948966</v>
      </c>
      <c r="AJ145" t="str">
        <f t="shared" si="105"/>
        <v>0.978811409103298+1.14649057799299i</v>
      </c>
      <c r="AK145">
        <f t="shared" si="124"/>
        <v>1.5074854626222716</v>
      </c>
      <c r="AL145">
        <f t="shared" si="125"/>
        <v>0.8641317020887771</v>
      </c>
      <c r="AM145" t="str">
        <f t="shared" si="106"/>
        <v>1+162.768153737431i</v>
      </c>
      <c r="AN145">
        <f t="shared" si="126"/>
        <v>162.77122556241926</v>
      </c>
      <c r="AO145">
        <f t="shared" si="127"/>
        <v>1.564652696142292</v>
      </c>
      <c r="AP145" t="str">
        <f t="shared" si="107"/>
        <v>1+1.09978482255021i</v>
      </c>
      <c r="AQ145">
        <f t="shared" si="128"/>
        <v>1.4864476633611414</v>
      </c>
      <c r="AR145">
        <f t="shared" si="129"/>
        <v>0.83288389088371151</v>
      </c>
      <c r="AS145" s="42" t="str">
        <f t="shared" si="130"/>
        <v>-0.134249882618464+0.00502213741530507i</v>
      </c>
      <c r="AT145">
        <f t="shared" si="131"/>
        <v>-17.435648333985789</v>
      </c>
      <c r="AU145" s="44">
        <f t="shared" si="132"/>
        <v>177.85762819164682</v>
      </c>
      <c r="AV145" s="42" t="str">
        <f t="shared" si="108"/>
        <v>0.000168540200510894+2.92760973341918i</v>
      </c>
      <c r="AW145" s="20">
        <f t="shared" si="133"/>
        <v>9.3302636621271056</v>
      </c>
      <c r="AX145" s="44">
        <f t="shared" si="134"/>
        <v>89.99670152683035</v>
      </c>
    </row>
    <row r="146" spans="14:50" x14ac:dyDescent="0.3">
      <c r="N146" s="8">
        <v>28</v>
      </c>
      <c r="O146" s="35">
        <f t="shared" si="135"/>
        <v>190.54607179632498</v>
      </c>
      <c r="P146" s="34" t="str">
        <f t="shared" si="99"/>
        <v>545.10556621881</v>
      </c>
      <c r="Q146" s="4" t="str">
        <f t="shared" si="100"/>
        <v>1+25.5762759719592i</v>
      </c>
      <c r="R146" s="4">
        <f t="shared" si="110"/>
        <v>25.595817873117813</v>
      </c>
      <c r="S146" s="4">
        <f t="shared" si="111"/>
        <v>1.5317174985223534</v>
      </c>
      <c r="T146" s="4" t="str">
        <f t="shared" si="101"/>
        <v>1+0.00059861813932573i</v>
      </c>
      <c r="U146" s="4">
        <f t="shared" si="112"/>
        <v>1.0000001791718223</v>
      </c>
      <c r="V146" s="4">
        <f t="shared" si="113"/>
        <v>5.9861806782207031E-4</v>
      </c>
      <c r="W146" t="str">
        <f t="shared" si="102"/>
        <v>1-0.000621844523131567i</v>
      </c>
      <c r="X146" s="4">
        <f t="shared" si="114"/>
        <v>1.0000001933452867</v>
      </c>
      <c r="Y146" s="4">
        <f t="shared" si="115"/>
        <v>-6.2184444297777271E-4</v>
      </c>
      <c r="Z146" t="str">
        <f t="shared" si="103"/>
        <v>0.999997676300449+0.00269285894826823i</v>
      </c>
      <c r="AA146" s="4">
        <f t="shared" si="116"/>
        <v>1.0000013020469587</v>
      </c>
      <c r="AB146" s="4">
        <f t="shared" si="117"/>
        <v>2.692858696581547E-3</v>
      </c>
      <c r="AC146" s="48" t="str">
        <f t="shared" si="118"/>
        <v>0.774233803375294-21.2825673162907i</v>
      </c>
      <c r="AD146" s="20">
        <f t="shared" si="119"/>
        <v>26.56622403539615</v>
      </c>
      <c r="AE146" s="44">
        <f t="shared" si="120"/>
        <v>-87.916568283075804</v>
      </c>
      <c r="AF146" t="str">
        <f t="shared" si="104"/>
        <v>-0.979317078436135</v>
      </c>
      <c r="AG146" t="str">
        <f t="shared" si="121"/>
        <v>1197.23627865146i</v>
      </c>
      <c r="AH146">
        <f t="shared" si="122"/>
        <v>1197.23627865146</v>
      </c>
      <c r="AI146">
        <f t="shared" si="123"/>
        <v>1.5707963267948966</v>
      </c>
      <c r="AJ146" t="str">
        <f t="shared" si="105"/>
        <v>0.977812821579092+1.17319577417613i</v>
      </c>
      <c r="AK146">
        <f t="shared" si="124"/>
        <v>1.5272544773511698</v>
      </c>
      <c r="AL146">
        <f t="shared" si="125"/>
        <v>0.87598276214942872</v>
      </c>
      <c r="AM146" t="str">
        <f t="shared" si="106"/>
        <v>1+166.559511085991i</v>
      </c>
      <c r="AN146">
        <f t="shared" si="126"/>
        <v>166.56251298898067</v>
      </c>
      <c r="AO146">
        <f t="shared" si="127"/>
        <v>1.5647925388497081</v>
      </c>
      <c r="AP146" t="str">
        <f t="shared" si="107"/>
        <v>1+1.12540210193238i</v>
      </c>
      <c r="AQ146">
        <f t="shared" si="128"/>
        <v>1.5054998807817352</v>
      </c>
      <c r="AR146">
        <f t="shared" si="129"/>
        <v>0.84433143015565082</v>
      </c>
      <c r="AS146" s="42" t="str">
        <f t="shared" si="130"/>
        <v>-0.134209134407168+0.00505605095072045i</v>
      </c>
      <c r="AT146">
        <f t="shared" si="131"/>
        <v>-17.438199140709322</v>
      </c>
      <c r="AU146" s="44">
        <f t="shared" si="132"/>
        <v>177.84252055043834</v>
      </c>
      <c r="AV146" s="42" t="str">
        <f t="shared" si="108"/>
        <v>0.00369649613353584+2.86022950303929i</v>
      </c>
      <c r="AW146" s="20">
        <f t="shared" si="133"/>
        <v>9.1280248946868188</v>
      </c>
      <c r="AX146" s="44">
        <f t="shared" si="134"/>
        <v>89.925952267362561</v>
      </c>
    </row>
    <row r="147" spans="14:50" x14ac:dyDescent="0.3">
      <c r="N147" s="8">
        <v>29</v>
      </c>
      <c r="O147" s="35">
        <f t="shared" si="135"/>
        <v>194.98445997580458</v>
      </c>
      <c r="P147" s="34" t="str">
        <f t="shared" ref="P147:P210" si="136">COMPLEX(Adc,0)</f>
        <v>545.10556621881</v>
      </c>
      <c r="Q147" s="4" t="str">
        <f t="shared" ref="Q147:Q210" si="137">IMSUM(COMPLEX(1,0),IMDIV(COMPLEX(0,2*PI()*O147),COMPLEX(wp_lf,0)))</f>
        <v>1+26.1720239707443i</v>
      </c>
      <c r="R147" s="4">
        <f t="shared" si="110"/>
        <v>26.191121372045419</v>
      </c>
      <c r="S147" s="4">
        <f t="shared" si="111"/>
        <v>1.5326061665283666</v>
      </c>
      <c r="T147" s="4" t="str">
        <f t="shared" ref="T147:T210" si="138">IMSUM(COMPLEX(1,0),IMDIV(COMPLEX(0,2*PI()*O147),COMPLEX(wz_esr,0)))</f>
        <v>1+0.00061256174702416i</v>
      </c>
      <c r="U147" s="4">
        <f t="shared" si="112"/>
        <v>1.0000001876159295</v>
      </c>
      <c r="V147" s="4">
        <f t="shared" si="113"/>
        <v>6.125616704066091E-4</v>
      </c>
      <c r="W147" t="str">
        <f t="shared" ref="W147:W210" si="139">IMSUB(COMPLEX(1,0),IMDIV(COMPLEX(0,2*PI()*O147),COMPLEX(wz_rhp,0)))</f>
        <v>1-0.000636329142808696i</v>
      </c>
      <c r="X147" s="4">
        <f t="shared" si="114"/>
        <v>1.0000002024573684</v>
      </c>
      <c r="Y147" s="4">
        <f t="shared" si="115"/>
        <v>-6.3632905692235901E-4</v>
      </c>
      <c r="Z147" t="str">
        <f t="shared" ref="Z147:Z210" si="140">IMSUM(COMPLEX(1,0),IMDIV(COMPLEX(0,2*PI()*O147),COMPLEX(Q*(wsl/2),0)),IMDIV(IMPOWER(COMPLEX(0,2*PI()*O147),2),IMPOWER(COMPLEX(wsl/2,0),2)))</f>
        <v>0.999997566787864+0.00275558369096339i</v>
      </c>
      <c r="AA147" s="4">
        <f t="shared" si="116"/>
        <v>1.0000013634106339</v>
      </c>
      <c r="AB147" s="4">
        <f t="shared" si="117"/>
        <v>2.755583421276121E-3</v>
      </c>
      <c r="AC147" s="48" t="str">
        <f t="shared" si="118"/>
        <v>0.736836599143897-20.7995413059173i</v>
      </c>
      <c r="AD147" s="20">
        <f t="shared" si="119"/>
        <v>26.366522018097129</v>
      </c>
      <c r="AE147" s="44">
        <f t="shared" si="120"/>
        <v>-87.971110068872377</v>
      </c>
      <c r="AF147" t="str">
        <f t="shared" ref="AF147:AF210" si="141">COMPLEX(Adc_ea_iso,0)</f>
        <v>-0.979317078436135</v>
      </c>
      <c r="AG147" t="str">
        <f t="shared" si="121"/>
        <v>1225.12349404832i</v>
      </c>
      <c r="AH147">
        <f t="shared" si="122"/>
        <v>1225.12349404832</v>
      </c>
      <c r="AI147">
        <f t="shared" si="123"/>
        <v>1.5707963267948966</v>
      </c>
      <c r="AJ147" t="str">
        <f t="shared" ref="AJ147:AJ210" si="142">IMSUM(IMPRODUCT(COMPLEX(wpA_ea_iso,0),IMPOWER(COMPLEX(0,2*PI()*O147),2)),COMPLEX(0,wpB_ea_iso*2*PI()*O147),COMPLEX(1,0))</f>
        <v>0.976767172074769+1.20052301428783i</v>
      </c>
      <c r="AK147">
        <f t="shared" si="124"/>
        <v>1.547685244575808</v>
      </c>
      <c r="AL147">
        <f t="shared" si="125"/>
        <v>0.88780669054431616</v>
      </c>
      <c r="AM147" t="str">
        <f t="shared" ref="AM147:AM210" si="143">IMSUM(COMPLEX(1,0),IMDIV(COMPLEX(0,2*PI()*O147),COMPLEX(wz1_ea_iso,0)))</f>
        <v>1+170.439180492002i</v>
      </c>
      <c r="AN147">
        <f t="shared" si="126"/>
        <v>170.442114064527</v>
      </c>
      <c r="AO147">
        <f t="shared" si="127"/>
        <v>1.5649291985753806</v>
      </c>
      <c r="AP147" t="str">
        <f t="shared" ref="AP147:AP210" si="144">IMSUM(COMPLEX(1,0),IMDIV(COMPLEX(0,2*PI()*O147),COMPLEX(wz2_ea_iso,0)))</f>
        <v>1+1.15161608440542i</v>
      </c>
      <c r="AQ147">
        <f t="shared" si="128"/>
        <v>1.5251949402818223</v>
      </c>
      <c r="AR147">
        <f t="shared" si="129"/>
        <v>0.85574801891970098</v>
      </c>
      <c r="AS147" s="42" t="str">
        <f t="shared" si="130"/>
        <v>-0.134168533799596+0.00509089004723515i</v>
      </c>
      <c r="AT147">
        <f t="shared" si="131"/>
        <v>-17.440738280274509</v>
      </c>
      <c r="AU147" s="44">
        <f t="shared" si="132"/>
        <v>177.8270117342735</v>
      </c>
      <c r="AV147" s="42" t="str">
        <f t="shared" ref="AV147:AV210" si="145">IMPRODUCT(AC147,AS147)</f>
        <v>0.00702789166433346+2.79439511482808i</v>
      </c>
      <c r="AW147" s="20">
        <f t="shared" si="133"/>
        <v>8.9257837378226199</v>
      </c>
      <c r="AX147" s="44">
        <f t="shared" si="134"/>
        <v>89.855901665401149</v>
      </c>
    </row>
    <row r="148" spans="14:50" x14ac:dyDescent="0.3">
      <c r="N148" s="8">
        <v>30</v>
      </c>
      <c r="O148" s="35">
        <f t="shared" si="135"/>
        <v>199.52623149688802</v>
      </c>
      <c r="P148" s="34" t="str">
        <f t="shared" si="136"/>
        <v>545.10556621881</v>
      </c>
      <c r="Q148" s="4" t="str">
        <f t="shared" si="137"/>
        <v>1+26.7816487230666i</v>
      </c>
      <c r="R148" s="4">
        <f t="shared" ref="R148:R211" si="146">IMABS(Q148)</f>
        <v>26.800311720682185</v>
      </c>
      <c r="S148" s="4">
        <f t="shared" ref="S148:S211" si="147">IMARGUMENT(Q148)</f>
        <v>1.5334746642994026</v>
      </c>
      <c r="T148" s="4" t="str">
        <f t="shared" si="138"/>
        <v>1+0.00062683014306908i</v>
      </c>
      <c r="U148" s="4">
        <f t="shared" ref="U148:U211" si="148">IMABS(T148)</f>
        <v>1.0000001964579948</v>
      </c>
      <c r="V148" s="4">
        <f t="shared" ref="V148:V211" si="149">IMARGUMENT(T148)</f>
        <v>6.2683006097189592E-4</v>
      </c>
      <c r="W148" t="str">
        <f t="shared" si="139"/>
        <v>1-0.000651151152620158i</v>
      </c>
      <c r="X148" s="4">
        <f t="shared" ref="X148:X211" si="150">IMABS(W148)</f>
        <v>1.0000002119988893</v>
      </c>
      <c r="Y148" s="4">
        <f t="shared" ref="Y148:Y211" si="151">IMARGUMENT(W148)</f>
        <v>-6.5115106059129098E-4</v>
      </c>
      <c r="Z148" t="str">
        <f t="shared" si="140"/>
        <v>0.999997452114109+0.00281976948060597i</v>
      </c>
      <c r="AA148" s="4">
        <f t="shared" ref="AA148:AA211" si="152">IMABS(Z148)</f>
        <v>1.0000014276662976</v>
      </c>
      <c r="AB148" s="4">
        <f t="shared" ref="AB148:AB211" si="153">IMARGUMENT(Z148)</f>
        <v>2.8197691916307128E-3</v>
      </c>
      <c r="AC148" s="48" t="str">
        <f t="shared" ref="AC148:AC211" si="154">(IMDIV(IMPRODUCT(P148,T148,W148),IMPRODUCT(Q148,Z148)))</f>
        <v>0.701117749722212-20.3274150104775i</v>
      </c>
      <c r="AD148" s="20">
        <f t="shared" ref="AD148:AD211" si="155">20*LOG(IMABS(AC148))</f>
        <v>26.16680657344482</v>
      </c>
      <c r="AE148" s="44">
        <f t="shared" ref="AE148:AE211" si="156">(180/PI())*IMARGUMENT(AC148)</f>
        <v>-88.024580619109685</v>
      </c>
      <c r="AF148" t="str">
        <f t="shared" si="141"/>
        <v>-0.979317078436135</v>
      </c>
      <c r="AG148" t="str">
        <f t="shared" ref="AG148:AG211" si="157">COMPLEX(0,1*2*PI()*O148)</f>
        <v>1253.66028613816i</v>
      </c>
      <c r="AH148">
        <f t="shared" ref="AH148:AH211" si="158">IMABS(AG148)</f>
        <v>1253.66028613816</v>
      </c>
      <c r="AI148">
        <f t="shared" ref="AI148:AI211" si="159">IMARGUMENT(AG148)</f>
        <v>1.5707963267948966</v>
      </c>
      <c r="AJ148" t="str">
        <f t="shared" si="142"/>
        <v>0.975672242627536+1.22848678759251i</v>
      </c>
      <c r="AK148">
        <f t="shared" ref="AK148:AK211" si="160">IMABS(AJ148)</f>
        <v>1.5687944774007878</v>
      </c>
      <c r="AL148">
        <f t="shared" ref="AL148:AL211" si="161">IMARGUMENT(AJ148)</f>
        <v>0.89959797819503606</v>
      </c>
      <c r="AM148" t="str">
        <f t="shared" si="143"/>
        <v>1+174.409219007541i</v>
      </c>
      <c r="AN148">
        <f t="shared" ref="AN148:AN211" si="162">IMABS(AM148)</f>
        <v>174.4120858049132</v>
      </c>
      <c r="AO148">
        <f t="shared" ref="AO148:AO211" si="163">IMARGUMENT(AM148)</f>
        <v>1.5650627477576753</v>
      </c>
      <c r="AP148" t="str">
        <f t="shared" si="144"/>
        <v>1+1.17844066896987i</v>
      </c>
      <c r="AQ148">
        <f t="shared" ref="AQ148:AQ211" si="164">IMABS(AP148)</f>
        <v>1.5455492260947741</v>
      </c>
      <c r="AR148">
        <f t="shared" ref="AR148:AR211" si="165">IMARGUMENT(AP148)</f>
        <v>0.86712780715429671</v>
      </c>
      <c r="AS148" s="42" t="str">
        <f t="shared" ref="AS148:AS211" si="166">IMDIV(IMPRODUCT(AF148,AM148,AP148),IMPRODUCT(AG148,AJ148))</f>
        <v>-0.134128113617659+0.00512669135446316i</v>
      </c>
      <c r="AT148">
        <f t="shared" ref="AT148:AT211" si="167">20*LOG(IMABS(AS148))</f>
        <v>-17.443263480391987</v>
      </c>
      <c r="AU148" s="44">
        <f t="shared" ref="AU148:AU211" si="168">(180/PI())*IMARGUMENT(AS148)</f>
        <v>177.81108635896027</v>
      </c>
      <c r="AV148" s="42" t="str">
        <f t="shared" si="145"/>
        <v>0.0101727815987014+2.7300722443846i</v>
      </c>
      <c r="AW148" s="20">
        <f t="shared" ref="AW148:AW211" si="169">20*LOG(IMABS(AV148))</f>
        <v>8.7235430930528501</v>
      </c>
      <c r="AX148" s="44">
        <f t="shared" ref="AX148:AX211" si="170">(180/PI())*IMARGUMENT(AV148)</f>
        <v>89.786505739850611</v>
      </c>
    </row>
    <row r="149" spans="14:50" x14ac:dyDescent="0.3">
      <c r="N149" s="8">
        <v>31</v>
      </c>
      <c r="O149" s="35">
        <f t="shared" si="135"/>
        <v>204.17379446695315</v>
      </c>
      <c r="P149" s="34" t="str">
        <f t="shared" si="136"/>
        <v>545.10556621881</v>
      </c>
      <c r="Q149" s="4" t="str">
        <f t="shared" si="137"/>
        <v>1+27.4054734600388i</v>
      </c>
      <c r="R149" s="4">
        <f t="shared" si="146"/>
        <v>27.423711921782051</v>
      </c>
      <c r="S149" s="4">
        <f t="shared" si="147"/>
        <v>1.5343234470807015</v>
      </c>
      <c r="T149" s="4" t="str">
        <f t="shared" si="138"/>
        <v>1+0.00064143089275293i</v>
      </c>
      <c r="U149" s="4">
        <f t="shared" si="148"/>
        <v>1.0000002057167738</v>
      </c>
      <c r="V149" s="4">
        <f t="shared" si="149"/>
        <v>6.4143080478421335E-4</v>
      </c>
      <c r="W149" t="str">
        <f t="shared" si="139"/>
        <v>1-0.000666318411391742i</v>
      </c>
      <c r="X149" s="4">
        <f t="shared" si="150"/>
        <v>1.0000002219900881</v>
      </c>
      <c r="Y149" s="4">
        <f t="shared" si="151"/>
        <v>-6.663183127810355E-4</v>
      </c>
      <c r="Z149" t="str">
        <f t="shared" si="140"/>
        <v>0.999997332035946+0.00288545034935122i</v>
      </c>
      <c r="AA149" s="4">
        <f t="shared" si="152"/>
        <v>1.0000014949502467</v>
      </c>
      <c r="AB149" s="4">
        <f t="shared" si="153"/>
        <v>2.8854500397084938E-3</v>
      </c>
      <c r="AC149" s="48" t="str">
        <f t="shared" si="154"/>
        <v>0.667002137967811-19.8659466540396i</v>
      </c>
      <c r="AD149" s="20">
        <f t="shared" si="155"/>
        <v>25.967078302436146</v>
      </c>
      <c r="AE149" s="44">
        <f t="shared" si="156"/>
        <v>-88.07700798413029</v>
      </c>
      <c r="AF149" t="str">
        <f t="shared" si="141"/>
        <v>-0.979317078436135</v>
      </c>
      <c r="AG149" t="str">
        <f t="shared" si="157"/>
        <v>1282.86178550586i</v>
      </c>
      <c r="AH149">
        <f t="shared" si="158"/>
        <v>1282.8617855058601</v>
      </c>
      <c r="AI149">
        <f t="shared" si="159"/>
        <v>1.5707963267948966</v>
      </c>
      <c r="AJ149" t="str">
        <f t="shared" si="142"/>
        <v>0.974525710745237+1.25710192085291i</v>
      </c>
      <c r="AK149">
        <f t="shared" si="160"/>
        <v>1.5905991325018334</v>
      </c>
      <c r="AL149">
        <f t="shared" si="161"/>
        <v>0.91135123184115785</v>
      </c>
      <c r="AM149" t="str">
        <f t="shared" si="143"/>
        <v>1+178.471731599575i</v>
      </c>
      <c r="AN149">
        <f t="shared" si="162"/>
        <v>178.47453314170832</v>
      </c>
      <c r="AO149">
        <f t="shared" si="163"/>
        <v>1.5651932571870701</v>
      </c>
      <c r="AP149" t="str">
        <f t="shared" si="144"/>
        <v>1+1.20589007837551i</v>
      </c>
      <c r="AQ149">
        <f t="shared" si="164"/>
        <v>1.5665793567912523</v>
      </c>
      <c r="AR149">
        <f t="shared" si="165"/>
        <v>0.87846504001336756</v>
      </c>
      <c r="AS149" s="42" t="str">
        <f t="shared" si="166"/>
        <v>-0.134087905277573+0.00516349446701575i</v>
      </c>
      <c r="AT149">
        <f t="shared" si="167"/>
        <v>-17.445772545898347</v>
      </c>
      <c r="AU149" s="44">
        <f t="shared" si="168"/>
        <v>177.79472776316345</v>
      </c>
      <c r="AV149" s="42" t="str">
        <f t="shared" si="145"/>
        <v>0.013140786134397+2.66722723504506i</v>
      </c>
      <c r="AW149" s="20">
        <f t="shared" si="169"/>
        <v>8.5213057565377817</v>
      </c>
      <c r="AX149" s="44">
        <f t="shared" si="170"/>
        <v>89.717719779033189</v>
      </c>
    </row>
    <row r="150" spans="14:50" x14ac:dyDescent="0.3">
      <c r="N150" s="8">
        <v>32</v>
      </c>
      <c r="O150" s="35">
        <f t="shared" si="135"/>
        <v>208.92961308540396</v>
      </c>
      <c r="P150" s="34" t="str">
        <f t="shared" si="136"/>
        <v>545.10556621881</v>
      </c>
      <c r="Q150" s="4" t="str">
        <f t="shared" si="137"/>
        <v>1+28.0438289417941i</v>
      </c>
      <c r="R150" s="4">
        <f t="shared" si="146"/>
        <v>28.061652512220448</v>
      </c>
      <c r="S150" s="4">
        <f t="shared" si="147"/>
        <v>1.5351529600134131</v>
      </c>
      <c r="T150" s="4" t="str">
        <f t="shared" si="138"/>
        <v>1+0.000656371737586465i</v>
      </c>
      <c r="U150" s="4">
        <f t="shared" si="148"/>
        <v>1.0000002154119059</v>
      </c>
      <c r="V150" s="4">
        <f t="shared" si="149"/>
        <v>6.5637164332628796E-4</v>
      </c>
      <c r="W150" t="str">
        <f t="shared" si="139"/>
        <v>1-0.000681838961004818i</v>
      </c>
      <c r="X150" s="4">
        <f t="shared" si="150"/>
        <v>1.0000002324521573</v>
      </c>
      <c r="Y150" s="4">
        <f t="shared" si="151"/>
        <v>-6.8183885534154351E-4</v>
      </c>
      <c r="Z150" t="str">
        <f t="shared" si="140"/>
        <v>0.999997206298674+0.00295266112206518i</v>
      </c>
      <c r="AA150" s="4">
        <f t="shared" si="152"/>
        <v>1.0000015654052019</v>
      </c>
      <c r="AB150" s="4">
        <f t="shared" si="153"/>
        <v>2.9526607902768415E-3</v>
      </c>
      <c r="AC150" s="48" t="str">
        <f t="shared" si="154"/>
        <v>0.634417990614229-19.4148995434269i</v>
      </c>
      <c r="AD150" s="20">
        <f t="shared" si="155"/>
        <v>25.767337779088134</v>
      </c>
      <c r="AE150" s="44">
        <f t="shared" si="156"/>
        <v>-88.128419681165269</v>
      </c>
      <c r="AF150" t="str">
        <f t="shared" si="141"/>
        <v>-0.979317078436135</v>
      </c>
      <c r="AG150" t="str">
        <f t="shared" si="157"/>
        <v>1312.74347517293i</v>
      </c>
      <c r="AH150">
        <f t="shared" si="158"/>
        <v>1312.7434751729299</v>
      </c>
      <c r="AI150">
        <f t="shared" si="159"/>
        <v>1.5707963267948966</v>
      </c>
      <c r="AJ150" t="str">
        <f t="shared" si="142"/>
        <v>0.973325144480031+1.28638358619145i</v>
      </c>
      <c r="AK150">
        <f t="shared" si="160"/>
        <v>1.6131164148008192</v>
      </c>
      <c r="AL150">
        <f t="shared" si="161"/>
        <v>0.92306118739269816</v>
      </c>
      <c r="AM150" t="str">
        <f t="shared" si="143"/>
        <v>1+182.628872266058i</v>
      </c>
      <c r="AN150">
        <f t="shared" si="162"/>
        <v>182.63161003827386</v>
      </c>
      <c r="AO150">
        <f t="shared" si="163"/>
        <v>1.5653207960435986</v>
      </c>
      <c r="AP150" t="str">
        <f t="shared" si="144"/>
        <v>1+1.23397886666256i</v>
      </c>
      <c r="AQ150">
        <f t="shared" si="164"/>
        <v>1.5883021889331439</v>
      </c>
      <c r="AR150">
        <f t="shared" si="165"/>
        <v>0.88975407178918009</v>
      </c>
      <c r="AS150" s="42" t="str">
        <f t="shared" si="166"/>
        <v>-0.134047938646822+0.00520134182907779i</v>
      </c>
      <c r="AT150">
        <f t="shared" si="167"/>
        <v>-17.448263367948382</v>
      </c>
      <c r="AU150" s="44">
        <f t="shared" si="168"/>
        <v>177.77791804552055</v>
      </c>
      <c r="AV150" s="42" t="str">
        <f t="shared" si="145"/>
        <v>0.0159411052202734+2.6058270876632i</v>
      </c>
      <c r="AW150" s="20">
        <f t="shared" si="169"/>
        <v>8.3190744111397397</v>
      </c>
      <c r="AX150" s="44">
        <f t="shared" si="170"/>
        <v>89.649498364355296</v>
      </c>
    </row>
    <row r="151" spans="14:50" x14ac:dyDescent="0.3">
      <c r="N151" s="8">
        <v>33</v>
      </c>
      <c r="O151" s="35">
        <f t="shared" si="135"/>
        <v>213.79620895022339</v>
      </c>
      <c r="P151" s="34" t="str">
        <f t="shared" si="136"/>
        <v>545.10556621881</v>
      </c>
      <c r="Q151" s="4" t="str">
        <f t="shared" si="137"/>
        <v>1+28.697053632858i</v>
      </c>
      <c r="R151" s="4">
        <f t="shared" si="146"/>
        <v>28.714471738256456</v>
      </c>
      <c r="S151" s="4">
        <f t="shared" si="147"/>
        <v>1.5359636383474182</v>
      </c>
      <c r="T151" s="4" t="str">
        <f t="shared" si="138"/>
        <v>1+0.00067166059940337i</v>
      </c>
      <c r="U151" s="4">
        <f t="shared" si="148"/>
        <v>1.0000002255639548</v>
      </c>
      <c r="V151" s="4">
        <f t="shared" si="149"/>
        <v>6.7166049840177182E-4</v>
      </c>
      <c r="W151" t="str">
        <f t="shared" si="139"/>
        <v>1-0.000697721030660219i</v>
      </c>
      <c r="X151" s="4">
        <f t="shared" si="150"/>
        <v>1.0000002434072888</v>
      </c>
      <c r="Y151" s="4">
        <f t="shared" si="151"/>
        <v>-6.9772091743998215E-4</v>
      </c>
      <c r="Z151" t="str">
        <f t="shared" si="140"/>
        <v>0.999997074635587+0.00302143743478912i</v>
      </c>
      <c r="AA151" s="4">
        <f t="shared" si="152"/>
        <v>1.0000016391806086</v>
      </c>
      <c r="AB151" s="4">
        <f t="shared" si="153"/>
        <v>3.0214370792713079E-3</v>
      </c>
      <c r="AC151" s="48" t="str">
        <f t="shared" si="154"/>
        <v>0.603296731009123-18.97404198037i</v>
      </c>
      <c r="AD151" s="20">
        <f t="shared" si="155"/>
        <v>25.567585551636274</v>
      </c>
      <c r="AE151" s="44">
        <f t="shared" si="156"/>
        <v>-88.178842707595194</v>
      </c>
      <c r="AF151" t="str">
        <f t="shared" si="141"/>
        <v>-0.979317078436135</v>
      </c>
      <c r="AG151" t="str">
        <f t="shared" si="157"/>
        <v>1343.32119880674i</v>
      </c>
      <c r="AH151">
        <f t="shared" si="158"/>
        <v>1343.3211988067401</v>
      </c>
      <c r="AI151">
        <f t="shared" si="159"/>
        <v>1.5707963267948966</v>
      </c>
      <c r="AJ151" t="str">
        <f t="shared" si="142"/>
        <v>0.972067997269908+1.3163473091347i</v>
      </c>
      <c r="AK151">
        <f t="shared" si="160"/>
        <v>1.636363782776463</v>
      </c>
      <c r="AL151">
        <f t="shared" si="161"/>
        <v>0.93472272253639155</v>
      </c>
      <c r="AM151" t="str">
        <f t="shared" si="143"/>
        <v>1+186.882845177994i</v>
      </c>
      <c r="AN151">
        <f t="shared" si="162"/>
        <v>186.88552063180842</v>
      </c>
      <c r="AO151">
        <f t="shared" si="163"/>
        <v>1.5654454319334443</v>
      </c>
      <c r="AP151" t="str">
        <f t="shared" si="144"/>
        <v>1+1.26272192687834i</v>
      </c>
      <c r="AQ151">
        <f t="shared" si="164"/>
        <v>1.6107348213220412</v>
      </c>
      <c r="AR151">
        <f t="shared" si="165"/>
        <v>0.90098937920316302</v>
      </c>
      <c r="AS151" s="42" t="str">
        <f t="shared" si="166"/>
        <v>-0.13400824191153+0.00524027862957906i</v>
      </c>
      <c r="AT151">
        <f t="shared" si="167"/>
        <v>-17.450733932556986</v>
      </c>
      <c r="AU151" s="44">
        <f t="shared" si="168"/>
        <v>177.76063810596085</v>
      </c>
      <c r="AV151" s="42" t="str">
        <f t="shared" si="145"/>
        <v>0.0185825324329631+2.54583945071175i</v>
      </c>
      <c r="AW151" s="20">
        <f t="shared" si="169"/>
        <v>8.1168516190792843</v>
      </c>
      <c r="AX151" s="44">
        <f t="shared" si="170"/>
        <v>89.581795398365657</v>
      </c>
    </row>
    <row r="152" spans="14:50" x14ac:dyDescent="0.3">
      <c r="N152" s="8">
        <v>34</v>
      </c>
      <c r="O152" s="35">
        <f t="shared" si="135"/>
        <v>218.77616239495524</v>
      </c>
      <c r="P152" s="34" t="str">
        <f t="shared" si="136"/>
        <v>545.10556621881</v>
      </c>
      <c r="Q152" s="4" t="str">
        <f t="shared" si="137"/>
        <v>1+29.3654938816086i</v>
      </c>
      <c r="R152" s="4">
        <f t="shared" si="146"/>
        <v>29.38251573488547</v>
      </c>
      <c r="S152" s="4">
        <f t="shared" si="147"/>
        <v>1.5367559076504476</v>
      </c>
      <c r="T152" s="4" t="str">
        <f t="shared" si="138"/>
        <v>1+0.00068730558456056i</v>
      </c>
      <c r="U152" s="4">
        <f t="shared" si="148"/>
        <v>1.0000002361944553</v>
      </c>
      <c r="V152" s="4">
        <f t="shared" si="149"/>
        <v>6.8730547633539911E-4</v>
      </c>
      <c r="W152" t="str">
        <f t="shared" si="139"/>
        <v>1-0.000713973041241508i</v>
      </c>
      <c r="X152" s="4">
        <f t="shared" si="150"/>
        <v>1.0000002548787192</v>
      </c>
      <c r="Y152" s="4">
        <f t="shared" si="151"/>
        <v>-7.1397291992384001E-4</v>
      </c>
      <c r="Z152" t="str">
        <f t="shared" si="140"/>
        <v>0.999996936767409+0.00309181575363445i</v>
      </c>
      <c r="AA152" s="4">
        <f t="shared" si="152"/>
        <v>1.0000017164329549</v>
      </c>
      <c r="AB152" s="4">
        <f t="shared" si="153"/>
        <v>3.0918153726900272E-3</v>
      </c>
      <c r="AC152" s="48" t="str">
        <f t="shared" si="154"/>
        <v>0.573572838197114-18.5431471738218i</v>
      </c>
      <c r="AD152" s="20">
        <f t="shared" si="155"/>
        <v>25.367822143678641</v>
      </c>
      <c r="AE152" s="44">
        <f t="shared" si="156"/>
        <v>-88.228303554023569</v>
      </c>
      <c r="AF152" t="str">
        <f t="shared" si="141"/>
        <v>-0.979317078436135</v>
      </c>
      <c r="AG152" t="str">
        <f t="shared" si="157"/>
        <v>1374.61116912112i</v>
      </c>
      <c r="AH152">
        <f t="shared" si="158"/>
        <v>1374.6111691211199</v>
      </c>
      <c r="AI152">
        <f t="shared" si="159"/>
        <v>1.5707963267948966</v>
      </c>
      <c r="AJ152" t="str">
        <f t="shared" si="142"/>
        <v>0.970751602537085+1.34700897684517i</v>
      </c>
      <c r="AK152">
        <f t="shared" si="160"/>
        <v>1.6603589544221427</v>
      </c>
      <c r="AL152">
        <f t="shared" si="161"/>
        <v>0.94633086853369952</v>
      </c>
      <c r="AM152" t="str">
        <f t="shared" si="143"/>
        <v>1+191.23590584813i</v>
      </c>
      <c r="AN152">
        <f t="shared" si="162"/>
        <v>191.23852040202269</v>
      </c>
      <c r="AO152">
        <f t="shared" si="163"/>
        <v>1.5655672309247084</v>
      </c>
      <c r="AP152" t="str">
        <f t="shared" si="144"/>
        <v>1+1.29213449897386i</v>
      </c>
      <c r="AQ152">
        <f t="shared" si="164"/>
        <v>1.633894599855948</v>
      </c>
      <c r="AR152">
        <f t="shared" si="165"/>
        <v>0.91216557395381459</v>
      </c>
      <c r="AS152" s="42" t="str">
        <f t="shared" si="166"/>
        <v>-0.133968841455025+0.0052803526892017i</v>
      </c>
      <c r="AT152">
        <f t="shared" si="167"/>
        <v>-17.453182328434696</v>
      </c>
      <c r="AU152" s="44">
        <f t="shared" si="168"/>
        <v>177.74286769072029</v>
      </c>
      <c r="AV152" s="42" t="str">
        <f t="shared" si="145"/>
        <v>0.021073468422215+2.48723261068555i</v>
      </c>
      <c r="AW152" s="20">
        <f t="shared" si="169"/>
        <v>7.9146398152439277</v>
      </c>
      <c r="AX152" s="44">
        <f t="shared" si="170"/>
        <v>89.51456413669672</v>
      </c>
    </row>
    <row r="153" spans="14:50" x14ac:dyDescent="0.3">
      <c r="N153" s="8">
        <v>35</v>
      </c>
      <c r="O153" s="35">
        <f t="shared" si="135"/>
        <v>223.87211385683412</v>
      </c>
      <c r="P153" s="34" t="str">
        <f t="shared" si="136"/>
        <v>545.10556621881</v>
      </c>
      <c r="Q153" s="4" t="str">
        <f t="shared" si="137"/>
        <v>1+30.0495041039135i</v>
      </c>
      <c r="R153" s="4">
        <f t="shared" si="146"/>
        <v>30.066138709370616</v>
      </c>
      <c r="S153" s="4">
        <f t="shared" si="147"/>
        <v>1.5375301840134992</v>
      </c>
      <c r="T153" s="4" t="str">
        <f t="shared" si="138"/>
        <v>1+0.00070331498823625i</v>
      </c>
      <c r="U153" s="4">
        <f t="shared" si="148"/>
        <v>1.0000002473259557</v>
      </c>
      <c r="V153" s="4">
        <f t="shared" si="149"/>
        <v>7.0331487227090234E-4</v>
      </c>
      <c r="W153" t="str">
        <f t="shared" si="139"/>
        <v>1-0.000730603609779814i</v>
      </c>
      <c r="X153" s="4">
        <f t="shared" si="150"/>
        <v>1.0000002668907817</v>
      </c>
      <c r="Y153" s="4">
        <f t="shared" si="151"/>
        <v>-7.3060347978559257E-4</v>
      </c>
      <c r="Z153" t="str">
        <f t="shared" si="140"/>
        <v>0.999996792401705+0.00316383339411737i</v>
      </c>
      <c r="AA153" s="4">
        <f t="shared" si="152"/>
        <v>1.0000017973261071</v>
      </c>
      <c r="AB153" s="4">
        <f t="shared" si="153"/>
        <v>3.1638329859278122E-3</v>
      </c>
      <c r="AC153" s="48" t="str">
        <f t="shared" si="154"/>
        <v>0.54518371208681-18.1219931525562i</v>
      </c>
      <c r="AD153" s="20">
        <f t="shared" si="155"/>
        <v>25.168048055270297</v>
      </c>
      <c r="AE153" s="44">
        <f t="shared" si="156"/>
        <v>-88.276828217163668</v>
      </c>
      <c r="AF153" t="str">
        <f t="shared" si="141"/>
        <v>-0.979317078436135</v>
      </c>
      <c r="AG153" t="str">
        <f t="shared" si="157"/>
        <v>1406.6299764725i</v>
      </c>
      <c r="AH153">
        <f t="shared" si="158"/>
        <v>1406.6299764724999</v>
      </c>
      <c r="AI153">
        <f t="shared" si="159"/>
        <v>1.5707963267948966</v>
      </c>
      <c r="AJ153" t="str">
        <f t="shared" si="142"/>
        <v>0.969373168031842+1.37838484654493i</v>
      </c>
      <c r="AK153">
        <f t="shared" si="160"/>
        <v>1.685119913859183</v>
      </c>
      <c r="AL153">
        <f t="shared" si="161"/>
        <v>0.95788082115729234</v>
      </c>
      <c r="AM153" t="str">
        <f t="shared" si="143"/>
        <v>1+195.690362326854i</v>
      </c>
      <c r="AN153">
        <f t="shared" si="162"/>
        <v>195.69291736702024</v>
      </c>
      <c r="AO153">
        <f t="shared" si="163"/>
        <v>1.5656862575823645</v>
      </c>
      <c r="AP153" t="str">
        <f t="shared" si="144"/>
        <v>1+1.32223217788415i</v>
      </c>
      <c r="AQ153">
        <f t="shared" si="164"/>
        <v>1.6577991230038283</v>
      </c>
      <c r="AR153">
        <f t="shared" si="165"/>
        <v>0.92327741445869116</v>
      </c>
      <c r="AS153" s="42" t="str">
        <f t="shared" si="166"/>
        <v>-0.133929761748172+0.00532161434056423i</v>
      </c>
      <c r="AT153">
        <f t="shared" si="167"/>
        <v>-17.455606754073745</v>
      </c>
      <c r="AU153" s="44">
        <f t="shared" si="168"/>
        <v>177.72458544049755</v>
      </c>
      <c r="AV153" s="42" t="str">
        <f t="shared" si="145"/>
        <v>0.0234219339714794+2.42997548278434i</v>
      </c>
      <c r="AW153" s="20">
        <f t="shared" si="169"/>
        <v>7.7124413011965558</v>
      </c>
      <c r="AX153" s="44">
        <f t="shared" si="170"/>
        <v>89.447757223333895</v>
      </c>
    </row>
    <row r="154" spans="14:50" x14ac:dyDescent="0.3">
      <c r="N154" s="8">
        <v>36</v>
      </c>
      <c r="O154" s="35">
        <f t="shared" si="135"/>
        <v>229.08676527677744</v>
      </c>
      <c r="P154" s="34" t="str">
        <f t="shared" si="136"/>
        <v>545.10556621881</v>
      </c>
      <c r="Q154" s="4" t="str">
        <f t="shared" si="137"/>
        <v>1+30.7494469710464i</v>
      </c>
      <c r="R154" s="4">
        <f t="shared" si="146"/>
        <v>30.765703129055815</v>
      </c>
      <c r="S154" s="4">
        <f t="shared" si="147"/>
        <v>1.5382868742525737</v>
      </c>
      <c r="T154" s="4" t="str">
        <f t="shared" si="138"/>
        <v>1+0.000719697298828175i</v>
      </c>
      <c r="U154" s="4">
        <f t="shared" si="148"/>
        <v>1.0000002589820673</v>
      </c>
      <c r="V154" s="4">
        <f t="shared" si="149"/>
        <v>7.1969717456906801E-4</v>
      </c>
      <c r="W154" t="str">
        <f t="shared" si="139"/>
        <v>1-0.000747621554022706i</v>
      </c>
      <c r="X154" s="4">
        <f t="shared" si="150"/>
        <v>1.0000002794689551</v>
      </c>
      <c r="Y154" s="4">
        <f t="shared" si="151"/>
        <v>-7.4762141473139036E-4</v>
      </c>
      <c r="Z154" t="str">
        <f t="shared" si="140"/>
        <v>0.999996641232254+0.00323752854094414i</v>
      </c>
      <c r="AA154" s="4">
        <f t="shared" si="152"/>
        <v>1.0000018820316503</v>
      </c>
      <c r="AB154" s="4">
        <f t="shared" si="153"/>
        <v>3.2375281035608668E-3</v>
      </c>
      <c r="AC154" s="48" t="str">
        <f t="shared" si="154"/>
        <v>0.518069544450372-17.7103626781532i</v>
      </c>
      <c r="AD154" s="20">
        <f t="shared" si="155"/>
        <v>24.968263763968892</v>
      </c>
      <c r="AE154" s="44">
        <f t="shared" si="156"/>
        <v>-88.32444221254049</v>
      </c>
      <c r="AF154" t="str">
        <f t="shared" si="141"/>
        <v>-0.979317078436135</v>
      </c>
      <c r="AG154" t="str">
        <f t="shared" si="157"/>
        <v>1439.39459765635i</v>
      </c>
      <c r="AH154">
        <f t="shared" si="158"/>
        <v>1439.39459765635</v>
      </c>
      <c r="AI154">
        <f t="shared" si="159"/>
        <v>1.5707963267948966</v>
      </c>
      <c r="AJ154" t="str">
        <f t="shared" si="142"/>
        <v>0.967929769909784+1.41049155413541i</v>
      </c>
      <c r="AK154">
        <f t="shared" si="160"/>
        <v>1.7106649186105769</v>
      </c>
      <c r="AL154">
        <f t="shared" si="161"/>
        <v>0.96936795072173776</v>
      </c>
      <c r="AM154" t="str">
        <f t="shared" si="143"/>
        <v>1+200.248576425951i</v>
      </c>
      <c r="AN154">
        <f t="shared" si="162"/>
        <v>200.25107330703605</v>
      </c>
      <c r="AO154">
        <f t="shared" si="163"/>
        <v>1.565802575002424</v>
      </c>
      <c r="AP154" t="str">
        <f t="shared" si="144"/>
        <v>1+1.35303092179697i</v>
      </c>
      <c r="AQ154">
        <f t="shared" si="164"/>
        <v>1.682466247904771</v>
      </c>
      <c r="AR154">
        <f t="shared" si="165"/>
        <v>0.93431981673646658</v>
      </c>
      <c r="AS154" s="42" t="str">
        <f t="shared" si="166"/>
        <v>-0.133891025251933+0.00536411630292517i</v>
      </c>
      <c r="AT154">
        <f t="shared" si="167"/>
        <v>-17.458005524048914</v>
      </c>
      <c r="AU154" s="44">
        <f t="shared" si="168"/>
        <v>177.7057689411904</v>
      </c>
      <c r="AV154" s="42" t="str">
        <f t="shared" si="145"/>
        <v>0.0256355827143369+2.37403760185094i</v>
      </c>
      <c r="AW154" s="20">
        <f t="shared" si="169"/>
        <v>7.5102582399199918</v>
      </c>
      <c r="AX154" s="44">
        <f t="shared" si="170"/>
        <v>89.381326728649924</v>
      </c>
    </row>
    <row r="155" spans="14:50" x14ac:dyDescent="0.3">
      <c r="N155" s="8">
        <v>37</v>
      </c>
      <c r="O155" s="35">
        <f t="shared" si="135"/>
        <v>234.42288153199232</v>
      </c>
      <c r="P155" s="34" t="str">
        <f t="shared" si="136"/>
        <v>545.10556621881</v>
      </c>
      <c r="Q155" s="4" t="str">
        <f t="shared" si="137"/>
        <v>1+31.4656936019803i</v>
      </c>
      <c r="R155" s="4">
        <f t="shared" si="146"/>
        <v>31.48157991355745</v>
      </c>
      <c r="S155" s="4">
        <f t="shared" si="147"/>
        <v>1.539026376106744</v>
      </c>
      <c r="T155" s="4" t="str">
        <f t="shared" si="138"/>
        <v>1+0.000736461202454255i</v>
      </c>
      <c r="U155" s="4">
        <f t="shared" si="148"/>
        <v>1.0000002711875147</v>
      </c>
      <c r="V155" s="4">
        <f t="shared" si="149"/>
        <v>7.3646106930822484E-4</v>
      </c>
      <c r="W155" t="str">
        <f t="shared" si="139"/>
        <v>1-0.000765035897109478i</v>
      </c>
      <c r="X155" s="4">
        <f t="shared" si="150"/>
        <v>1.0000002926399192</v>
      </c>
      <c r="Y155" s="4">
        <f t="shared" si="151"/>
        <v>-7.6503574785614654E-4</v>
      </c>
      <c r="Z155" t="str">
        <f t="shared" si="140"/>
        <v>0.999996482938407+0.00331294026825705i</v>
      </c>
      <c r="AA155" s="4">
        <f t="shared" si="152"/>
        <v>1.0000019707292607</v>
      </c>
      <c r="AB155" s="4">
        <f t="shared" si="153"/>
        <v>3.3129397995921091E-3</v>
      </c>
      <c r="AC155" s="48" t="str">
        <f t="shared" si="154"/>
        <v>0.492173195513843-17.3080431584664i</v>
      </c>
      <c r="AD155" s="20">
        <f t="shared" si="155"/>
        <v>24.768469725833459</v>
      </c>
      <c r="AE155" s="44">
        <f t="shared" si="156"/>
        <v>-88.371170587009388</v>
      </c>
      <c r="AF155" t="str">
        <f t="shared" si="141"/>
        <v>-0.979317078436135</v>
      </c>
      <c r="AG155" t="str">
        <f t="shared" si="157"/>
        <v>1472.92240490851i</v>
      </c>
      <c r="AH155">
        <f t="shared" si="158"/>
        <v>1472.9224049085101</v>
      </c>
      <c r="AI155">
        <f t="shared" si="159"/>
        <v>1.5707963267948966</v>
      </c>
      <c r="AJ155" t="str">
        <f t="shared" si="142"/>
        <v>0.966418346529974+1.44334612301795i</v>
      </c>
      <c r="AK155">
        <f t="shared" si="160"/>
        <v>1.7370125075372016</v>
      </c>
      <c r="AL155">
        <f t="shared" si="161"/>
        <v>0.98078781117342451</v>
      </c>
      <c r="AM155" t="str">
        <f t="shared" si="143"/>
        <v>1+204.912964970872i</v>
      </c>
      <c r="AN155">
        <f t="shared" si="162"/>
        <v>204.91540501668931</v>
      </c>
      <c r="AO155">
        <f t="shared" si="163"/>
        <v>1.5659162448453254</v>
      </c>
      <c r="AP155" t="str">
        <f t="shared" si="144"/>
        <v>1+1.384547060614i</v>
      </c>
      <c r="AQ155">
        <f t="shared" si="164"/>
        <v>1.7079140970947184</v>
      </c>
      <c r="AR155">
        <f t="shared" si="165"/>
        <v>0.9452878643838597</v>
      </c>
      <c r="AS155" s="42" t="str">
        <f t="shared" si="166"/>
        <v>-0.133852652332403+0.00540791355278758i</v>
      </c>
      <c r="AT155">
        <f t="shared" si="167"/>
        <v>-17.46037707451093</v>
      </c>
      <c r="AU155" s="44">
        <f t="shared" si="168"/>
        <v>177.68639477663072</v>
      </c>
      <c r="AV155" s="42" t="str">
        <f t="shared" si="145"/>
        <v>0.0277217135424606+2.31938911353877i</v>
      </c>
      <c r="AW155" s="20">
        <f t="shared" si="169"/>
        <v>7.3080926513225393</v>
      </c>
      <c r="AX155" s="44">
        <f t="shared" si="170"/>
        <v>89.315224189621347</v>
      </c>
    </row>
    <row r="156" spans="14:50" x14ac:dyDescent="0.3">
      <c r="N156" s="8">
        <v>38</v>
      </c>
      <c r="O156" s="35">
        <f t="shared" si="135"/>
        <v>239.88329190194912</v>
      </c>
      <c r="P156" s="34" t="str">
        <f t="shared" si="136"/>
        <v>545.10556621881</v>
      </c>
      <c r="Q156" s="4" t="str">
        <f t="shared" si="137"/>
        <v>1+32.1986237601599i</v>
      </c>
      <c r="R156" s="4">
        <f t="shared" si="146"/>
        <v>32.214148631437297</v>
      </c>
      <c r="S156" s="4">
        <f t="shared" si="147"/>
        <v>1.5397490784325827</v>
      </c>
      <c r="T156" s="4" t="str">
        <f t="shared" si="138"/>
        <v>1+0.0007536155875581i</v>
      </c>
      <c r="U156" s="4">
        <f t="shared" si="148"/>
        <v>1.0000002839681865</v>
      </c>
      <c r="V156" s="4">
        <f t="shared" si="149"/>
        <v>7.5361544488956043E-4</v>
      </c>
      <c r="W156" t="str">
        <f t="shared" si="139"/>
        <v>1-0.000782855872355352i</v>
      </c>
      <c r="X156" s="4">
        <f t="shared" si="150"/>
        <v>1.0000003064316116</v>
      </c>
      <c r="Y156" s="4">
        <f t="shared" si="151"/>
        <v>-7.8285571242752859E-4</v>
      </c>
      <c r="Z156" t="str">
        <f t="shared" si="140"/>
        <v>0.999996317184401+0.00339010856035218i</v>
      </c>
      <c r="AA156" s="4">
        <f t="shared" si="152"/>
        <v>1.0000020636070786</v>
      </c>
      <c r="AB156" s="4">
        <f t="shared" si="153"/>
        <v>3.3901080581682898E-3</v>
      </c>
      <c r="AC156" s="48" t="str">
        <f t="shared" si="154"/>
        <v>0.467440075905399-16.9148265616623i</v>
      </c>
      <c r="AD156" s="20">
        <f t="shared" si="155"/>
        <v>24.568666376379582</v>
      </c>
      <c r="AE156" s="44">
        <f t="shared" si="156"/>
        <v>-88.417037931093049</v>
      </c>
      <c r="AF156" t="str">
        <f t="shared" si="141"/>
        <v>-0.979317078436135</v>
      </c>
      <c r="AG156" t="str">
        <f t="shared" si="157"/>
        <v>1507.2311751162i</v>
      </c>
      <c r="AH156">
        <f t="shared" si="158"/>
        <v>1507.2311751161999</v>
      </c>
      <c r="AI156">
        <f t="shared" si="159"/>
        <v>1.5707963267948966</v>
      </c>
      <c r="AJ156" t="str">
        <f t="shared" si="142"/>
        <v>0.964835691960783+1.47696597311987i</v>
      </c>
      <c r="AK156">
        <f t="shared" si="160"/>
        <v>1.7641815094358537</v>
      </c>
      <c r="AL156">
        <f t="shared" si="161"/>
        <v>0.99213614821410112</v>
      </c>
      <c r="AM156" t="str">
        <f t="shared" si="143"/>
        <v>1+209.686001082166i</v>
      </c>
      <c r="AN156">
        <f t="shared" si="162"/>
        <v>209.68838558639845</v>
      </c>
      <c r="AO156">
        <f t="shared" si="163"/>
        <v>1.5660273273685681</v>
      </c>
      <c r="AP156" t="str">
        <f t="shared" si="144"/>
        <v>1+1.41679730460923i</v>
      </c>
      <c r="AQ156">
        <f t="shared" si="164"/>
        <v>1.7341610658609479</v>
      </c>
      <c r="AR156">
        <f t="shared" si="165"/>
        <v>0.95617681761167383</v>
      </c>
      <c r="AS156" s="42" t="str">
        <f t="shared" si="166"/>
        <v>-0.13381466118844+0.00545306319177161i</v>
      </c>
      <c r="AT156">
        <f t="shared" si="167"/>
        <v>-17.462719967858469</v>
      </c>
      <c r="AU156" s="44">
        <f t="shared" si="168"/>
        <v>177.66643858273636</v>
      </c>
      <c r="AV156" s="42" t="str">
        <f t="shared" si="145"/>
        <v>0.0296872827354218+2.26600076568234i</v>
      </c>
      <c r="AW156" s="20">
        <f t="shared" si="169"/>
        <v>7.1059464085210955</v>
      </c>
      <c r="AX156" s="44">
        <f t="shared" si="170"/>
        <v>89.249400651643327</v>
      </c>
    </row>
    <row r="157" spans="14:50" x14ac:dyDescent="0.3">
      <c r="N157" s="8">
        <v>39</v>
      </c>
      <c r="O157" s="35">
        <f t="shared" si="135"/>
        <v>245.4708915685033</v>
      </c>
      <c r="P157" s="34" t="str">
        <f t="shared" si="136"/>
        <v>545.10556621881</v>
      </c>
      <c r="Q157" s="4" t="str">
        <f t="shared" si="137"/>
        <v>1+32.9486260548561i</v>
      </c>
      <c r="R157" s="4">
        <f t="shared" si="146"/>
        <v>32.963797701459434</v>
      </c>
      <c r="S157" s="4">
        <f t="shared" si="147"/>
        <v>1.5404553613949701</v>
      </c>
      <c r="T157" s="4" t="str">
        <f t="shared" si="138"/>
        <v>1+0.000771169549621745i</v>
      </c>
      <c r="U157" s="4">
        <f t="shared" si="148"/>
        <v>1.0000002973511928</v>
      </c>
      <c r="V157" s="4">
        <f t="shared" si="149"/>
        <v>7.7116939674965314E-4</v>
      </c>
      <c r="W157" t="str">
        <f t="shared" si="139"/>
        <v>1-0.000801090928147066i</v>
      </c>
      <c r="X157" s="4">
        <f t="shared" si="150"/>
        <v>1.0000003208732862</v>
      </c>
      <c r="Y157" s="4">
        <f t="shared" si="151"/>
        <v>-8.0109075678131878E-4</v>
      </c>
      <c r="Z157" t="str">
        <f t="shared" si="140"/>
        <v>0.999996143618649+0.00346907433287937i</v>
      </c>
      <c r="AA157" s="4">
        <f t="shared" si="152"/>
        <v>1.0000021608621137</v>
      </c>
      <c r="AB157" s="4">
        <f t="shared" si="153"/>
        <v>3.4690737947792351E-3</v>
      </c>
      <c r="AC157" s="48" t="str">
        <f t="shared" si="154"/>
        <v>0.443818033737495-16.5305093309074i</v>
      </c>
      <c r="AD157" s="20">
        <f t="shared" si="155"/>
        <v>24.368854131491531</v>
      </c>
      <c r="AE157" s="44">
        <f t="shared" si="156"/>
        <v>-88.462068391139141</v>
      </c>
      <c r="AF157" t="str">
        <f t="shared" si="141"/>
        <v>-0.979317078436135</v>
      </c>
      <c r="AG157" t="str">
        <f t="shared" si="157"/>
        <v>1542.33909924349i</v>
      </c>
      <c r="AH157">
        <f t="shared" si="158"/>
        <v>1542.33909924349</v>
      </c>
      <c r="AI157">
        <f t="shared" si="159"/>
        <v>1.5707963267948966</v>
      </c>
      <c r="AJ157" t="str">
        <f t="shared" si="142"/>
        <v>0.96317844917968+1.51136893013068i</v>
      </c>
      <c r="AK157">
        <f t="shared" si="160"/>
        <v>1.7921910522956335</v>
      </c>
      <c r="AL157">
        <f t="shared" si="161"/>
        <v>1.0034089064415417</v>
      </c>
      <c r="AM157" t="str">
        <f t="shared" si="143"/>
        <v>1+214.570215486754i</v>
      </c>
      <c r="AN157">
        <f t="shared" si="162"/>
        <v>214.57254571363981</v>
      </c>
      <c r="AO157">
        <f t="shared" si="163"/>
        <v>1.5661358814586037</v>
      </c>
      <c r="AP157" t="str">
        <f t="shared" si="144"/>
        <v>1+1.44979875328888i</v>
      </c>
      <c r="AQ157">
        <f t="shared" si="164"/>
        <v>1.7612258302210966</v>
      </c>
      <c r="AR157">
        <f t="shared" si="165"/>
        <v>0.96698212131333028</v>
      </c>
      <c r="AS157" s="42" t="str">
        <f t="shared" si="166"/>
        <v>-0.133777067791839+0.00549962431310378i</v>
      </c>
      <c r="AT157">
        <f t="shared" si="167"/>
        <v>-17.4650328965858</v>
      </c>
      <c r="AU157" s="44">
        <f t="shared" si="168"/>
        <v>177.6458751025026</v>
      </c>
      <c r="AV157" s="42" t="str">
        <f t="shared" si="145"/>
        <v>0.0315389158377057+2.21384389984336i</v>
      </c>
      <c r="AW157" s="20">
        <f t="shared" si="169"/>
        <v>6.9038212349057195</v>
      </c>
      <c r="AX157" s="44">
        <f t="shared" si="170"/>
        <v>89.183806711363459</v>
      </c>
    </row>
    <row r="158" spans="14:50" x14ac:dyDescent="0.3">
      <c r="N158" s="8">
        <v>40</v>
      </c>
      <c r="O158" s="35">
        <f t="shared" si="135"/>
        <v>251.18864315095806</v>
      </c>
      <c r="P158" s="34" t="str">
        <f t="shared" si="136"/>
        <v>545.10556621881</v>
      </c>
      <c r="Q158" s="4" t="str">
        <f t="shared" si="137"/>
        <v>1+33.7160981472135i</v>
      </c>
      <c r="R158" s="4">
        <f t="shared" si="146"/>
        <v>33.730924598542117</v>
      </c>
      <c r="S158" s="4">
        <f t="shared" si="147"/>
        <v>1.5411455966543168</v>
      </c>
      <c r="T158" s="4" t="str">
        <f t="shared" si="138"/>
        <v>1+0.00078913239598824i</v>
      </c>
      <c r="U158" s="4">
        <f t="shared" si="148"/>
        <v>1.0000003113649207</v>
      </c>
      <c r="V158" s="4">
        <f t="shared" si="149"/>
        <v>7.8913223218284511E-4</v>
      </c>
      <c r="W158" t="str">
        <f t="shared" si="139"/>
        <v>1-0.000819750732952581i</v>
      </c>
      <c r="X158" s="4">
        <f t="shared" si="150"/>
        <v>1.0000003359955756</v>
      </c>
      <c r="Y158" s="4">
        <f t="shared" si="151"/>
        <v>-8.1975054933087783E-4</v>
      </c>
      <c r="Z158" t="str">
        <f t="shared" si="140"/>
        <v>0.999995961872995+0.00354987945453651i</v>
      </c>
      <c r="AA158" s="4">
        <f t="shared" si="152"/>
        <v>1.0000022627006591</v>
      </c>
      <c r="AB158" s="4">
        <f t="shared" si="153"/>
        <v>3.5498788779513776E-3</v>
      </c>
      <c r="AC158" s="48" t="str">
        <f t="shared" si="154"/>
        <v>0.421257246607447-16.1548922997755i</v>
      </c>
      <c r="AD158" s="20">
        <f t="shared" si="155"/>
        <v>24.169033388293897</v>
      </c>
      <c r="AE158" s="44">
        <f t="shared" si="156"/>
        <v>-88.50628568130108</v>
      </c>
      <c r="AF158" t="str">
        <f t="shared" si="141"/>
        <v>-0.979317078436135</v>
      </c>
      <c r="AG158" t="str">
        <f t="shared" si="157"/>
        <v>1578.26479197648i</v>
      </c>
      <c r="AH158">
        <f t="shared" si="158"/>
        <v>1578.26479197648</v>
      </c>
      <c r="AI158">
        <f t="shared" si="159"/>
        <v>1.5707963267948966</v>
      </c>
      <c r="AJ158" t="str">
        <f t="shared" si="142"/>
        <v>0.961443102952536+1.54657323495359i</v>
      </c>
      <c r="AK158">
        <f t="shared" si="160"/>
        <v>1.8210605732072211</v>
      </c>
      <c r="AL158">
        <f t="shared" si="161"/>
        <v>1.0146022354999875</v>
      </c>
      <c r="AM158" t="str">
        <f t="shared" si="143"/>
        <v>1+219.568197859768i</v>
      </c>
      <c r="AN158">
        <f t="shared" si="162"/>
        <v>219.57047504477063</v>
      </c>
      <c r="AO158">
        <f t="shared" si="163"/>
        <v>1.5662419646620087</v>
      </c>
      <c r="AP158" t="str">
        <f t="shared" si="144"/>
        <v>1+1.48356890445789i</v>
      </c>
      <c r="AQ158">
        <f t="shared" si="164"/>
        <v>1.7891273555212284</v>
      </c>
      <c r="AR158">
        <f t="shared" si="165"/>
        <v>0.9776994121487208</v>
      </c>
      <c r="AS158" s="42" t="str">
        <f t="shared" si="166"/>
        <v>-0.133739885839854+0.00554765786803191i</v>
      </c>
      <c r="AT158">
        <f t="shared" si="167"/>
        <v>-17.46731468631269</v>
      </c>
      <c r="AU158" s="44">
        <f t="shared" si="168"/>
        <v>177.62467824126691</v>
      </c>
      <c r="AV158" s="42" t="str">
        <f t="shared" si="145"/>
        <v>0.0332829193035665+2.16289044300572i</v>
      </c>
      <c r="AW158" s="20">
        <f t="shared" si="169"/>
        <v>6.7017187019812097</v>
      </c>
      <c r="AX158" s="44">
        <f t="shared" si="170"/>
        <v>89.118392559965841</v>
      </c>
    </row>
    <row r="159" spans="14:50" x14ac:dyDescent="0.3">
      <c r="N159" s="8">
        <v>41</v>
      </c>
      <c r="O159" s="35">
        <f t="shared" si="135"/>
        <v>257.03957827688663</v>
      </c>
      <c r="P159" s="34" t="str">
        <f t="shared" si="136"/>
        <v>545.10556621881</v>
      </c>
      <c r="Q159" s="4" t="str">
        <f t="shared" si="137"/>
        <v>1+34.5014469610936i</v>
      </c>
      <c r="R159" s="4">
        <f t="shared" si="146"/>
        <v>34.515936064507287</v>
      </c>
      <c r="S159" s="4">
        <f t="shared" si="147"/>
        <v>1.5418201475502273</v>
      </c>
      <c r="T159" s="4" t="str">
        <f t="shared" si="138"/>
        <v>1+0.000807513650796485i</v>
      </c>
      <c r="U159" s="4">
        <f t="shared" si="148"/>
        <v>1.0000003260390951</v>
      </c>
      <c r="V159" s="4">
        <f t="shared" si="149"/>
        <v>8.0751347527584509E-4</v>
      </c>
      <c r="W159" t="str">
        <f t="shared" si="139"/>
        <v>1-0.000838845180447386i</v>
      </c>
      <c r="X159" s="4">
        <f t="shared" si="150"/>
        <v>1.0000003518305565</v>
      </c>
      <c r="Y159" s="4">
        <f t="shared" si="151"/>
        <v>-8.388449836931901E-4</v>
      </c>
      <c r="Z159" t="str">
        <f t="shared" si="140"/>
        <v>0.999995771561933+0.00363256676926862i</v>
      </c>
      <c r="AA159" s="4">
        <f t="shared" si="152"/>
        <v>1.0000023693387325</v>
      </c>
      <c r="AB159" s="4">
        <f t="shared" si="153"/>
        <v>3.6325661514460118E-3</v>
      </c>
      <c r="AC159" s="48" t="str">
        <f t="shared" si="154"/>
        <v>0.399710118309535-15.7877806084392i</v>
      </c>
      <c r="AD159" s="20">
        <f t="shared" si="155"/>
        <v>23.969204525984527</v>
      </c>
      <c r="AE159" s="44">
        <f t="shared" si="156"/>
        <v>-88.549713095343918</v>
      </c>
      <c r="AF159" t="str">
        <f t="shared" si="141"/>
        <v>-0.979317078436135</v>
      </c>
      <c r="AG159" t="str">
        <f t="shared" si="157"/>
        <v>1615.02730159297i</v>
      </c>
      <c r="AH159">
        <f t="shared" si="158"/>
        <v>1615.0273015929699</v>
      </c>
      <c r="AI159">
        <f t="shared" si="159"/>
        <v>1.5707963267948966</v>
      </c>
      <c r="AJ159" t="str">
        <f t="shared" si="142"/>
        <v>0.959625972377341+1.58259755337698i</v>
      </c>
      <c r="AK159">
        <f t="shared" si="160"/>
        <v>1.8508098289170503</v>
      </c>
      <c r="AL159">
        <f t="shared" si="161"/>
        <v>1.0257124952414807</v>
      </c>
      <c r="AM159" t="str">
        <f t="shared" si="143"/>
        <v>1+224.682598197614i</v>
      </c>
      <c r="AN159">
        <f t="shared" si="162"/>
        <v>224.68482354807691</v>
      </c>
      <c r="AO159">
        <f t="shared" si="163"/>
        <v>1.5663456332159456</v>
      </c>
      <c r="AP159" t="str">
        <f t="shared" si="144"/>
        <v>1+1.5181256634974i</v>
      </c>
      <c r="AQ159">
        <f t="shared" si="164"/>
        <v>1.8178849056443098</v>
      </c>
      <c r="AR159">
        <f t="shared" si="165"/>
        <v>0.98832452463497988</v>
      </c>
      <c r="AS159" s="42" t="str">
        <f t="shared" si="166"/>
        <v>-0.133703126719724+0.00559722653340232i</v>
      </c>
      <c r="AT159">
        <f t="shared" si="167"/>
        <v>-17.46956429801293</v>
      </c>
      <c r="AU159" s="44">
        <f t="shared" si="168"/>
        <v>177.60282112170847</v>
      </c>
      <c r="AV159" s="42" t="str">
        <f t="shared" si="145"/>
        <v>0.0349252919255949+2.11311289939322i</v>
      </c>
      <c r="AW159" s="20">
        <f t="shared" si="169"/>
        <v>6.4996402279716001</v>
      </c>
      <c r="AX159" s="44">
        <f t="shared" si="170"/>
        <v>89.053108026364541</v>
      </c>
    </row>
    <row r="160" spans="14:50" x14ac:dyDescent="0.3">
      <c r="N160" s="8">
        <v>42</v>
      </c>
      <c r="O160" s="35">
        <f t="shared" si="135"/>
        <v>263.02679918953817</v>
      </c>
      <c r="P160" s="34" t="str">
        <f t="shared" si="136"/>
        <v>545.10556621881</v>
      </c>
      <c r="Q160" s="4" t="str">
        <f t="shared" si="137"/>
        <v>1+35.3050888988331i</v>
      </c>
      <c r="R160" s="4">
        <f t="shared" si="146"/>
        <v>35.319248323747033</v>
      </c>
      <c r="S160" s="4">
        <f t="shared" si="147"/>
        <v>1.5424793692816432</v>
      </c>
      <c r="T160" s="4" t="str">
        <f t="shared" si="138"/>
        <v>1+0.00082632306003109i</v>
      </c>
      <c r="U160" s="4">
        <f t="shared" si="148"/>
        <v>1.0000003414048415</v>
      </c>
      <c r="V160" s="4">
        <f t="shared" si="149"/>
        <v>8.2632287195733944E-4</v>
      </c>
      <c r="W160" t="str">
        <f t="shared" si="139"/>
        <v>1-0.000858384394760294i</v>
      </c>
      <c r="X160" s="4">
        <f t="shared" si="150"/>
        <v>1.0000003684118166</v>
      </c>
      <c r="Y160" s="4">
        <f t="shared" si="151"/>
        <v>-8.5838418393437881E-4</v>
      </c>
      <c r="Z160" t="str">
        <f t="shared" si="140"/>
        <v>0.999995572281786+0.00371718011898452i</v>
      </c>
      <c r="AA160" s="4">
        <f t="shared" si="152"/>
        <v>1.0000024810025292</v>
      </c>
      <c r="AB160" s="4">
        <f t="shared" si="153"/>
        <v>3.717179456975102E-3</v>
      </c>
      <c r="AC160" s="48" t="str">
        <f t="shared" si="154"/>
        <v>0.37913118005942-15.4289836207019i</v>
      </c>
      <c r="AD160" s="20">
        <f t="shared" si="155"/>
        <v>23.769367906630091</v>
      </c>
      <c r="AE160" s="44">
        <f t="shared" si="156"/>
        <v>-88.592373518278649</v>
      </c>
      <c r="AF160" t="str">
        <f t="shared" si="141"/>
        <v>-0.979317078436135</v>
      </c>
      <c r="AG160" t="str">
        <f t="shared" si="157"/>
        <v>1652.64612006218i</v>
      </c>
      <c r="AH160">
        <f t="shared" si="158"/>
        <v>1652.64612006218</v>
      </c>
      <c r="AI160">
        <f t="shared" si="159"/>
        <v>1.5707963267948966</v>
      </c>
      <c r="AJ160" t="str">
        <f t="shared" si="142"/>
        <v>0.957723203076518+1.61946098597133i</v>
      </c>
      <c r="AK160">
        <f t="shared" si="160"/>
        <v>1.8814589070172056</v>
      </c>
      <c r="AL160">
        <f t="shared" si="161"/>
        <v>1.0367362599076417</v>
      </c>
      <c r="AM160" t="str">
        <f t="shared" si="143"/>
        <v>1+229.91612822305i</v>
      </c>
      <c r="AN160">
        <f t="shared" si="162"/>
        <v>229.91830291883673</v>
      </c>
      <c r="AO160">
        <f t="shared" si="163"/>
        <v>1.5664469420779354</v>
      </c>
      <c r="AP160" t="str">
        <f t="shared" si="144"/>
        <v>1+1.55348735285845i</v>
      </c>
      <c r="AQ160">
        <f t="shared" si="164"/>
        <v>1.8475180528187416</v>
      </c>
      <c r="AR160">
        <f t="shared" si="165"/>
        <v>0.99885349624470465</v>
      </c>
      <c r="AS160" s="42" t="str">
        <f t="shared" si="166"/>
        <v>-0.133666799484749+0.00564839458158243i</v>
      </c>
      <c r="AT160">
        <f t="shared" si="167"/>
        <v>-17.471780829465306</v>
      </c>
      <c r="AU160" s="44">
        <f t="shared" si="168"/>
        <v>177.58027613806161</v>
      </c>
      <c r="AV160" s="42" t="str">
        <f t="shared" si="145"/>
        <v>0.0364717360590779+2.06448434238499i</v>
      </c>
      <c r="AW160" s="20">
        <f t="shared" si="169"/>
        <v>6.2975870771647635</v>
      </c>
      <c r="AX160" s="44">
        <f t="shared" si="170"/>
        <v>88.987902619782957</v>
      </c>
    </row>
    <row r="161" spans="14:50" x14ac:dyDescent="0.3">
      <c r="N161" s="8">
        <v>43</v>
      </c>
      <c r="O161" s="35">
        <f t="shared" si="135"/>
        <v>269.15348039269179</v>
      </c>
      <c r="P161" s="34" t="str">
        <f t="shared" si="136"/>
        <v>545.10556621881</v>
      </c>
      <c r="Q161" s="4" t="str">
        <f t="shared" si="137"/>
        <v>1+36.1274500620251i</v>
      </c>
      <c r="R161" s="4">
        <f t="shared" si="146"/>
        <v>36.141287303914858</v>
      </c>
      <c r="S161" s="4">
        <f t="shared" si="147"/>
        <v>1.5431236090834992</v>
      </c>
      <c r="T161" s="4" t="str">
        <f t="shared" si="138"/>
        <v>1+0.000845570596689805i</v>
      </c>
      <c r="U161" s="4">
        <f t="shared" si="148"/>
        <v>1.0000003574947531</v>
      </c>
      <c r="V161" s="4">
        <f t="shared" si="149"/>
        <v>8.4557039516515431E-4</v>
      </c>
      <c r="W161" t="str">
        <f t="shared" si="139"/>
        <v>1-0.000878378735841367i</v>
      </c>
      <c r="X161" s="4">
        <f t="shared" si="150"/>
        <v>1.0000003857745274</v>
      </c>
      <c r="Y161" s="4">
        <f t="shared" si="151"/>
        <v>-8.7837850993733354E-4</v>
      </c>
      <c r="Z161" t="str">
        <f t="shared" si="140"/>
        <v>0.999995363609856+0.0038037643668022i</v>
      </c>
      <c r="AA161" s="4">
        <f t="shared" si="152"/>
        <v>1.0000025979289084</v>
      </c>
      <c r="AB161" s="4">
        <f t="shared" si="153"/>
        <v>3.8037636574456898E-3</v>
      </c>
      <c r="AC161" s="48" t="str">
        <f t="shared" si="154"/>
        <v>0.359476996039877-15.0783148419215i</v>
      </c>
      <c r="AD161" s="20">
        <f t="shared" si="155"/>
        <v>23.569523875925906</v>
      </c>
      <c r="AE161" s="44">
        <f t="shared" si="156"/>
        <v>-88.634289437827121</v>
      </c>
      <c r="AF161" t="str">
        <f t="shared" si="141"/>
        <v>-0.979317078436135</v>
      </c>
      <c r="AG161" t="str">
        <f t="shared" si="157"/>
        <v>1691.14119337961i</v>
      </c>
      <c r="AH161">
        <f t="shared" si="158"/>
        <v>1691.1411933796101</v>
      </c>
      <c r="AI161">
        <f t="shared" si="159"/>
        <v>1.5707963267948966</v>
      </c>
      <c r="AJ161" t="str">
        <f t="shared" si="142"/>
        <v>0.955730759021272+1.65718307821655i</v>
      </c>
      <c r="AK161">
        <f t="shared" si="160"/>
        <v>1.913028237759876</v>
      </c>
      <c r="AL161">
        <f t="shared" si="161"/>
        <v>1.0476703213489194</v>
      </c>
      <c r="AM161" t="str">
        <f t="shared" si="143"/>
        <v>1+235.271562822971i</v>
      </c>
      <c r="AN161">
        <f t="shared" si="162"/>
        <v>235.27368801709042</v>
      </c>
      <c r="AO161">
        <f t="shared" si="163"/>
        <v>1.5665459449549548</v>
      </c>
      <c r="AP161" t="str">
        <f t="shared" si="144"/>
        <v>1+1.58967272177684i</v>
      </c>
      <c r="AQ161">
        <f t="shared" si="164"/>
        <v>1.8780466880142748</v>
      </c>
      <c r="AR161">
        <f t="shared" si="165"/>
        <v>1.0092825715202762</v>
      </c>
      <c r="AS161" s="42" t="str">
        <f t="shared" si="166"/>
        <v>-0.133630910841347+0.00570122775380316i</v>
      </c>
      <c r="AT161">
        <f t="shared" si="167"/>
        <v>-17.473963515958609</v>
      </c>
      <c r="AU161" s="44">
        <f t="shared" si="168"/>
        <v>177.55701500906687</v>
      </c>
      <c r="AV161" s="42" t="str">
        <f t="shared" si="145"/>
        <v>0.0379276686500249+2.01697840650525i</v>
      </c>
      <c r="AW161" s="20">
        <f t="shared" si="169"/>
        <v>6.0955603599673038</v>
      </c>
      <c r="AX161" s="44">
        <f t="shared" si="170"/>
        <v>88.922725571239766</v>
      </c>
    </row>
    <row r="162" spans="14:50" x14ac:dyDescent="0.3">
      <c r="N162" s="8">
        <v>44</v>
      </c>
      <c r="O162" s="35">
        <f t="shared" si="135"/>
        <v>275.42287033381683</v>
      </c>
      <c r="P162" s="34" t="str">
        <f t="shared" si="136"/>
        <v>545.10556621881</v>
      </c>
      <c r="Q162" s="4" t="str">
        <f t="shared" si="137"/>
        <v>1+36.9689664774432i</v>
      </c>
      <c r="R162" s="4">
        <f t="shared" si="146"/>
        <v>36.982488861761574</v>
      </c>
      <c r="S162" s="4">
        <f t="shared" si="147"/>
        <v>1.5437532063999335</v>
      </c>
      <c r="T162" s="4" t="str">
        <f t="shared" si="138"/>
        <v>1+0.000865266466071335i</v>
      </c>
      <c r="U162" s="4">
        <f t="shared" si="148"/>
        <v>1.0000003743429586</v>
      </c>
      <c r="V162" s="4">
        <f t="shared" si="149"/>
        <v>8.6526625013378571E-4</v>
      </c>
      <c r="W162" t="str">
        <f t="shared" si="139"/>
        <v>1-0.0008988388049549i</v>
      </c>
      <c r="X162" s="4">
        <f t="shared" si="150"/>
        <v>1.000000403955517</v>
      </c>
      <c r="Y162" s="4">
        <f t="shared" si="151"/>
        <v>-8.9883856289437239E-4</v>
      </c>
      <c r="Z162" t="str">
        <f t="shared" si="140"/>
        <v>0.99999514510352+0.00389236542083594i</v>
      </c>
      <c r="AA162" s="4">
        <f t="shared" si="152"/>
        <v>1.0000027203658894</v>
      </c>
      <c r="AB162" s="4">
        <f t="shared" si="153"/>
        <v>3.8923646607460323E-3</v>
      </c>
      <c r="AC162" s="48" t="str">
        <f t="shared" si="154"/>
        <v>0.340706073084167-14.7355918378722i</v>
      </c>
      <c r="AD162" s="20">
        <f t="shared" si="155"/>
        <v>23.369672763922267</v>
      </c>
      <c r="AE162" s="44">
        <f t="shared" si="156"/>
        <v>-88.675482955720739</v>
      </c>
      <c r="AF162" t="str">
        <f t="shared" si="141"/>
        <v>-0.979317078436135</v>
      </c>
      <c r="AG162" t="str">
        <f t="shared" si="157"/>
        <v>1730.53293214267i</v>
      </c>
      <c r="AH162">
        <f t="shared" si="158"/>
        <v>1730.53293214267</v>
      </c>
      <c r="AI162">
        <f t="shared" si="159"/>
        <v>1.5707963267948966</v>
      </c>
      <c r="AJ162" t="str">
        <f t="shared" si="142"/>
        <v>0.953644413970629+1.69578383086524i</v>
      </c>
      <c r="AK162">
        <f t="shared" si="160"/>
        <v>1.9455386064844287</v>
      </c>
      <c r="AL162">
        <f t="shared" si="161"/>
        <v>1.0585116913055523</v>
      </c>
      <c r="AM162" t="str">
        <f t="shared" si="143"/>
        <v>1+240.751741519688i</v>
      </c>
      <c r="AN162">
        <f t="shared" si="162"/>
        <v>240.75381833890543</v>
      </c>
      <c r="AO162">
        <f t="shared" si="163"/>
        <v>1.5666426943318723</v>
      </c>
      <c r="AP162" t="str">
        <f t="shared" si="144"/>
        <v>1+1.62670095621411i</v>
      </c>
      <c r="AQ162">
        <f t="shared" si="164"/>
        <v>1.9094910319108336</v>
      </c>
      <c r="AR162">
        <f t="shared" si="165"/>
        <v>1.0196082052206401</v>
      </c>
      <c r="AS162" s="42" t="str">
        <f t="shared" si="166"/>
        <v>-0.133595465146396+0.0057557931379241i</v>
      </c>
      <c r="AT162">
        <f t="shared" si="167"/>
        <v>-17.47611173029086</v>
      </c>
      <c r="AU162" s="44">
        <f t="shared" si="168"/>
        <v>177.53300882920882</v>
      </c>
      <c r="AV162" s="42" t="str">
        <f t="shared" si="145"/>
        <v>0.0392982320717939+1.97056927946548i</v>
      </c>
      <c r="AW162" s="20">
        <f t="shared" si="169"/>
        <v>5.8935610336314088</v>
      </c>
      <c r="AX162" s="44">
        <f t="shared" si="170"/>
        <v>88.857525873488086</v>
      </c>
    </row>
    <row r="163" spans="14:50" x14ac:dyDescent="0.3">
      <c r="N163" s="8">
        <v>45</v>
      </c>
      <c r="O163" s="35">
        <f t="shared" si="135"/>
        <v>281.83829312644554</v>
      </c>
      <c r="P163" s="34" t="str">
        <f t="shared" si="136"/>
        <v>545.10556621881</v>
      </c>
      <c r="Q163" s="4" t="str">
        <f t="shared" si="137"/>
        <v>1+37.8300843282298i</v>
      </c>
      <c r="R163" s="4">
        <f t="shared" si="146"/>
        <v>37.84329901423736</v>
      </c>
      <c r="S163" s="4">
        <f t="shared" si="147"/>
        <v>1.5443684930540915</v>
      </c>
      <c r="T163" s="4" t="str">
        <f t="shared" si="138"/>
        <v>1+0.00088542111118633i</v>
      </c>
      <c r="U163" s="4">
        <f t="shared" si="148"/>
        <v>1.0000003919851952</v>
      </c>
      <c r="V163" s="4">
        <f t="shared" si="149"/>
        <v>8.8542087980508202E-4</v>
      </c>
      <c r="W163" t="str">
        <f t="shared" si="139"/>
        <v>1-0.000919775450300357i</v>
      </c>
      <c r="X163" s="4">
        <f t="shared" si="150"/>
        <v>1.0000004229933501</v>
      </c>
      <c r="Y163" s="4">
        <f t="shared" si="151"/>
        <v>-9.1977519092783448E-4</v>
      </c>
      <c r="Z163" t="str">
        <f t="shared" si="140"/>
        <v>0.999994916299298+0.00398303025853735i</v>
      </c>
      <c r="AA163" s="4">
        <f t="shared" si="152"/>
        <v>1.0000028485731831</v>
      </c>
      <c r="AB163" s="4">
        <f t="shared" si="153"/>
        <v>3.9830294440855374E-3</v>
      </c>
      <c r="AC163" s="48" t="str">
        <f t="shared" si="154"/>
        <v>0.322778774320692-14.4006361545828i</v>
      </c>
      <c r="AD163" s="20">
        <f t="shared" si="155"/>
        <v>23.169814885717877</v>
      </c>
      <c r="AE163" s="44">
        <f t="shared" si="156"/>
        <v>-88.715975798836297</v>
      </c>
      <c r="AF163" t="str">
        <f t="shared" si="141"/>
        <v>-0.979317078436135</v>
      </c>
      <c r="AG163" t="str">
        <f t="shared" si="157"/>
        <v>1770.84222237266i</v>
      </c>
      <c r="AH163">
        <f t="shared" si="158"/>
        <v>1770.84222237266</v>
      </c>
      <c r="AI163">
        <f t="shared" si="159"/>
        <v>1.5707963267948966</v>
      </c>
      <c r="AJ163" t="str">
        <f t="shared" si="142"/>
        <v>0.951459742507016+1.73528371054741i</v>
      </c>
      <c r="AK163">
        <f t="shared" si="160"/>
        <v>1.9790111666442671</v>
      </c>
      <c r="AL163">
        <f t="shared" si="161"/>
        <v>1.0692576027808294</v>
      </c>
      <c r="AM163" t="str">
        <f t="shared" si="143"/>
        <v>1+246.359569976484i</v>
      </c>
      <c r="AN163">
        <f t="shared" si="162"/>
        <v>246.36159952191846</v>
      </c>
      <c r="AO163">
        <f t="shared" si="163"/>
        <v>1.5667372414992387</v>
      </c>
      <c r="AP163" t="str">
        <f t="shared" si="144"/>
        <v>1+1.6645916890303i</v>
      </c>
      <c r="AQ163">
        <f t="shared" si="164"/>
        <v>1.9418716464248473</v>
      </c>
      <c r="AR163">
        <f t="shared" si="165"/>
        <v>1.0298270645242031</v>
      </c>
      <c r="AS163" s="42" t="str">
        <f t="shared" si="166"/>
        <v>-0.133560464414127+0.0058121590515021i</v>
      </c>
      <c r="AT163">
        <f t="shared" si="167"/>
        <v>-17.478224982105768</v>
      </c>
      <c r="AU163" s="44">
        <f t="shared" si="168"/>
        <v>177.50822811784136</v>
      </c>
      <c r="AV163" s="42" t="str">
        <f t="shared" si="145"/>
        <v>0.0405883047719525+1.92523169423975i</v>
      </c>
      <c r="AW163" s="20">
        <f t="shared" si="169"/>
        <v>5.6915899036121163</v>
      </c>
      <c r="AX163" s="44">
        <f t="shared" si="170"/>
        <v>88.792252319005058</v>
      </c>
    </row>
    <row r="164" spans="14:50" x14ac:dyDescent="0.3">
      <c r="N164" s="8">
        <v>46</v>
      </c>
      <c r="O164" s="35">
        <f t="shared" si="135"/>
        <v>288.40315031266073</v>
      </c>
      <c r="P164" s="34" t="str">
        <f t="shared" si="136"/>
        <v>545.10556621881</v>
      </c>
      <c r="Q164" s="4" t="str">
        <f t="shared" si="137"/>
        <v>1+38.7112601904675i</v>
      </c>
      <c r="R164" s="4">
        <f t="shared" si="146"/>
        <v>38.724174174978522</v>
      </c>
      <c r="S164" s="4">
        <f t="shared" si="147"/>
        <v>1.5449697934145641</v>
      </c>
      <c r="T164" s="4" t="str">
        <f t="shared" si="138"/>
        <v>1+0.00090604521829441i</v>
      </c>
      <c r="U164" s="4">
        <f t="shared" si="148"/>
        <v>1.0000004104588847</v>
      </c>
      <c r="V164" s="4">
        <f t="shared" si="149"/>
        <v>9.0604497036494145E-4</v>
      </c>
      <c r="W164" t="str">
        <f t="shared" si="139"/>
        <v>1-0.00094119977276423i</v>
      </c>
      <c r="X164" s="4">
        <f t="shared" si="150"/>
        <v>1.000000442928408</v>
      </c>
      <c r="Y164" s="4">
        <f t="shared" si="151"/>
        <v>-9.4119949484157146E-4</v>
      </c>
      <c r="Z164" t="str">
        <f t="shared" si="140"/>
        <v>0.999994676711865+0.00407580695160347i</v>
      </c>
      <c r="AA164" s="4">
        <f t="shared" si="152"/>
        <v>1.0000029828227386</v>
      </c>
      <c r="AB164" s="4">
        <f t="shared" si="153"/>
        <v>4.0758060789017319E-3</v>
      </c>
      <c r="AC164" s="48" t="str">
        <f t="shared" si="154"/>
        <v>0.305657236609816-14.0732732391868i</v>
      </c>
      <c r="AD164" s="20">
        <f t="shared" si="155"/>
        <v>22.969950542121865</v>
      </c>
      <c r="AE164" s="44">
        <f t="shared" si="156"/>
        <v>-88.755789330171353</v>
      </c>
      <c r="AF164" t="str">
        <f t="shared" si="141"/>
        <v>-0.979317078436135</v>
      </c>
      <c r="AG164" t="str">
        <f t="shared" si="157"/>
        <v>1812.09043658882i</v>
      </c>
      <c r="AH164">
        <f t="shared" si="158"/>
        <v>1812.09043658882</v>
      </c>
      <c r="AI164">
        <f t="shared" si="159"/>
        <v>1.5707963267948966</v>
      </c>
      <c r="AJ164" t="str">
        <f t="shared" si="142"/>
        <v>0.949172110649355+1.77570366062211i</v>
      </c>
      <c r="AK164">
        <f t="shared" si="160"/>
        <v>2.0134674534199237</v>
      </c>
      <c r="AL164">
        <f t="shared" si="161"/>
        <v>1.0799055105428792</v>
      </c>
      <c r="AM164" t="str">
        <f t="shared" si="143"/>
        <v>1+252.098021538237i</v>
      </c>
      <c r="AN164">
        <f t="shared" si="162"/>
        <v>252.10000488594483</v>
      </c>
      <c r="AO164">
        <f t="shared" si="163"/>
        <v>1.5668296365804486</v>
      </c>
      <c r="AP164" t="str">
        <f t="shared" si="144"/>
        <v>1+1.70336501039349i</v>
      </c>
      <c r="AQ164">
        <f t="shared" si="164"/>
        <v>1.9752094467759147</v>
      </c>
      <c r="AR164">
        <f t="shared" si="165"/>
        <v>1.0399360303177347</v>
      </c>
      <c r="AS164" s="42" t="str">
        <f t="shared" si="166"/>
        <v>-0.133525908331733+0.0058703949309366i</v>
      </c>
      <c r="AT164">
        <f t="shared" si="167"/>
        <v>-17.480302916616623</v>
      </c>
      <c r="AU164" s="44">
        <f t="shared" si="168"/>
        <v>177.48264286584384</v>
      </c>
      <c r="AV164" s="42" t="str">
        <f t="shared" si="145"/>
        <v>0.0418025117285148+1.88094092115549i</v>
      </c>
      <c r="AW164" s="20">
        <f t="shared" si="169"/>
        <v>5.4896476255052642</v>
      </c>
      <c r="AX164" s="44">
        <f t="shared" si="170"/>
        <v>88.72685353567249</v>
      </c>
    </row>
    <row r="165" spans="14:50" x14ac:dyDescent="0.3">
      <c r="N165" s="8">
        <v>47</v>
      </c>
      <c r="O165" s="35">
        <f t="shared" si="135"/>
        <v>295.12092266663871</v>
      </c>
      <c r="P165" s="34" t="str">
        <f t="shared" si="136"/>
        <v>545.10556621881</v>
      </c>
      <c r="Q165" s="4" t="str">
        <f t="shared" si="137"/>
        <v>1+39.6129612752623i</v>
      </c>
      <c r="R165" s="4">
        <f t="shared" si="146"/>
        <v>39.625581396308007</v>
      </c>
      <c r="S165" s="4">
        <f t="shared" si="147"/>
        <v>1.545557424558506</v>
      </c>
      <c r="T165" s="4" t="str">
        <f t="shared" si="138"/>
        <v>1+0.000927149722570155i</v>
      </c>
      <c r="U165" s="4">
        <f t="shared" si="148"/>
        <v>1.0000004298032117</v>
      </c>
      <c r="V165" s="4">
        <f t="shared" si="149"/>
        <v>9.2714945690894931E-4</v>
      </c>
      <c r="W165" t="str">
        <f t="shared" si="139"/>
        <v>1-0.000963123131805874i</v>
      </c>
      <c r="X165" s="4">
        <f t="shared" si="150"/>
        <v>1.000000463802976</v>
      </c>
      <c r="Y165" s="4">
        <f t="shared" si="151"/>
        <v>-9.6312283400638756E-4</v>
      </c>
      <c r="Z165" t="str">
        <f t="shared" si="140"/>
        <v>0.999994425833024+0.00417074469146501i</v>
      </c>
      <c r="AA165" s="4">
        <f t="shared" si="152"/>
        <v>1.0000031233993227</v>
      </c>
      <c r="AB165" s="4">
        <f t="shared" si="153"/>
        <v>4.1707437563472428E-3</v>
      </c>
      <c r="AC165" s="48" t="str">
        <f t="shared" si="154"/>
        <v>0.289305291610358-13.7533323618161i</v>
      </c>
      <c r="AD165" s="20">
        <f t="shared" si="155"/>
        <v>22.770080020286649</v>
      </c>
      <c r="AE165" s="44">
        <f t="shared" si="156"/>
        <v>-88.794944559663278</v>
      </c>
      <c r="AF165" t="str">
        <f t="shared" si="141"/>
        <v>-0.979317078436135</v>
      </c>
      <c r="AG165" t="str">
        <f t="shared" si="157"/>
        <v>1854.29944514031i</v>
      </c>
      <c r="AH165">
        <f t="shared" si="158"/>
        <v>1854.2994451403099</v>
      </c>
      <c r="AI165">
        <f t="shared" si="159"/>
        <v>1.5707963267948966</v>
      </c>
      <c r="AJ165" t="str">
        <f t="shared" si="142"/>
        <v>0.946776666023767+1.81706511228189i</v>
      </c>
      <c r="AK165">
        <f t="shared" si="160"/>
        <v>2.0489293979049341</v>
      </c>
      <c r="AL165">
        <f t="shared" si="161"/>
        <v>1.0904530907962409</v>
      </c>
      <c r="AM165" t="str">
        <f t="shared" si="143"/>
        <v>1+257.97013880792i</v>
      </c>
      <c r="AN165">
        <f t="shared" si="162"/>
        <v>257.97207700946535</v>
      </c>
      <c r="AO165">
        <f t="shared" si="163"/>
        <v>1.5669199285582833</v>
      </c>
      <c r="AP165" t="str">
        <f t="shared" si="144"/>
        <v>1+1.7430414784319i</v>
      </c>
      <c r="AQ165">
        <f t="shared" si="164"/>
        <v>2.0095257140763496</v>
      </c>
      <c r="AR165">
        <f t="shared" si="165"/>
        <v>1.0499321976070963</v>
      </c>
      <c r="AS165" s="42" t="str">
        <f t="shared" si="166"/>
        <v>-0.133491794282814+0.00593057122736756i</v>
      </c>
      <c r="AT165">
        <f t="shared" si="167"/>
        <v>-17.482345312770825</v>
      </c>
      <c r="AU165" s="44">
        <f t="shared" si="168"/>
        <v>177.45622257949177</v>
      </c>
      <c r="AV165" s="42" t="str">
        <f t="shared" si="145"/>
        <v>0.0429452347128303+1.83767275998507i</v>
      </c>
      <c r="AW165" s="20">
        <f t="shared" si="169"/>
        <v>5.2877347075158054</v>
      </c>
      <c r="AX165" s="44">
        <f t="shared" si="170"/>
        <v>88.661278019828487</v>
      </c>
    </row>
    <row r="166" spans="14:50" x14ac:dyDescent="0.3">
      <c r="N166" s="8">
        <v>48</v>
      </c>
      <c r="O166" s="35">
        <f t="shared" si="135"/>
        <v>301.99517204020168</v>
      </c>
      <c r="P166" s="34" t="str">
        <f t="shared" si="136"/>
        <v>545.10556621881</v>
      </c>
      <c r="Q166" s="4" t="str">
        <f t="shared" si="137"/>
        <v>1+40.5356656764648i</v>
      </c>
      <c r="R166" s="4">
        <f t="shared" si="146"/>
        <v>40.547998616875368</v>
      </c>
      <c r="S166" s="4">
        <f t="shared" si="147"/>
        <v>1.5461316964314773</v>
      </c>
      <c r="T166" s="4" t="str">
        <f t="shared" si="138"/>
        <v>1+0.000948745813901085i</v>
      </c>
      <c r="U166" s="4">
        <f t="shared" si="148"/>
        <v>1.0000004500592083</v>
      </c>
      <c r="V166" s="4">
        <f t="shared" si="149"/>
        <v>9.4874552923998135E-4</v>
      </c>
      <c r="W166" t="str">
        <f t="shared" si="139"/>
        <v>1-0.000985557151480444i</v>
      </c>
      <c r="X166" s="4">
        <f t="shared" si="150"/>
        <v>1.0000004856613314</v>
      </c>
      <c r="Y166" s="4">
        <f t="shared" si="151"/>
        <v>-9.8555683238255357E-4</v>
      </c>
      <c r="Z166" t="str">
        <f t="shared" si="140"/>
        <v>0.999994163130628+0.0042678938153683i</v>
      </c>
      <c r="AA166" s="4">
        <f t="shared" si="152"/>
        <v>1.0000032706011237</v>
      </c>
      <c r="AB166" s="4">
        <f t="shared" si="153"/>
        <v>4.2678928133704271E-3</v>
      </c>
      <c r="AC166" s="48" t="str">
        <f t="shared" si="154"/>
        <v>0.273688390320012-13.4406465385633i</v>
      </c>
      <c r="AD166" s="20">
        <f t="shared" si="155"/>
        <v>22.570203594311934</v>
      </c>
      <c r="AE166" s="44">
        <f t="shared" si="156"/>
        <v>-88.833462154854644</v>
      </c>
      <c r="AF166" t="str">
        <f t="shared" si="141"/>
        <v>-0.979317078436135</v>
      </c>
      <c r="AG166" t="str">
        <f t="shared" si="157"/>
        <v>1897.49162780217i</v>
      </c>
      <c r="AH166">
        <f t="shared" si="158"/>
        <v>1897.4916278021699</v>
      </c>
      <c r="AI166">
        <f t="shared" si="159"/>
        <v>1.5707963267948966</v>
      </c>
      <c r="AJ166" t="str">
        <f t="shared" si="142"/>
        <v>0.944268327571039+1.8593899959159i</v>
      </c>
      <c r="AK166">
        <f t="shared" si="160"/>
        <v>2.085419341850923</v>
      </c>
      <c r="AL166">
        <f t="shared" si="161"/>
        <v>1.1008982400685861</v>
      </c>
      <c r="AM166" t="str">
        <f t="shared" si="143"/>
        <v>1+263.979035259838i</v>
      </c>
      <c r="AN166">
        <f t="shared" si="162"/>
        <v>263.98092934285</v>
      </c>
      <c r="AO166">
        <f t="shared" si="163"/>
        <v>1.5670081653008525</v>
      </c>
      <c r="AP166" t="str">
        <f t="shared" si="144"/>
        <v>1+1.78364213013404i</v>
      </c>
      <c r="AQ166">
        <f t="shared" si="164"/>
        <v>2.0448421084252684</v>
      </c>
      <c r="AR166">
        <f t="shared" si="165"/>
        <v>1.0598128750905174</v>
      </c>
      <c r="AS166" s="42" t="str">
        <f t="shared" si="166"/>
        <v>-0.133458117377737+0.00599275930987292i</v>
      </c>
      <c r="AT166">
        <f t="shared" si="167"/>
        <v>-17.484352080911723</v>
      </c>
      <c r="AU166" s="44">
        <f t="shared" si="168"/>
        <v>177.42893632127937</v>
      </c>
      <c r="AV166" s="42" t="str">
        <f t="shared" si="145"/>
        <v>0.0440206223544344+1.79540353202535i</v>
      </c>
      <c r="AW166" s="20">
        <f t="shared" si="169"/>
        <v>5.0858515134002102</v>
      </c>
      <c r="AX166" s="44">
        <f t="shared" si="170"/>
        <v>88.595474166424736</v>
      </c>
    </row>
    <row r="167" spans="14:50" x14ac:dyDescent="0.3">
      <c r="N167" s="8">
        <v>49</v>
      </c>
      <c r="O167" s="35">
        <f t="shared" si="135"/>
        <v>309.02954325135937</v>
      </c>
      <c r="P167" s="34" t="str">
        <f t="shared" si="136"/>
        <v>545.10556621881</v>
      </c>
      <c r="Q167" s="4" t="str">
        <f t="shared" si="137"/>
        <v>1+41.4798626241619i</v>
      </c>
      <c r="R167" s="4">
        <f t="shared" si="146"/>
        <v>41.491914915069223</v>
      </c>
      <c r="S167" s="4">
        <f t="shared" si="147"/>
        <v>1.5466929120040536</v>
      </c>
      <c r="T167" s="4" t="str">
        <f t="shared" si="138"/>
        <v>1+0.00097084494282068i</v>
      </c>
      <c r="U167" s="4">
        <f t="shared" si="148"/>
        <v>1.0000004712698405</v>
      </c>
      <c r="V167" s="4">
        <f t="shared" si="149"/>
        <v>9.7084463780081976E-4</v>
      </c>
      <c r="W167" t="str">
        <f t="shared" si="139"/>
        <v>1-0.00100851372660212i</v>
      </c>
      <c r="X167" s="4">
        <f t="shared" si="150"/>
        <v>1.0000005085498391</v>
      </c>
      <c r="Y167" s="4">
        <f t="shared" si="151"/>
        <v>-1.0085133846825796E-3</v>
      </c>
      <c r="Z167" t="str">
        <f t="shared" si="140"/>
        <v>0.999993888047449+0.00436730583306475i</v>
      </c>
      <c r="AA167" s="4">
        <f t="shared" si="152"/>
        <v>1.0000034247403824</v>
      </c>
      <c r="AB167" s="4">
        <f t="shared" si="153"/>
        <v>4.3673047594034176E-3</v>
      </c>
      <c r="AC167" s="48" t="str">
        <f t="shared" si="154"/>
        <v>0.258773530940177-13.1350524555352i</v>
      </c>
      <c r="AD167" s="20">
        <f t="shared" si="155"/>
        <v>22.370321525821467</v>
      </c>
      <c r="AE167" s="44">
        <f t="shared" si="156"/>
        <v>-88.871362451408572</v>
      </c>
      <c r="AF167" t="str">
        <f t="shared" si="141"/>
        <v>-0.979317078436135</v>
      </c>
      <c r="AG167" t="str">
        <f t="shared" si="157"/>
        <v>1941.68988564136i</v>
      </c>
      <c r="AH167">
        <f t="shared" si="158"/>
        <v>1941.68988564136</v>
      </c>
      <c r="AI167">
        <f t="shared" si="159"/>
        <v>1.5707963267948966</v>
      </c>
      <c r="AJ167" t="str">
        <f t="shared" si="142"/>
        <v>0.941641774769014+1.90270075273768i</v>
      </c>
      <c r="AK167">
        <f t="shared" si="160"/>
        <v>2.1229600529587627</v>
      </c>
      <c r="AL167">
        <f t="shared" si="161"/>
        <v>1.1112390733614266</v>
      </c>
      <c r="AM167" t="str">
        <f t="shared" si="143"/>
        <v>1+270.127896890426i</v>
      </c>
      <c r="AN167">
        <f t="shared" si="162"/>
        <v>270.12974785914383</v>
      </c>
      <c r="AO167">
        <f t="shared" si="163"/>
        <v>1.5670943935869455</v>
      </c>
      <c r="AP167" t="str">
        <f t="shared" si="144"/>
        <v>1+1.82518849250288i</v>
      </c>
      <c r="AQ167">
        <f t="shared" si="164"/>
        <v>2.0811806824888932</v>
      </c>
      <c r="AR167">
        <f t="shared" si="165"/>
        <v>1.0695755839394756</v>
      </c>
      <c r="AS167" s="42" t="str">
        <f t="shared" si="166"/>
        <v>-0.133424870490002+0.00605703137640093i</v>
      </c>
      <c r="AT167">
        <f t="shared" si="167"/>
        <v>-17.486323259993807</v>
      </c>
      <c r="AU167" s="44">
        <f t="shared" si="168"/>
        <v>177.40075274747917</v>
      </c>
      <c r="AV167" s="42" t="str">
        <f t="shared" si="145"/>
        <v>0.0450326000019151+1.75411007215545i</v>
      </c>
      <c r="AW167" s="20">
        <f t="shared" si="169"/>
        <v>4.8839982658276409</v>
      </c>
      <c r="AX167" s="44">
        <f t="shared" si="170"/>
        <v>88.529390296070616</v>
      </c>
    </row>
    <row r="168" spans="14:50" x14ac:dyDescent="0.3">
      <c r="N168" s="8">
        <v>50</v>
      </c>
      <c r="O168" s="35">
        <f t="shared" si="135"/>
        <v>316.22776601683825</v>
      </c>
      <c r="P168" s="34" t="str">
        <f t="shared" si="136"/>
        <v>545.10556621881</v>
      </c>
      <c r="Q168" s="4" t="str">
        <f t="shared" si="137"/>
        <v>1+42.4460527440732i</v>
      </c>
      <c r="R168" s="4">
        <f t="shared" si="146"/>
        <v>42.457830768335818</v>
      </c>
      <c r="S168" s="4">
        <f t="shared" si="147"/>
        <v>1.5472413674252534</v>
      </c>
      <c r="T168" s="4" t="str">
        <f t="shared" si="138"/>
        <v>1+0.00099345882657961i</v>
      </c>
      <c r="U168" s="4">
        <f t="shared" si="148"/>
        <v>1.0000004934800983</v>
      </c>
      <c r="V168" s="4">
        <f t="shared" si="149"/>
        <v>9.9345849974494986E-4</v>
      </c>
      <c r="W168" t="str">
        <f t="shared" si="139"/>
        <v>1-0.0010320050290509i</v>
      </c>
      <c r="X168" s="4">
        <f t="shared" si="150"/>
        <v>1.0000005325170482</v>
      </c>
      <c r="Y168" s="4">
        <f t="shared" si="151"/>
        <v>-1.032004662677522E-3</v>
      </c>
      <c r="Z168" t="str">
        <f t="shared" si="140"/>
        <v>0.9999936+0.00446903345412201i</v>
      </c>
      <c r="AA168" s="4">
        <f t="shared" si="152"/>
        <v>1.0000035861440568</v>
      </c>
      <c r="AB168" s="4">
        <f t="shared" si="153"/>
        <v>4.4690323036717374E-3</v>
      </c>
      <c r="AC168" s="48" t="str">
        <f t="shared" si="154"/>
        <v>0.244529189921909-12.8363903940169i</v>
      </c>
      <c r="AD168" s="20">
        <f t="shared" si="155"/>
        <v>22.170434064513778</v>
      </c>
      <c r="AE168" s="44">
        <f t="shared" si="156"/>
        <v>-88.908665463477789</v>
      </c>
      <c r="AF168" t="str">
        <f t="shared" si="141"/>
        <v>-0.979317078436135</v>
      </c>
      <c r="AG168" t="str">
        <f t="shared" si="157"/>
        <v>1986.91765315922i</v>
      </c>
      <c r="AH168">
        <f t="shared" si="158"/>
        <v>1986.91765315922</v>
      </c>
      <c r="AI168">
        <f t="shared" si="159"/>
        <v>1.5707963267948966</v>
      </c>
      <c r="AJ168" t="str">
        <f t="shared" si="142"/>
        <v>0.93889143634705+1.94702034668379i</v>
      </c>
      <c r="AK168">
        <f t="shared" si="160"/>
        <v>2.1615747407032893</v>
      </c>
      <c r="AL168">
        <f t="shared" si="161"/>
        <v>1.1214739216163032</v>
      </c>
      <c r="AM168" t="str">
        <f t="shared" si="143"/>
        <v>1+276.419983907511i</v>
      </c>
      <c r="AN168">
        <f t="shared" si="162"/>
        <v>276.42179274331579</v>
      </c>
      <c r="AO168">
        <f t="shared" si="163"/>
        <v>1.5671786591308092</v>
      </c>
      <c r="AP168" t="str">
        <f t="shared" si="144"/>
        <v>1+1.86770259396967i</v>
      </c>
      <c r="AQ168">
        <f t="shared" si="164"/>
        <v>2.1185638955483581</v>
      </c>
      <c r="AR168">
        <f t="shared" si="165"/>
        <v>1.0792180558356204</v>
      </c>
      <c r="AS168" s="42" t="str">
        <f t="shared" si="166"/>
        <v>-0.133392044297613+0.00612346037277779i</v>
      </c>
      <c r="AT168">
        <f t="shared" si="167"/>
        <v>-17.488259014413849</v>
      </c>
      <c r="AU168" s="44">
        <f t="shared" si="168"/>
        <v>177.37164014226246</v>
      </c>
      <c r="AV168" s="42" t="str">
        <f t="shared" si="145"/>
        <v>0.0459848793731453+1.71376972086463i</v>
      </c>
      <c r="AW168" s="20">
        <f t="shared" si="169"/>
        <v>4.6821750500999251</v>
      </c>
      <c r="AX168" s="44">
        <f t="shared" si="170"/>
        <v>88.462974678784661</v>
      </c>
    </row>
    <row r="169" spans="14:50" x14ac:dyDescent="0.3">
      <c r="N169" s="8">
        <v>51</v>
      </c>
      <c r="O169" s="35">
        <f t="shared" si="135"/>
        <v>323.59365692962825</v>
      </c>
      <c r="P169" s="34" t="str">
        <f t="shared" si="136"/>
        <v>545.10556621881</v>
      </c>
      <c r="Q169" s="4" t="str">
        <f t="shared" si="137"/>
        <v>1+43.4347483229893i</v>
      </c>
      <c r="R169" s="4">
        <f t="shared" si="146"/>
        <v>43.446258318541325</v>
      </c>
      <c r="S169" s="4">
        <f t="shared" si="147"/>
        <v>1.5477773521728264</v>
      </c>
      <c r="T169" s="4" t="str">
        <f t="shared" si="138"/>
        <v>1+0.00101659945535838i</v>
      </c>
      <c r="U169" s="4">
        <f t="shared" si="148"/>
        <v>1.0000005167370929</v>
      </c>
      <c r="V169" s="4">
        <f t="shared" si="149"/>
        <v>1.0165991051487421E-3</v>
      </c>
      <c r="W169" t="str">
        <f t="shared" si="139"/>
        <v>1-0.00105604351422628i</v>
      </c>
      <c r="X169" s="4">
        <f t="shared" si="150"/>
        <v>1.0000005576137965</v>
      </c>
      <c r="Y169" s="4">
        <f t="shared" si="151"/>
        <v>-1.0560431216501444E-3</v>
      </c>
      <c r="Z169" t="str">
        <f t="shared" si="140"/>
        <v>0.999993298377292+0.00457313061587131i</v>
      </c>
      <c r="AA169" s="4">
        <f t="shared" si="152"/>
        <v>1.0000037551545122</v>
      </c>
      <c r="AB169" s="4">
        <f t="shared" si="153"/>
        <v>4.5731293831400366E-3</v>
      </c>
      <c r="AC169" s="48" t="str">
        <f t="shared" si="154"/>
        <v>0.230925256055519-12.544504156762i</v>
      </c>
      <c r="AD169" s="20">
        <f t="shared" si="155"/>
        <v>21.970541448688191</v>
      </c>
      <c r="AE169" s="44">
        <f t="shared" si="156"/>
        <v>-88.945390893930394</v>
      </c>
      <c r="AF169" t="str">
        <f t="shared" si="141"/>
        <v>-0.979317078436135</v>
      </c>
      <c r="AG169" t="str">
        <f t="shared" si="157"/>
        <v>2033.19891071675i</v>
      </c>
      <c r="AH169">
        <f t="shared" si="158"/>
        <v>2033.1989107167501</v>
      </c>
      <c r="AI169">
        <f t="shared" si="159"/>
        <v>1.5707963267948966</v>
      </c>
      <c r="AJ169" t="str">
        <f t="shared" si="142"/>
        <v>0.936011478468611+1.99237227658956i</v>
      </c>
      <c r="AK169">
        <f t="shared" si="160"/>
        <v>2.2012870726799041</v>
      </c>
      <c r="AL169">
        <f t="shared" si="161"/>
        <v>1.1316013285499213</v>
      </c>
      <c r="AM169" t="str">
        <f t="shared" si="143"/>
        <v>1+282.858632458914i</v>
      </c>
      <c r="AN169">
        <f t="shared" si="162"/>
        <v>282.86040012084936</v>
      </c>
      <c r="AO169">
        <f t="shared" si="163"/>
        <v>1.567261006606361</v>
      </c>
      <c r="AP169" t="str">
        <f t="shared" si="144"/>
        <v>1+1.91120697607375i</v>
      </c>
      <c r="AQ169">
        <f t="shared" si="164"/>
        <v>2.157014627996984</v>
      </c>
      <c r="AR169">
        <f t="shared" si="165"/>
        <v>1.0887382303150692</v>
      </c>
      <c r="AS169" s="42" t="str">
        <f t="shared" si="166"/>
        <v>-0.133359627328553+0.00619211992000842i</v>
      </c>
      <c r="AT169">
        <f t="shared" si="167"/>
        <v>-17.490159630514363</v>
      </c>
      <c r="AU169" s="44">
        <f t="shared" si="168"/>
        <v>177.34156644825782</v>
      </c>
      <c r="AV169" s="42" t="str">
        <f t="shared" si="145"/>
        <v>0.0468809679873997+1.67436031624532i</v>
      </c>
      <c r="AW169" s="20">
        <f t="shared" si="169"/>
        <v>4.4803818181738384</v>
      </c>
      <c r="AX169" s="44">
        <f t="shared" si="170"/>
        <v>88.396175554327442</v>
      </c>
    </row>
    <row r="170" spans="14:50" x14ac:dyDescent="0.3">
      <c r="N170" s="8">
        <v>52</v>
      </c>
      <c r="O170" s="35">
        <f t="shared" si="135"/>
        <v>331.13112148259137</v>
      </c>
      <c r="P170" s="34" t="str">
        <f t="shared" si="136"/>
        <v>545.10556621881</v>
      </c>
      <c r="Q170" s="4" t="str">
        <f t="shared" si="137"/>
        <v>1+44.4464735803933i</v>
      </c>
      <c r="R170" s="4">
        <f t="shared" si="146"/>
        <v>44.457721643518795</v>
      </c>
      <c r="S170" s="4">
        <f t="shared" si="147"/>
        <v>1.5483011492004546</v>
      </c>
      <c r="T170" s="4" t="str">
        <f t="shared" si="138"/>
        <v>1+0.00104027909862466i</v>
      </c>
      <c r="U170" s="4">
        <f t="shared" si="148"/>
        <v>1.0000005410901551</v>
      </c>
      <c r="V170" s="4">
        <f t="shared" si="149"/>
        <v>1.0402787233682828E-3</v>
      </c>
      <c r="W170" t="str">
        <f t="shared" si="139"/>
        <v>1-0.00108064192765129i</v>
      </c>
      <c r="X170" s="4">
        <f t="shared" si="150"/>
        <v>1.0000005838933175</v>
      </c>
      <c r="Y170" s="4">
        <f t="shared" si="151"/>
        <v>-1.0806415069983951E-3</v>
      </c>
      <c r="Z170" t="str">
        <f t="shared" si="140"/>
        <v>0.999992982539545+0.00467965251200569i</v>
      </c>
      <c r="AA170" s="4">
        <f t="shared" si="152"/>
        <v>1.0000039321302532</v>
      </c>
      <c r="AB170" s="4">
        <f t="shared" si="153"/>
        <v>4.6796511911085352E-3</v>
      </c>
      <c r="AC170" s="48" t="str">
        <f t="shared" si="154"/>
        <v>0.217932967472099-12.2592409954205i</v>
      </c>
      <c r="AD170" s="20">
        <f t="shared" si="155"/>
        <v>21.770643905746532</v>
      </c>
      <c r="AE170" s="44">
        <f t="shared" si="156"/>
        <v>-88.981558144436505</v>
      </c>
      <c r="AF170" t="str">
        <f t="shared" si="141"/>
        <v>-0.979317078436135</v>
      </c>
      <c r="AG170" t="str">
        <f t="shared" si="157"/>
        <v>2080.55819724932i</v>
      </c>
      <c r="AH170">
        <f t="shared" si="158"/>
        <v>2080.5581972493201</v>
      </c>
      <c r="AI170">
        <f t="shared" si="159"/>
        <v>1.5707963267948966</v>
      </c>
      <c r="AJ170" t="str">
        <f t="shared" si="142"/>
        <v>0.932995792356912+2.03878058864855i</v>
      </c>
      <c r="AK170">
        <f t="shared" si="160"/>
        <v>2.242121191462636</v>
      </c>
      <c r="AL170">
        <f t="shared" si="161"/>
        <v>1.1416200469130124</v>
      </c>
      <c r="AM170" t="str">
        <f t="shared" si="143"/>
        <v>1+289.447256401325i</v>
      </c>
      <c r="AN170">
        <f t="shared" si="162"/>
        <v>289.44898382660523</v>
      </c>
      <c r="AO170">
        <f t="shared" si="163"/>
        <v>1.5673414796708525</v>
      </c>
      <c r="AP170" t="str">
        <f t="shared" si="144"/>
        <v>1+1.95572470541437i</v>
      </c>
      <c r="AQ170">
        <f t="shared" si="164"/>
        <v>2.1965561962690883</v>
      </c>
      <c r="AR170">
        <f t="shared" si="165"/>
        <v>1.0981342514733194</v>
      </c>
      <c r="AS170" s="42" t="str">
        <f t="shared" si="166"/>
        <v>-0.133327606009415+0.00626308424999514i</v>
      </c>
      <c r="AT170">
        <f t="shared" si="167"/>
        <v>-17.492025512819247</v>
      </c>
      <c r="AU170" s="44">
        <f t="shared" si="168"/>
        <v>177.31049929346577</v>
      </c>
      <c r="AV170" s="42" t="str">
        <f t="shared" si="145"/>
        <v>0.0477241783717302+1.63586018594802i</v>
      </c>
      <c r="AW170" s="20">
        <f t="shared" si="169"/>
        <v>4.2786183929272763</v>
      </c>
      <c r="AX170" s="44">
        <f t="shared" si="170"/>
        <v>88.328941149029234</v>
      </c>
    </row>
    <row r="171" spans="14:50" x14ac:dyDescent="0.3">
      <c r="N171" s="8">
        <v>53</v>
      </c>
      <c r="O171" s="35">
        <f t="shared" si="135"/>
        <v>338.84415613920277</v>
      </c>
      <c r="P171" s="34" t="str">
        <f t="shared" si="136"/>
        <v>545.10556621881</v>
      </c>
      <c r="Q171" s="4" t="str">
        <f t="shared" si="137"/>
        <v>1+45.481764946408i</v>
      </c>
      <c r="R171" s="4">
        <f t="shared" si="146"/>
        <v>45.492757034942471</v>
      </c>
      <c r="S171" s="4">
        <f t="shared" si="147"/>
        <v>1.5488130350819105</v>
      </c>
      <c r="T171" s="4" t="str">
        <f t="shared" si="138"/>
        <v>1+0.00106451031163875i</v>
      </c>
      <c r="U171" s="4">
        <f t="shared" si="148"/>
        <v>1.0000005665909413</v>
      </c>
      <c r="V171" s="4">
        <f t="shared" si="149"/>
        <v>1.0645099095443098E-3</v>
      </c>
      <c r="W171" t="str">
        <f t="shared" si="139"/>
        <v>1-0.00110581331173033i</v>
      </c>
      <c r="X171" s="4">
        <f t="shared" si="150"/>
        <v>1.0000006114113533</v>
      </c>
      <c r="Y171" s="4">
        <f t="shared" si="151"/>
        <v>-1.1058128609926473E-3</v>
      </c>
      <c r="Z171" t="str">
        <f t="shared" si="140"/>
        <v>0.999992651816822+0.00478865562184443i</v>
      </c>
      <c r="AA171" s="4">
        <f t="shared" si="152"/>
        <v>1.0000041174466754</v>
      </c>
      <c r="AB171" s="4">
        <f t="shared" si="153"/>
        <v>4.7886542064756194E-3</v>
      </c>
      <c r="AC171" s="48" t="str">
        <f t="shared" si="154"/>
        <v>0.2055248514307-11.9804515391158i</v>
      </c>
      <c r="AD171" s="20">
        <f t="shared" si="155"/>
        <v>21.570741652672595</v>
      </c>
      <c r="AE171" s="44">
        <f t="shared" si="156"/>
        <v>-89.017186325419033</v>
      </c>
      <c r="AF171" t="str">
        <f t="shared" si="141"/>
        <v>-0.979317078436135</v>
      </c>
      <c r="AG171" t="str">
        <f t="shared" si="157"/>
        <v>2129.0206232775i</v>
      </c>
      <c r="AH171">
        <f t="shared" si="158"/>
        <v>2129.0206232774999</v>
      </c>
      <c r="AI171">
        <f t="shared" si="159"/>
        <v>1.5707963267948966</v>
      </c>
      <c r="AJ171" t="str">
        <f t="shared" si="142"/>
        <v>0.929837981337393+2.08626988916209i</v>
      </c>
      <c r="AK171">
        <f t="shared" si="160"/>
        <v>2.2841017319642303</v>
      </c>
      <c r="AL171">
        <f t="shared" si="161"/>
        <v>1.1515290342282403</v>
      </c>
      <c r="AM171" t="str">
        <f t="shared" si="143"/>
        <v>1+296.189349110366i</v>
      </c>
      <c r="AN171">
        <f t="shared" si="162"/>
        <v>296.19103721487295</v>
      </c>
      <c r="AO171">
        <f t="shared" si="163"/>
        <v>1.5674201209879959</v>
      </c>
      <c r="AP171" t="str">
        <f t="shared" si="144"/>
        <v>1+2.00127938588085i</v>
      </c>
      <c r="AQ171">
        <f t="shared" si="164"/>
        <v>2.237212368183144</v>
      </c>
      <c r="AR171">
        <f t="shared" si="165"/>
        <v>1.1074044640854042</v>
      </c>
      <c r="AS171" s="42" t="str">
        <f t="shared" si="166"/>
        <v>-0.133295964716262+0.00633642814970845i</v>
      </c>
      <c r="AT171">
        <f t="shared" si="167"/>
        <v>-17.493857180060349</v>
      </c>
      <c r="AU171" s="44">
        <f t="shared" si="168"/>
        <v>177.27840601448364</v>
      </c>
      <c r="AV171" s="42" t="str">
        <f t="shared" si="145"/>
        <v>0.0485176370340497+1.59824813909694i</v>
      </c>
      <c r="AW171" s="20">
        <f t="shared" si="169"/>
        <v>4.0768844726122655</v>
      </c>
      <c r="AX171" s="44">
        <f t="shared" si="170"/>
        <v>88.261219689064617</v>
      </c>
    </row>
    <row r="172" spans="14:50" x14ac:dyDescent="0.3">
      <c r="N172" s="8">
        <v>54</v>
      </c>
      <c r="O172" s="35">
        <f t="shared" si="135"/>
        <v>346.73685045253183</v>
      </c>
      <c r="P172" s="34" t="str">
        <f t="shared" si="136"/>
        <v>545.10556621881</v>
      </c>
      <c r="Q172" s="4" t="str">
        <f t="shared" si="137"/>
        <v>1+46.5411713462198i</v>
      </c>
      <c r="R172" s="4">
        <f t="shared" si="146"/>
        <v>46.551913282680346</v>
      </c>
      <c r="S172" s="4">
        <f t="shared" si="147"/>
        <v>1.5493132801522254</v>
      </c>
      <c r="T172" s="4" t="str">
        <f t="shared" si="138"/>
        <v>1+0.00108930594211054i</v>
      </c>
      <c r="U172" s="4">
        <f t="shared" si="148"/>
        <v>1.0000005932935416</v>
      </c>
      <c r="V172" s="4">
        <f t="shared" si="149"/>
        <v>1.0893055112585987E-3</v>
      </c>
      <c r="W172" t="str">
        <f t="shared" si="139"/>
        <v>1-0.00113157101266442i</v>
      </c>
      <c r="X172" s="4">
        <f t="shared" si="150"/>
        <v>1.0000006402262736</v>
      </c>
      <c r="Y172" s="4">
        <f t="shared" si="151"/>
        <v>-1.131570529690308E-3</v>
      </c>
      <c r="Z172" t="str">
        <f t="shared" si="140"/>
        <v>0.999992305507618+0.00490019774027925i</v>
      </c>
      <c r="AA172" s="4">
        <f t="shared" si="152"/>
        <v>1.0000043114968731</v>
      </c>
      <c r="AB172" s="4">
        <f t="shared" si="153"/>
        <v>4.9001962236819869E-3</v>
      </c>
      <c r="AC172" s="48" t="str">
        <f t="shared" si="154"/>
        <v>0.193674666770102-11.7079897241762i</v>
      </c>
      <c r="AD172" s="20">
        <f t="shared" si="155"/>
        <v>21.370834896489256</v>
      </c>
      <c r="AE172" s="44">
        <f t="shared" si="156"/>
        <v>-89.052294265872348</v>
      </c>
      <c r="AF172" t="str">
        <f t="shared" si="141"/>
        <v>-0.979317078436135</v>
      </c>
      <c r="AG172" t="str">
        <f t="shared" si="157"/>
        <v>2178.61188422107i</v>
      </c>
      <c r="AH172">
        <f t="shared" si="158"/>
        <v>2178.6118842210699</v>
      </c>
      <c r="AI172">
        <f t="shared" si="159"/>
        <v>1.5707963267948966</v>
      </c>
      <c r="AJ172" t="str">
        <f t="shared" si="142"/>
        <v>0.926531347269504+2.13486535758592i</v>
      </c>
      <c r="AK172">
        <f t="shared" si="160"/>
        <v>2.3272538392907425</v>
      </c>
      <c r="AL172">
        <f t="shared" si="161"/>
        <v>1.1613274480626363</v>
      </c>
      <c r="AM172" t="str">
        <f t="shared" si="143"/>
        <v>1+303.088485332835i</v>
      </c>
      <c r="AN172">
        <f t="shared" si="162"/>
        <v>303.09013501160365</v>
      </c>
      <c r="AO172">
        <f t="shared" si="163"/>
        <v>1.5674969722505658</v>
      </c>
      <c r="AP172" t="str">
        <f t="shared" si="144"/>
        <v>1+2.04789517116781i</v>
      </c>
      <c r="AQ172">
        <f t="shared" si="164"/>
        <v>2.2790073786831924</v>
      </c>
      <c r="AR172">
        <f t="shared" si="165"/>
        <v>1.1165474091966592</v>
      </c>
      <c r="AS172" s="42" t="str">
        <f t="shared" si="166"/>
        <v>-0.133264685826874+0.00641222691374964i</v>
      </c>
      <c r="AT172">
        <f t="shared" si="167"/>
        <v>-17.495655261048462</v>
      </c>
      <c r="AU172" s="44">
        <f t="shared" si="168"/>
        <v>177.24525367604022</v>
      </c>
      <c r="AV172" s="42" t="str">
        <f t="shared" si="145"/>
        <v>0.0492642931955247+1.56150345816739i</v>
      </c>
      <c r="AW172" s="20">
        <f t="shared" si="169"/>
        <v>3.8751796354408214</v>
      </c>
      <c r="AX172" s="44">
        <f t="shared" si="170"/>
        <v>88.192959410167902</v>
      </c>
    </row>
    <row r="173" spans="14:50" x14ac:dyDescent="0.3">
      <c r="N173" s="8">
        <v>55</v>
      </c>
      <c r="O173" s="35">
        <f t="shared" si="135"/>
        <v>354.81338923357566</v>
      </c>
      <c r="P173" s="34" t="str">
        <f t="shared" si="136"/>
        <v>545.10556621881</v>
      </c>
      <c r="Q173" s="4" t="str">
        <f t="shared" si="137"/>
        <v>1+47.6252544911245i</v>
      </c>
      <c r="R173" s="4">
        <f t="shared" si="146"/>
        <v>47.635751965770147</v>
      </c>
      <c r="S173" s="4">
        <f t="shared" si="147"/>
        <v>1.5498021486459115</v>
      </c>
      <c r="T173" s="4" t="str">
        <f t="shared" si="138"/>
        <v>1+0.00111467913701149i</v>
      </c>
      <c r="U173" s="4">
        <f t="shared" si="148"/>
        <v>1.0000006212545962</v>
      </c>
      <c r="V173" s="4">
        <f t="shared" si="149"/>
        <v>1.1146786753453326E-3</v>
      </c>
      <c r="W173" t="str">
        <f t="shared" si="139"/>
        <v>1-0.00115792868752754i</v>
      </c>
      <c r="X173" s="4">
        <f t="shared" si="150"/>
        <v>1.0000006703991979</v>
      </c>
      <c r="Y173" s="4">
        <f t="shared" si="151"/>
        <v>-1.157928170011474E-3</v>
      </c>
      <c r="Z173" t="str">
        <f t="shared" si="140"/>
        <v>0.999991942877364+0.00501433800841774i</v>
      </c>
      <c r="AA173" s="4">
        <f t="shared" si="152"/>
        <v>1.0000045146924628</v>
      </c>
      <c r="AB173" s="4">
        <f t="shared" si="153"/>
        <v>5.0143363833519607E-3</v>
      </c>
      <c r="AC173" s="48" t="str">
        <f t="shared" si="154"/>
        <v>0.182357348909295-11.4417127250272i</v>
      </c>
      <c r="AD173" s="20">
        <f t="shared" si="155"/>
        <v>21.170923834695135</v>
      </c>
      <c r="AE173" s="44">
        <f t="shared" si="156"/>
        <v>-89.086900523052776</v>
      </c>
      <c r="AF173" t="str">
        <f t="shared" si="141"/>
        <v>-0.979317078436135</v>
      </c>
      <c r="AG173" t="str">
        <f t="shared" si="157"/>
        <v>2229.35827402299i</v>
      </c>
      <c r="AH173">
        <f t="shared" si="158"/>
        <v>2229.3582740229899</v>
      </c>
      <c r="AI173">
        <f t="shared" si="159"/>
        <v>1.5707963267948966</v>
      </c>
      <c r="AJ173" t="str">
        <f t="shared" si="142"/>
        <v>0.923068876339061+2.18459275988061i</v>
      </c>
      <c r="AK173">
        <f t="shared" si="160"/>
        <v>2.3716031870843479</v>
      </c>
      <c r="AL173">
        <f t="shared" si="161"/>
        <v>1.1710146408894035</v>
      </c>
      <c r="AM173" t="str">
        <f t="shared" si="143"/>
        <v>1+310.148323082078i</v>
      </c>
      <c r="AN173">
        <f t="shared" si="162"/>
        <v>310.14993520977077</v>
      </c>
      <c r="AO173">
        <f t="shared" si="163"/>
        <v>1.5675720742024855</v>
      </c>
      <c r="AP173" t="str">
        <f t="shared" si="144"/>
        <v>1+2.09559677758162i</v>
      </c>
      <c r="AQ173">
        <f t="shared" si="164"/>
        <v>2.3219659459627033</v>
      </c>
      <c r="AR173">
        <f t="shared" si="165"/>
        <v>1.1255618192394046</v>
      </c>
      <c r="AS173" s="42" t="str">
        <f t="shared" si="166"/>
        <v>-0.133233749773512+0.00649055630517832i</v>
      </c>
      <c r="AT173">
        <f t="shared" si="167"/>
        <v>-17.497420490444352</v>
      </c>
      <c r="AU173" s="44">
        <f t="shared" si="168"/>
        <v>177.21100908686489</v>
      </c>
      <c r="AV173" s="42" t="str">
        <f t="shared" si="145"/>
        <v>0.0499669272755223+1.52560589082744i</v>
      </c>
      <c r="AW173" s="20">
        <f t="shared" si="169"/>
        <v>3.6735033442507774</v>
      </c>
      <c r="AX173" s="44">
        <f t="shared" si="170"/>
        <v>88.124108563812101</v>
      </c>
    </row>
    <row r="174" spans="14:50" x14ac:dyDescent="0.3">
      <c r="N174" s="8">
        <v>56</v>
      </c>
      <c r="O174" s="35">
        <f t="shared" si="135"/>
        <v>363.07805477010152</v>
      </c>
      <c r="P174" s="34" t="str">
        <f t="shared" si="136"/>
        <v>545.10556621881</v>
      </c>
      <c r="Q174" s="4" t="str">
        <f t="shared" si="137"/>
        <v>1+48.7345891763554i</v>
      </c>
      <c r="R174" s="4">
        <f t="shared" si="146"/>
        <v>48.744847750179055</v>
      </c>
      <c r="S174" s="4">
        <f t="shared" si="147"/>
        <v>1.5502798988322926</v>
      </c>
      <c r="T174" s="4" t="str">
        <f t="shared" si="138"/>
        <v>1+0.00114064334954543i</v>
      </c>
      <c r="U174" s="4">
        <f t="shared" si="148"/>
        <v>1.0000006505334138</v>
      </c>
      <c r="V174" s="4">
        <f t="shared" si="149"/>
        <v>1.140642854861247E-3</v>
      </c>
      <c r="W174" t="str">
        <f t="shared" si="139"/>
        <v>1-0.00118490031150778i</v>
      </c>
      <c r="X174" s="4">
        <f t="shared" si="150"/>
        <v>1.0000007019941277</v>
      </c>
      <c r="Y174" s="4">
        <f t="shared" si="151"/>
        <v>-1.1848997569793454E-3</v>
      </c>
      <c r="Z174" t="str">
        <f t="shared" si="140"/>
        <v>0.999991563156873+0.00513113694494092i</v>
      </c>
      <c r="AA174" s="4">
        <f t="shared" si="152"/>
        <v>1.0000047274644626</v>
      </c>
      <c r="AB174" s="4">
        <f t="shared" si="153"/>
        <v>5.1311352036487214E-3</v>
      </c>
      <c r="AC174" s="48" t="str">
        <f t="shared" si="154"/>
        <v>0.171548957285546-11.1814808862463i</v>
      </c>
      <c r="AD174" s="20">
        <f t="shared" si="155"/>
        <v>20.97100865568105</v>
      </c>
      <c r="AE174" s="44">
        <f t="shared" si="156"/>
        <v>-89.121023392044364</v>
      </c>
      <c r="AF174" t="str">
        <f t="shared" si="141"/>
        <v>-0.979317078436135</v>
      </c>
      <c r="AG174" t="str">
        <f t="shared" si="157"/>
        <v>2281.28669909085i</v>
      </c>
      <c r="AH174">
        <f t="shared" si="158"/>
        <v>2281.2866990908501</v>
      </c>
      <c r="AI174">
        <f t="shared" si="159"/>
        <v>1.5707963267948966</v>
      </c>
      <c r="AJ174" t="str">
        <f t="shared" si="142"/>
        <v>0.919443224180996+2.2354784621731i</v>
      </c>
      <c r="AK174">
        <f t="shared" si="160"/>
        <v>2.4171759963503181</v>
      </c>
      <c r="AL174">
        <f t="shared" si="161"/>
        <v>1.1805901545930579</v>
      </c>
      <c r="AM174" t="str">
        <f t="shared" si="143"/>
        <v>1+317.372605577519i</v>
      </c>
      <c r="AN174">
        <f t="shared" si="162"/>
        <v>317.37418100888959</v>
      </c>
      <c r="AO174">
        <f t="shared" si="163"/>
        <v>1.5676454666604134</v>
      </c>
      <c r="AP174" t="str">
        <f t="shared" si="144"/>
        <v>1+2.1444094971454i</v>
      </c>
      <c r="AQ174">
        <f t="shared" si="164"/>
        <v>2.3661132879571483</v>
      </c>
      <c r="AR174">
        <f t="shared" si="165"/>
        <v>1.1344466127305981</v>
      </c>
      <c r="AS174" s="42" t="str">
        <f t="shared" si="166"/>
        <v>-0.133203135095414+0.00657149252439683i</v>
      </c>
      <c r="AT174">
        <f t="shared" si="167"/>
        <v>-17.499153704480047</v>
      </c>
      <c r="AU174" s="44">
        <f t="shared" si="168"/>
        <v>177.17563881195386</v>
      </c>
      <c r="AV174" s="42" t="str">
        <f t="shared" si="145"/>
        <v>0.0506281591228696+1.49053564174783i</v>
      </c>
      <c r="AW174" s="20">
        <f t="shared" si="169"/>
        <v>3.4718549512010304</v>
      </c>
      <c r="AX174" s="44">
        <f t="shared" si="170"/>
        <v>88.054615419909496</v>
      </c>
    </row>
    <row r="175" spans="14:50" x14ac:dyDescent="0.3">
      <c r="N175" s="8">
        <v>57</v>
      </c>
      <c r="O175" s="35">
        <f t="shared" si="135"/>
        <v>371.53522909717265</v>
      </c>
      <c r="P175" s="34" t="str">
        <f t="shared" si="136"/>
        <v>545.10556621881</v>
      </c>
      <c r="Q175" s="4" t="str">
        <f t="shared" si="137"/>
        <v>1+49.869763585846i</v>
      </c>
      <c r="R175" s="4">
        <f t="shared" si="146"/>
        <v>49.879788693499613</v>
      </c>
      <c r="S175" s="4">
        <f t="shared" si="147"/>
        <v>1.5507467831479875</v>
      </c>
      <c r="T175" s="4" t="str">
        <f t="shared" si="138"/>
        <v>1+0.00116721234628148i</v>
      </c>
      <c r="U175" s="4">
        <f t="shared" si="148"/>
        <v>1.0000006811920987</v>
      </c>
      <c r="V175" s="4">
        <f t="shared" si="149"/>
        <v>1.1672118162178477E-3</v>
      </c>
      <c r="W175" t="str">
        <f t="shared" si="139"/>
        <v>1-0.0012125001853172i</v>
      </c>
      <c r="X175" s="4">
        <f t="shared" si="150"/>
        <v>1.0000007350780795</v>
      </c>
      <c r="Y175" s="4">
        <f t="shared" si="151"/>
        <v>-1.2124995911293006E-3</v>
      </c>
      <c r="Z175" t="str">
        <f t="shared" si="140"/>
        <v>0.999991165540707+0.00525065647819092i</v>
      </c>
      <c r="AA175" s="4">
        <f t="shared" si="152"/>
        <v>1.0000049502642043</v>
      </c>
      <c r="AB175" s="4">
        <f t="shared" si="153"/>
        <v>5.2506546123595194E-3</v>
      </c>
      <c r="AC175" s="48" t="str">
        <f t="shared" si="154"/>
        <v>0.161226625123683-10.9271576557813i</v>
      </c>
      <c r="AD175" s="20">
        <f t="shared" si="155"/>
        <v>20.771089539127317</v>
      </c>
      <c r="AE175" s="44">
        <f t="shared" si="156"/>
        <v>-89.154680915203841</v>
      </c>
      <c r="AF175" t="str">
        <f t="shared" si="141"/>
        <v>-0.979317078436135</v>
      </c>
      <c r="AG175" t="str">
        <f t="shared" si="157"/>
        <v>2334.42469256296i</v>
      </c>
      <c r="AH175">
        <f t="shared" si="158"/>
        <v>2334.42469256296</v>
      </c>
      <c r="AI175">
        <f t="shared" si="159"/>
        <v>1.5707963267948966</v>
      </c>
      <c r="AJ175" t="str">
        <f t="shared" si="142"/>
        <v>0.915646700300984+2.28754944473629i</v>
      </c>
      <c r="AK175">
        <f t="shared" si="160"/>
        <v>2.4639990547655226</v>
      </c>
      <c r="AL175">
        <f t="shared" si="161"/>
        <v>1.1900537146703114</v>
      </c>
      <c r="AM175" t="str">
        <f t="shared" si="143"/>
        <v>1+324.765163229359i</v>
      </c>
      <c r="AN175">
        <f t="shared" si="162"/>
        <v>324.76670279970546</v>
      </c>
      <c r="AO175">
        <f t="shared" si="163"/>
        <v>1.5677171885348375</v>
      </c>
      <c r="AP175" t="str">
        <f t="shared" si="144"/>
        <v>1+2.19435921100919i</v>
      </c>
      <c r="AQ175">
        <f t="shared" si="164"/>
        <v>2.4114751391919582</v>
      </c>
      <c r="AR175">
        <f t="shared" si="165"/>
        <v>1.1432008886043823</v>
      </c>
      <c r="AS175" s="42" t="str">
        <f t="shared" si="166"/>
        <v>-0.133172818490303+0.00665511218582317i</v>
      </c>
      <c r="AT175">
        <f t="shared" si="167"/>
        <v>-17.500855836676521</v>
      </c>
      <c r="AU175" s="44">
        <f t="shared" si="168"/>
        <v>177.13910918132308</v>
      </c>
      <c r="AV175" s="42" t="str">
        <f t="shared" si="145"/>
        <v>0.0512504559880007+1.45627336438583i</v>
      </c>
      <c r="AW175" s="20">
        <f t="shared" si="169"/>
        <v>3.2702337024508115</v>
      </c>
      <c r="AX175" s="44">
        <f t="shared" si="170"/>
        <v>87.984428266119266</v>
      </c>
    </row>
    <row r="176" spans="14:50" x14ac:dyDescent="0.3">
      <c r="N176" s="8">
        <v>58</v>
      </c>
      <c r="O176" s="35">
        <f t="shared" si="135"/>
        <v>380.18939632056163</v>
      </c>
      <c r="P176" s="34" t="str">
        <f t="shared" si="136"/>
        <v>545.10556621881</v>
      </c>
      <c r="Q176" s="4" t="str">
        <f t="shared" si="137"/>
        <v>1+51.0313796040941i</v>
      </c>
      <c r="R176" s="4">
        <f t="shared" si="146"/>
        <v>51.04117655674829</v>
      </c>
      <c r="S176" s="4">
        <f t="shared" si="147"/>
        <v>1.5512030483265982</v>
      </c>
      <c r="T176" s="4" t="str">
        <f t="shared" si="138"/>
        <v>1+0.00119440021445341i</v>
      </c>
      <c r="U176" s="4">
        <f t="shared" si="148"/>
        <v>1.0000007132956816</v>
      </c>
      <c r="V176" s="4">
        <f t="shared" si="149"/>
        <v>1.1943996464800169E-3</v>
      </c>
      <c r="W176" t="str">
        <f t="shared" si="139"/>
        <v>1-0.0012407429427742i</v>
      </c>
      <c r="X176" s="4">
        <f t="shared" si="150"/>
        <v>1.0000007697212288</v>
      </c>
      <c r="Y176" s="4">
        <f t="shared" si="151"/>
        <v>-1.2407423060904214E-3</v>
      </c>
      <c r="Z176" t="str">
        <f t="shared" si="140"/>
        <v>0.999990749185467+0.00537295997900631i</v>
      </c>
      <c r="AA176" s="4">
        <f t="shared" si="152"/>
        <v>1.0000051835642891</v>
      </c>
      <c r="AB176" s="4">
        <f t="shared" si="153"/>
        <v>5.3729579797283673E-3</v>
      </c>
      <c r="AC176" s="48" t="str">
        <f t="shared" si="154"/>
        <v>0.151368511434667-10.6786095193315i</v>
      </c>
      <c r="AD176" s="20">
        <f t="shared" si="155"/>
        <v>20.571166656383181</v>
      </c>
      <c r="AE176" s="44">
        <f t="shared" si="156"/>
        <v>-89.187890891488607</v>
      </c>
      <c r="AF176" t="str">
        <f t="shared" si="141"/>
        <v>-0.979317078436135</v>
      </c>
      <c r="AG176" t="str">
        <f t="shared" si="157"/>
        <v>2388.80042890683i</v>
      </c>
      <c r="AH176">
        <f t="shared" si="158"/>
        <v>2388.8004289068299</v>
      </c>
      <c r="AI176">
        <f t="shared" si="159"/>
        <v>1.5707963267948966</v>
      </c>
      <c r="AJ176" t="str">
        <f t="shared" si="142"/>
        <v>0.911671251762867+2.34083331629438i</v>
      </c>
      <c r="AK176">
        <f t="shared" si="160"/>
        <v>2.5120997364684023</v>
      </c>
      <c r="AL176">
        <f t="shared" si="161"/>
        <v>1.1994052241774296</v>
      </c>
      <c r="AM176" t="str">
        <f t="shared" si="143"/>
        <v>1+332.329915669518i</v>
      </c>
      <c r="AN176">
        <f t="shared" si="162"/>
        <v>332.3314201951253</v>
      </c>
      <c r="AO176">
        <f t="shared" si="163"/>
        <v>1.5677872778506918</v>
      </c>
      <c r="AP176" t="str">
        <f t="shared" si="144"/>
        <v>1+2.24547240317243i</v>
      </c>
      <c r="AQ176">
        <f t="shared" si="164"/>
        <v>2.4580777679741881</v>
      </c>
      <c r="AR176">
        <f t="shared" si="165"/>
        <v>1.1518239202321305</v>
      </c>
      <c r="AS176" s="42" t="str">
        <f t="shared" si="166"/>
        <v>-0.133142774864175+0.00674149230204155i</v>
      </c>
      <c r="AT176">
        <f t="shared" si="167"/>
        <v>-17.502527913604887</v>
      </c>
      <c r="AU176" s="44">
        <f t="shared" si="168"/>
        <v>177.10138629535399</v>
      </c>
      <c r="AV176" s="42" t="str">
        <f t="shared" si="145"/>
        <v>0.0518361402316098+1.4228001527494i</v>
      </c>
      <c r="AW176" s="20">
        <f t="shared" si="169"/>
        <v>3.0686387427783037</v>
      </c>
      <c r="AX176" s="44">
        <f t="shared" si="170"/>
        <v>87.913495403865369</v>
      </c>
    </row>
    <row r="177" spans="14:50" x14ac:dyDescent="0.3">
      <c r="N177" s="8">
        <v>59</v>
      </c>
      <c r="O177" s="35">
        <f t="shared" si="135"/>
        <v>389.04514499428063</v>
      </c>
      <c r="P177" s="34" t="str">
        <f t="shared" si="136"/>
        <v>545.10556621881</v>
      </c>
      <c r="Q177" s="4" t="str">
        <f t="shared" si="137"/>
        <v>1+52.2200531352885i</v>
      </c>
      <c r="R177" s="4">
        <f t="shared" si="146"/>
        <v>52.229627123428273</v>
      </c>
      <c r="S177" s="4">
        <f t="shared" si="147"/>
        <v>1.5516489355256513</v>
      </c>
      <c r="T177" s="4" t="str">
        <f t="shared" si="138"/>
        <v>1+0.00122222136942881i</v>
      </c>
      <c r="U177" s="4">
        <f t="shared" si="148"/>
        <v>1.0000007469122589</v>
      </c>
      <c r="V177" s="4">
        <f t="shared" si="149"/>
        <v>1.2222207608343788E-3</v>
      </c>
      <c r="W177" t="str">
        <f t="shared" si="139"/>
        <v>1-0.00126964355856264i</v>
      </c>
      <c r="X177" s="4">
        <f t="shared" si="150"/>
        <v>1.0000008059970582</v>
      </c>
      <c r="Y177" s="4">
        <f t="shared" si="151"/>
        <v>-1.2696428763437095E-3</v>
      </c>
      <c r="Z177" t="str">
        <f t="shared" si="140"/>
        <v>0.99999031320801+0.00549811229432211i</v>
      </c>
      <c r="AA177" s="4">
        <f t="shared" si="152"/>
        <v>1.0000054278595967</v>
      </c>
      <c r="AB177" s="4">
        <f t="shared" si="153"/>
        <v>5.4981101520531813E-3</v>
      </c>
      <c r="AC177" s="48" t="str">
        <f t="shared" si="154"/>
        <v>0.141953755145918-10.4357059358877i</v>
      </c>
      <c r="AD177" s="20">
        <f t="shared" si="155"/>
        <v>20.371240170827992</v>
      </c>
      <c r="AE177" s="44">
        <f t="shared" si="156"/>
        <v>-89.220670885671538</v>
      </c>
      <c r="AF177" t="str">
        <f t="shared" si="141"/>
        <v>-0.979317078436135</v>
      </c>
      <c r="AG177" t="str">
        <f t="shared" si="157"/>
        <v>2444.44273885762i</v>
      </c>
      <c r="AH177">
        <f t="shared" si="158"/>
        <v>2444.44273885762</v>
      </c>
      <c r="AI177">
        <f t="shared" si="159"/>
        <v>1.5707963267948966</v>
      </c>
      <c r="AJ177" t="str">
        <f t="shared" si="142"/>
        <v>0.907508446107298+2.39535832866136i</v>
      </c>
      <c r="AK177">
        <f t="shared" si="160"/>
        <v>2.5615060223320625</v>
      </c>
      <c r="AL177">
        <f t="shared" si="161"/>
        <v>1.2086447574725712</v>
      </c>
      <c r="AM177" t="str">
        <f t="shared" si="143"/>
        <v>1+340.070873829872i</v>
      </c>
      <c r="AN177">
        <f t="shared" si="162"/>
        <v>340.07234410844518</v>
      </c>
      <c r="AO177">
        <f t="shared" si="163"/>
        <v>1.5678557717675035</v>
      </c>
      <c r="AP177" t="str">
        <f t="shared" si="144"/>
        <v>1+2.29777617452617i</v>
      </c>
      <c r="AQ177">
        <f t="shared" si="164"/>
        <v>2.5059479939176947</v>
      </c>
      <c r="AR177">
        <f t="shared" si="165"/>
        <v>1.160315149180849</v>
      </c>
      <c r="AS177" s="42" t="str">
        <f t="shared" si="166"/>
        <v>-0.133112977378776+0.0068307102750591i</v>
      </c>
      <c r="AT177">
        <f t="shared" si="167"/>
        <v>-17.504171050728953</v>
      </c>
      <c r="AU177" s="44">
        <f t="shared" si="168"/>
        <v>177.06243602686823</v>
      </c>
      <c r="AV177" s="42" t="str">
        <f t="shared" si="145"/>
        <v>0.0523873967661925+1.39009753314924i</v>
      </c>
      <c r="AW177" s="20">
        <f t="shared" si="169"/>
        <v>2.8670691200990617</v>
      </c>
      <c r="AX177" s="44">
        <f t="shared" si="170"/>
        <v>87.841765141196689</v>
      </c>
    </row>
    <row r="178" spans="14:50" x14ac:dyDescent="0.3">
      <c r="N178" s="8">
        <v>60</v>
      </c>
      <c r="O178" s="35">
        <f t="shared" si="135"/>
        <v>398.10717055349761</v>
      </c>
      <c r="P178" s="34" t="str">
        <f t="shared" si="136"/>
        <v>545.10556621881</v>
      </c>
      <c r="Q178" s="4" t="str">
        <f t="shared" si="137"/>
        <v>1+53.4364144298692i</v>
      </c>
      <c r="R178" s="4">
        <f t="shared" si="146"/>
        <v>53.445770526026976</v>
      </c>
      <c r="S178" s="4">
        <f t="shared" si="147"/>
        <v>1.552084680450841</v>
      </c>
      <c r="T178" s="4" t="str">
        <f t="shared" si="138"/>
        <v>1+0.00125069056235229i</v>
      </c>
      <c r="U178" s="4">
        <f t="shared" si="148"/>
        <v>1.0000007821131356</v>
      </c>
      <c r="V178" s="4">
        <f t="shared" si="149"/>
        <v>1.2506899102316354E-3</v>
      </c>
      <c r="W178" t="str">
        <f t="shared" si="139"/>
        <v>1-0.00129921735617155i</v>
      </c>
      <c r="X178" s="4">
        <f t="shared" si="150"/>
        <v>1.0000008439825132</v>
      </c>
      <c r="Y178" s="4">
        <f t="shared" si="151"/>
        <v>-1.2992166251608289E-3</v>
      </c>
      <c r="Z178" t="str">
        <f t="shared" si="140"/>
        <v>0.999989856683568+0.00562617978155246i</v>
      </c>
      <c r="AA178" s="4">
        <f t="shared" si="152"/>
        <v>1.0000056836683267</v>
      </c>
      <c r="AB178" s="4">
        <f t="shared" si="153"/>
        <v>5.6261774860654418E-3</v>
      </c>
      <c r="AC178" s="48" t="str">
        <f t="shared" si="154"/>
        <v>0.132962431269936-10.1983192744284i</v>
      </c>
      <c r="AD178" s="20">
        <f t="shared" si="155"/>
        <v>20.171310238216378</v>
      </c>
      <c r="AE178" s="44">
        <f t="shared" si="156"/>
        <v>-89.253038237446376</v>
      </c>
      <c r="AF178" t="str">
        <f t="shared" si="141"/>
        <v>-0.979317078436135</v>
      </c>
      <c r="AG178" t="str">
        <f t="shared" si="157"/>
        <v>2501.38112470457i</v>
      </c>
      <c r="AH178">
        <f t="shared" si="158"/>
        <v>2501.3811247045701</v>
      </c>
      <c r="AI178">
        <f t="shared" si="159"/>
        <v>1.5707963267948966</v>
      </c>
      <c r="AJ178" t="str">
        <f t="shared" si="142"/>
        <v>0.903149453465364+2.45115339172051i</v>
      </c>
      <c r="AK178">
        <f t="shared" si="160"/>
        <v>2.6122465207245935</v>
      </c>
      <c r="AL178">
        <f t="shared" si="161"/>
        <v>1.2177725537992996</v>
      </c>
      <c r="AM178" t="str">
        <f t="shared" si="143"/>
        <v>1+347.9921420689i</v>
      </c>
      <c r="AN178">
        <f t="shared" si="162"/>
        <v>347.99357887998667</v>
      </c>
      <c r="AO178">
        <f t="shared" si="163"/>
        <v>1.5679227065990815</v>
      </c>
      <c r="AP178" t="str">
        <f t="shared" si="144"/>
        <v>1+2.3512982572223i</v>
      </c>
      <c r="AQ178">
        <f t="shared" si="164"/>
        <v>2.5551132057927735</v>
      </c>
      <c r="AR178">
        <f t="shared" si="165"/>
        <v>1.1686741787586434</v>
      </c>
      <c r="AS178" s="42" t="str">
        <f t="shared" si="166"/>
        <v>-0.133083397496154+0.00692284389427351i</v>
      </c>
      <c r="AT178">
        <f t="shared" si="167"/>
        <v>-17.50578644836876</v>
      </c>
      <c r="AU178" s="44">
        <f t="shared" si="168"/>
        <v>177.02222402007618</v>
      </c>
      <c r="AV178" s="42" t="str">
        <f t="shared" si="145"/>
        <v>0.0529062802280765+1.35814745594693i</v>
      </c>
      <c r="AW178" s="20">
        <f t="shared" si="169"/>
        <v>2.6655237898476285</v>
      </c>
      <c r="AX178" s="44">
        <f t="shared" si="170"/>
        <v>87.769185782629805</v>
      </c>
    </row>
    <row r="179" spans="14:50" x14ac:dyDescent="0.3">
      <c r="N179" s="8">
        <v>61</v>
      </c>
      <c r="O179" s="35">
        <f t="shared" si="135"/>
        <v>407.38027780411272</v>
      </c>
      <c r="P179" s="34" t="str">
        <f t="shared" si="136"/>
        <v>545.10556621881</v>
      </c>
      <c r="Q179" s="4" t="str">
        <f t="shared" si="137"/>
        <v>1+54.6811084186954i</v>
      </c>
      <c r="R179" s="4">
        <f t="shared" si="146"/>
        <v>54.690251580122776</v>
      </c>
      <c r="S179" s="4">
        <f t="shared" si="147"/>
        <v>1.5525105134776236</v>
      </c>
      <c r="T179" s="4" t="str">
        <f t="shared" si="138"/>
        <v>1+0.00127982288796677i</v>
      </c>
      <c r="U179" s="4">
        <f t="shared" si="148"/>
        <v>1.000000818972977</v>
      </c>
      <c r="V179" s="4">
        <f t="shared" si="149"/>
        <v>1.2798221892069302E-3</v>
      </c>
      <c r="W179" t="str">
        <f t="shared" si="139"/>
        <v>1-0.00132948001601988i</v>
      </c>
      <c r="X179" s="4">
        <f t="shared" si="150"/>
        <v>1.000000883758166</v>
      </c>
      <c r="Y179" s="4">
        <f t="shared" si="151"/>
        <v>-1.3294792327278174E-3</v>
      </c>
      <c r="Z179" t="str">
        <f t="shared" si="140"/>
        <v>0.999989378643792+0.0057572303437743i</v>
      </c>
      <c r="AA179" s="4">
        <f t="shared" si="152"/>
        <v>1.0000059515331039</v>
      </c>
      <c r="AB179" s="4">
        <f t="shared" si="153"/>
        <v>5.7572278841105896E-3</v>
      </c>
      <c r="AC179" s="48" t="str">
        <f t="shared" si="154"/>
        <v>0.124375509021789-9.96632475176568i</v>
      </c>
      <c r="AD179" s="20">
        <f t="shared" si="155"/>
        <v>19.971377007007241</v>
      </c>
      <c r="AE179" s="44">
        <f t="shared" si="156"/>
        <v>-89.285010070427546</v>
      </c>
      <c r="AF179" t="str">
        <f t="shared" si="141"/>
        <v>-0.979317078436135</v>
      </c>
      <c r="AG179" t="str">
        <f t="shared" si="157"/>
        <v>2559.64577593354i</v>
      </c>
      <c r="AH179">
        <f t="shared" si="158"/>
        <v>2559.6457759335399</v>
      </c>
      <c r="AI179">
        <f t="shared" si="159"/>
        <v>1.5707963267948966</v>
      </c>
      <c r="AJ179" t="str">
        <f t="shared" si="142"/>
        <v>0.89858502782925+2.50824808875279i</v>
      </c>
      <c r="AK179">
        <f t="shared" si="160"/>
        <v>2.6643504887628651</v>
      </c>
      <c r="AL179">
        <f t="shared" si="161"/>
        <v>1.2267890107548363</v>
      </c>
      <c r="AM179" t="str">
        <f t="shared" si="143"/>
        <v>1+356.097920347874i</v>
      </c>
      <c r="AN179">
        <f t="shared" si="162"/>
        <v>356.0993244532778</v>
      </c>
      <c r="AO179">
        <f t="shared" si="163"/>
        <v>1.567988117832759</v>
      </c>
      <c r="AP179" t="str">
        <f t="shared" si="144"/>
        <v>1+2.40606702937753i</v>
      </c>
      <c r="AQ179">
        <f t="shared" si="164"/>
        <v>2.6056013796929127</v>
      </c>
      <c r="AR179">
        <f t="shared" si="165"/>
        <v>1.1769007673936582</v>
      </c>
      <c r="AS179" s="42" t="str">
        <f t="shared" si="166"/>
        <v>-0.133054005019776+0.00701797134071749i</v>
      </c>
      <c r="AT179">
        <f t="shared" si="167"/>
        <v>-17.507375387817724</v>
      </c>
      <c r="AU179" s="44">
        <f t="shared" si="168"/>
        <v>176.98071568656164</v>
      </c>
      <c r="AV179" s="42" t="str">
        <f t="shared" si="145"/>
        <v>0.0533947218784526+1.32693228730795i</v>
      </c>
      <c r="AW179" s="20">
        <f t="shared" si="169"/>
        <v>2.4640016191895149</v>
      </c>
      <c r="AX179" s="44">
        <f t="shared" si="170"/>
        <v>87.695705616134106</v>
      </c>
    </row>
    <row r="180" spans="14:50" x14ac:dyDescent="0.3">
      <c r="N180" s="8">
        <v>62</v>
      </c>
      <c r="O180" s="35">
        <f t="shared" si="135"/>
        <v>416.86938347033572</v>
      </c>
      <c r="P180" s="34" t="str">
        <f t="shared" si="136"/>
        <v>545.10556621881</v>
      </c>
      <c r="Q180" s="4" t="str">
        <f t="shared" si="137"/>
        <v>1+55.9547950549952i</v>
      </c>
      <c r="R180" s="4">
        <f t="shared" si="146"/>
        <v>55.963730126274783</v>
      </c>
      <c r="S180" s="4">
        <f t="shared" si="147"/>
        <v>1.5529266597702083</v>
      </c>
      <c r="T180" s="4" t="str">
        <f t="shared" si="138"/>
        <v>1+0.00130963379261691i</v>
      </c>
      <c r="U180" s="4">
        <f t="shared" si="148"/>
        <v>1.0000008575699677</v>
      </c>
      <c r="V180" s="4">
        <f t="shared" si="149"/>
        <v>1.3096330438822866E-3</v>
      </c>
      <c r="W180" t="str">
        <f t="shared" si="139"/>
        <v>1-0.00136044758377045i</v>
      </c>
      <c r="X180" s="4">
        <f t="shared" si="150"/>
        <v>1.0000009254083859</v>
      </c>
      <c r="Y180" s="4">
        <f t="shared" si="151"/>
        <v>-1.3604467444579254E-3</v>
      </c>
      <c r="Z180" t="str">
        <f t="shared" si="140"/>
        <v>0.999988878074696+0.00589133346573037i</v>
      </c>
      <c r="AA180" s="4">
        <f t="shared" si="152"/>
        <v>1.0000062320221279</v>
      </c>
      <c r="AB180" s="4">
        <f t="shared" si="153"/>
        <v>5.8913308301475455E-3</v>
      </c>
      <c r="AC180" s="48" t="str">
        <f t="shared" si="154"/>
        <v>0.116174811799849-9.73960037153323i</v>
      </c>
      <c r="AD180" s="20">
        <f t="shared" si="155"/>
        <v>19.771440618676813</v>
      </c>
      <c r="AE180" s="44">
        <f t="shared" si="156"/>
        <v>-89.316603301048445</v>
      </c>
      <c r="AF180" t="str">
        <f t="shared" si="141"/>
        <v>-0.979317078436135</v>
      </c>
      <c r="AG180" t="str">
        <f t="shared" si="157"/>
        <v>2619.26758523383i</v>
      </c>
      <c r="AH180">
        <f t="shared" si="158"/>
        <v>2619.2675852338298</v>
      </c>
      <c r="AI180">
        <f t="shared" si="159"/>
        <v>1.5707963267948966</v>
      </c>
      <c r="AJ180" t="str">
        <f t="shared" si="142"/>
        <v>0.89380548744022+2.56667269212233i</v>
      </c>
      <c r="AK180">
        <f t="shared" si="160"/>
        <v>2.717847854068498</v>
      </c>
      <c r="AL180">
        <f t="shared" si="161"/>
        <v>1.2356946776839057</v>
      </c>
      <c r="AM180" t="str">
        <f t="shared" si="143"/>
        <v>1+364.39250645773i</v>
      </c>
      <c r="AN180">
        <f t="shared" si="162"/>
        <v>364.39387860191448</v>
      </c>
      <c r="AO180">
        <f t="shared" si="163"/>
        <v>1.5680520401481979</v>
      </c>
      <c r="AP180" t="str">
        <f t="shared" si="144"/>
        <v>1+2.46211153011981i</v>
      </c>
      <c r="AQ180">
        <f t="shared" si="164"/>
        <v>2.6574410975125886</v>
      </c>
      <c r="AR180">
        <f t="shared" si="165"/>
        <v>1.1849948218902862</v>
      </c>
      <c r="AS180" s="42" t="str">
        <f t="shared" si="166"/>
        <v>-0.133024768131749+0.00711617119713123i</v>
      </c>
      <c r="AT180">
        <f t="shared" si="167"/>
        <v>-17.508939227642948</v>
      </c>
      <c r="AU180" s="44">
        <f t="shared" si="168"/>
        <v>176.93787619847376</v>
      </c>
      <c r="AV180" s="42" t="str">
        <f t="shared" si="145"/>
        <v>0.0538545362330489+1.29643480096867i</v>
      </c>
      <c r="AW180" s="20">
        <f t="shared" si="169"/>
        <v>2.2625013910338891</v>
      </c>
      <c r="AX180" s="44">
        <f t="shared" si="170"/>
        <v>87.621272897425328</v>
      </c>
    </row>
    <row r="181" spans="14:50" x14ac:dyDescent="0.3">
      <c r="N181" s="8">
        <v>63</v>
      </c>
      <c r="O181" s="35">
        <f t="shared" si="135"/>
        <v>426.57951880159294</v>
      </c>
      <c r="P181" s="34" t="str">
        <f t="shared" si="136"/>
        <v>545.10556621881</v>
      </c>
      <c r="Q181" s="4" t="str">
        <f t="shared" si="137"/>
        <v>1+57.2581496642824i</v>
      </c>
      <c r="R181" s="4">
        <f t="shared" si="146"/>
        <v>57.266881379881006</v>
      </c>
      <c r="S181" s="4">
        <f t="shared" si="147"/>
        <v>1.5533333393979991</v>
      </c>
      <c r="T181" s="4" t="str">
        <f t="shared" si="138"/>
        <v>1+0.00134013908243895i</v>
      </c>
      <c r="U181" s="4">
        <f t="shared" si="148"/>
        <v>1.0000008979859769</v>
      </c>
      <c r="V181" s="4">
        <f t="shared" si="149"/>
        <v>1.3401382801553855E-3</v>
      </c>
      <c r="W181" t="str">
        <f t="shared" si="139"/>
        <v>1-0.00139213647883758i</v>
      </c>
      <c r="X181" s="4">
        <f t="shared" si="150"/>
        <v>1.0000009690215184</v>
      </c>
      <c r="Y181" s="4">
        <f t="shared" si="151"/>
        <v>-1.3921355794980538E-3</v>
      </c>
      <c r="Z181" t="str">
        <f t="shared" si="140"/>
        <v>0.999988353914505+0.00602856025067098i</v>
      </c>
      <c r="AA181" s="4">
        <f t="shared" si="152"/>
        <v>1.0000065257303761</v>
      </c>
      <c r="AB181" s="4">
        <f t="shared" si="153"/>
        <v>6.0285574265867368E-3</v>
      </c>
      <c r="AC181" s="48" t="str">
        <f t="shared" si="154"/>
        <v>0.108342978947832-9.51802686431045i</v>
      </c>
      <c r="AD181" s="20">
        <f t="shared" si="155"/>
        <v>19.571501208017963</v>
      </c>
      <c r="AE181" s="44">
        <f t="shared" si="156"/>
        <v>-89.347834647361708</v>
      </c>
      <c r="AF181" t="str">
        <f t="shared" si="141"/>
        <v>-0.979317078436135</v>
      </c>
      <c r="AG181" t="str">
        <f t="shared" si="157"/>
        <v>2680.27816487791i</v>
      </c>
      <c r="AH181">
        <f t="shared" si="158"/>
        <v>2680.2781648779101</v>
      </c>
      <c r="AI181">
        <f t="shared" si="159"/>
        <v>1.5707963267948966</v>
      </c>
      <c r="AJ181" t="str">
        <f t="shared" si="142"/>
        <v>0.888800694252304+2.62645817932716i</v>
      </c>
      <c r="AK181">
        <f t="shared" si="160"/>
        <v>2.7727692370368509</v>
      </c>
      <c r="AL181">
        <f t="shared" si="161"/>
        <v>1.2444902490361445</v>
      </c>
      <c r="AM181" t="str">
        <f t="shared" si="143"/>
        <v>1+372.880298297815i</v>
      </c>
      <c r="AN181">
        <f t="shared" si="162"/>
        <v>372.88163920829822</v>
      </c>
      <c r="AO181">
        <f t="shared" si="163"/>
        <v>1.568114507435765</v>
      </c>
      <c r="AP181" t="str">
        <f t="shared" si="144"/>
        <v>1+2.51946147498524i</v>
      </c>
      <c r="AQ181">
        <f t="shared" si="164"/>
        <v>2.7106615657316575</v>
      </c>
      <c r="AR181">
        <f t="shared" si="165"/>
        <v>1.1929563906037599</v>
      </c>
      <c r="AS181" s="42" t="str">
        <f t="shared" si="166"/>
        <v>-0.132995653425719+0.00721752246338973i</v>
      </c>
      <c r="AT181">
        <f t="shared" si="167"/>
        <v>-17.510479400195873</v>
      </c>
      <c r="AU181" s="44">
        <f t="shared" si="168"/>
        <v>176.89367047910497</v>
      </c>
      <c r="AV181" s="42" t="str">
        <f t="shared" si="145"/>
        <v>0.0542874274210517+1.26663817002682i</v>
      </c>
      <c r="AW181" s="20">
        <f t="shared" si="169"/>
        <v>2.0610218078220783</v>
      </c>
      <c r="AX181" s="44">
        <f t="shared" si="170"/>
        <v>87.545835831743275</v>
      </c>
    </row>
    <row r="182" spans="14:50" x14ac:dyDescent="0.3">
      <c r="N182" s="8">
        <v>64</v>
      </c>
      <c r="O182" s="35">
        <f t="shared" si="135"/>
        <v>436.51583224016622</v>
      </c>
      <c r="P182" s="34" t="str">
        <f t="shared" si="136"/>
        <v>545.10556621881</v>
      </c>
      <c r="Q182" s="4" t="str">
        <f t="shared" si="137"/>
        <v>1+58.5918633024227i</v>
      </c>
      <c r="R182" s="4">
        <f t="shared" si="146"/>
        <v>58.600396289187223</v>
      </c>
      <c r="S182" s="4">
        <f t="shared" si="147"/>
        <v>1.5537307674495282</v>
      </c>
      <c r="T182" s="4" t="str">
        <f t="shared" si="138"/>
        <v>1+0.00137135493174134i</v>
      </c>
      <c r="U182" s="4">
        <f t="shared" si="148"/>
        <v>1.0000009403067325</v>
      </c>
      <c r="V182" s="4">
        <f t="shared" si="149"/>
        <v>1.371354072079056E-3</v>
      </c>
      <c r="W182" t="str">
        <f t="shared" si="139"/>
        <v>1-0.0014245635030929i</v>
      </c>
      <c r="X182" s="4">
        <f t="shared" si="150"/>
        <v>1.0000010146900724</v>
      </c>
      <c r="Y182" s="4">
        <f t="shared" si="151"/>
        <v>-1.4245625394332885E-3</v>
      </c>
      <c r="Z182" t="str">
        <f t="shared" si="140"/>
        <v>0.999987805051405+0.00616898345805391i</v>
      </c>
      <c r="AA182" s="4">
        <f t="shared" si="152"/>
        <v>1.0000068332808696</v>
      </c>
      <c r="AB182" s="4">
        <f t="shared" si="153"/>
        <v>6.1689804319859836E-3</v>
      </c>
      <c r="AC182" s="48" t="str">
        <f t="shared" si="154"/>
        <v>0.1008634292197-9.30148762887152i</v>
      </c>
      <c r="AD182" s="20">
        <f t="shared" si="155"/>
        <v>19.371558903424646</v>
      </c>
      <c r="AE182" s="44">
        <f t="shared" si="156"/>
        <v>-89.378720637745701</v>
      </c>
      <c r="AF182" t="str">
        <f t="shared" si="141"/>
        <v>-0.979317078436135</v>
      </c>
      <c r="AG182" t="str">
        <f t="shared" si="157"/>
        <v>2742.70986348268i</v>
      </c>
      <c r="AH182">
        <f t="shared" si="158"/>
        <v>2742.7098634826798</v>
      </c>
      <c r="AI182">
        <f t="shared" si="159"/>
        <v>1.5707963267948966</v>
      </c>
      <c r="AJ182" t="str">
        <f t="shared" si="142"/>
        <v>0.883560032428148+2.68763624942395i</v>
      </c>
      <c r="AK182">
        <f t="shared" si="160"/>
        <v>2.8291459736326909</v>
      </c>
      <c r="AL182">
        <f t="shared" si="161"/>
        <v>1.2531765577221741</v>
      </c>
      <c r="AM182" t="str">
        <f t="shared" si="143"/>
        <v>1+381.56579620771i</v>
      </c>
      <c r="AN182">
        <f t="shared" si="162"/>
        <v>381.56710659545018</v>
      </c>
      <c r="AO182">
        <f t="shared" si="163"/>
        <v>1.5681755528144921</v>
      </c>
      <c r="AP182" t="str">
        <f t="shared" si="144"/>
        <v>1+2.57814727167373i</v>
      </c>
      <c r="AQ182">
        <f t="shared" si="164"/>
        <v>2.7652926345033899</v>
      </c>
      <c r="AR182">
        <f t="shared" si="165"/>
        <v>1.2007856565713975</v>
      </c>
      <c r="AS182" s="42" t="str">
        <f t="shared" si="166"/>
        <v>-0.132966625935083+0.00732210457680776i</v>
      </c>
      <c r="AT182">
        <f t="shared" si="167"/>
        <v>-17.511997408356464</v>
      </c>
      <c r="AU182" s="44">
        <f t="shared" si="168"/>
        <v>176.84806319103853</v>
      </c>
      <c r="AV182" s="42" t="str">
        <f t="shared" si="145"/>
        <v>0.0546949952748953+1.23752595876468i</v>
      </c>
      <c r="AW182" s="20">
        <f t="shared" si="169"/>
        <v>1.8595614950681556</v>
      </c>
      <c r="AX182" s="44">
        <f t="shared" si="170"/>
        <v>87.469342553292833</v>
      </c>
    </row>
    <row r="183" spans="14:50" x14ac:dyDescent="0.3">
      <c r="N183" s="8">
        <v>65</v>
      </c>
      <c r="O183" s="35">
        <f t="shared" si="135"/>
        <v>446.68359215096331</v>
      </c>
      <c r="P183" s="34" t="str">
        <f t="shared" si="136"/>
        <v>545.10556621881</v>
      </c>
      <c r="Q183" s="4" t="str">
        <f t="shared" si="137"/>
        <v>1+59.956643122041i</v>
      </c>
      <c r="R183" s="4">
        <f t="shared" si="146"/>
        <v>59.964981901638112</v>
      </c>
      <c r="S183" s="4">
        <f t="shared" si="147"/>
        <v>1.5541191541439343</v>
      </c>
      <c r="T183" s="4" t="str">
        <f t="shared" si="138"/>
        <v>1+0.00140329789158056i</v>
      </c>
      <c r="U183" s="4">
        <f t="shared" si="148"/>
        <v>1.0000009846220015</v>
      </c>
      <c r="V183" s="4">
        <f t="shared" si="149"/>
        <v>1.4032969704358758E-3</v>
      </c>
      <c r="W183" t="str">
        <f t="shared" si="139"/>
        <v>1-0.00145774584977389i</v>
      </c>
      <c r="X183" s="4">
        <f t="shared" si="150"/>
        <v>1.0000010625109168</v>
      </c>
      <c r="Y183" s="4">
        <f t="shared" si="151"/>
        <v>-1.4577448171940717E-3</v>
      </c>
      <c r="Z183" t="str">
        <f t="shared" si="140"/>
        <v>0.999987230321184+0.00631267754212245i</v>
      </c>
      <c r="AA183" s="4">
        <f t="shared" si="152"/>
        <v>1.0000071553259924</v>
      </c>
      <c r="AB183" s="4">
        <f t="shared" si="153"/>
        <v>6.3126742996242359E-3</v>
      </c>
      <c r="AC183" s="48" t="str">
        <f t="shared" si="154"/>
        <v>0.0937203258723958-9.08986867455105i</v>
      </c>
      <c r="AD183" s="20">
        <f t="shared" si="155"/>
        <v>19.171613827163295</v>
      </c>
      <c r="AE183" s="44">
        <f t="shared" si="156"/>
        <v>-89.409277619520864</v>
      </c>
      <c r="AF183" t="str">
        <f t="shared" si="141"/>
        <v>-0.979317078436135</v>
      </c>
      <c r="AG183" t="str">
        <f t="shared" si="157"/>
        <v>2806.59578316113i</v>
      </c>
      <c r="AH183">
        <f t="shared" si="158"/>
        <v>2806.5957831611299</v>
      </c>
      <c r="AI183">
        <f t="shared" si="159"/>
        <v>1.5707963267948966</v>
      </c>
      <c r="AJ183" t="str">
        <f t="shared" si="142"/>
        <v>0.878072385821392+2.75023933983526i</v>
      </c>
      <c r="AK183">
        <f t="shared" si="160"/>
        <v>2.8870101387282237</v>
      </c>
      <c r="AL183">
        <f t="shared" si="161"/>
        <v>1.2617545685004488</v>
      </c>
      <c r="AM183" t="str">
        <f t="shared" si="143"/>
        <v>1+390.453605353376i</v>
      </c>
      <c r="AN183">
        <f t="shared" si="162"/>
        <v>390.45488591314864</v>
      </c>
      <c r="AO183">
        <f t="shared" si="163"/>
        <v>1.5682352086496256</v>
      </c>
      <c r="AP183" t="str">
        <f t="shared" si="144"/>
        <v>1+2.63820003617147i</v>
      </c>
      <c r="AQ183">
        <f t="shared" si="164"/>
        <v>2.8213648170442522</v>
      </c>
      <c r="AR183">
        <f t="shared" si="165"/>
        <v>1.2084829306358129</v>
      </c>
      <c r="AS183" s="42" t="str">
        <f t="shared" si="166"/>
        <v>-0.132937649156214+0.00742999743684304i</v>
      </c>
      <c r="AT183">
        <f t="shared" si="167"/>
        <v>-17.513494822529687</v>
      </c>
      <c r="AU183" s="44">
        <f t="shared" si="168"/>
        <v>176.8010187220487</v>
      </c>
      <c r="AV183" s="42" t="str">
        <f t="shared" si="145"/>
        <v>0.0550787411535235+1.20908211451454i</v>
      </c>
      <c r="AW183" s="20">
        <f t="shared" si="169"/>
        <v>1.6581190046336158</v>
      </c>
      <c r="AX183" s="44">
        <f t="shared" si="170"/>
        <v>87.391741102527831</v>
      </c>
    </row>
    <row r="184" spans="14:50" x14ac:dyDescent="0.3">
      <c r="N184" s="8">
        <v>66</v>
      </c>
      <c r="O184" s="35">
        <f t="shared" ref="O184:O218" si="171">10^(2+(N184/100))</f>
        <v>457.0881896148756</v>
      </c>
      <c r="P184" s="34" t="str">
        <f t="shared" si="136"/>
        <v>545.10556621881</v>
      </c>
      <c r="Q184" s="4" t="str">
        <f t="shared" si="137"/>
        <v>1+61.3532127474627i</v>
      </c>
      <c r="R184" s="4">
        <f t="shared" si="146"/>
        <v>61.361361738763748</v>
      </c>
      <c r="S184" s="4">
        <f t="shared" si="147"/>
        <v>1.5544987049400276</v>
      </c>
      <c r="T184" s="4" t="str">
        <f t="shared" si="138"/>
        <v>1+0.00143598489853675i</v>
      </c>
      <c r="U184" s="4">
        <f t="shared" si="148"/>
        <v>1.000001031025783</v>
      </c>
      <c r="V184" s="4">
        <f t="shared" si="149"/>
        <v>1.4359839115124927E-3</v>
      </c>
      <c r="W184" t="str">
        <f t="shared" si="139"/>
        <v>1-0.00149170111259997i</v>
      </c>
      <c r="X184" s="4">
        <f t="shared" si="150"/>
        <v>1.0000011125854857</v>
      </c>
      <c r="Y184" s="4">
        <f t="shared" si="151"/>
        <v>-1.491700006170827E-3</v>
      </c>
      <c r="Z184" t="str">
        <f t="shared" si="140"/>
        <v>0.999986628504762+0.00645971869138201i</v>
      </c>
      <c r="AA184" s="4">
        <f t="shared" si="152"/>
        <v>1.0000074925488771</v>
      </c>
      <c r="AB184" s="4">
        <f t="shared" si="153"/>
        <v>6.459715216973588E-3</v>
      </c>
      <c r="AC184" s="48" t="str">
        <f t="shared" si="154"/>
        <v>0.086898543314588-8.88305856471487i</v>
      </c>
      <c r="AD184" s="20">
        <f t="shared" si="155"/>
        <v>18.971666095631207</v>
      </c>
      <c r="AE184" s="44">
        <f t="shared" si="156"/>
        <v>-89.439521767479732</v>
      </c>
      <c r="AF184" t="str">
        <f t="shared" si="141"/>
        <v>-0.979317078436135</v>
      </c>
      <c r="AG184" t="str">
        <f t="shared" si="157"/>
        <v>2871.9697970735i</v>
      </c>
      <c r="AH184">
        <f t="shared" si="158"/>
        <v>2871.9697970735001</v>
      </c>
      <c r="AI184">
        <f t="shared" si="159"/>
        <v>1.5707963267948966</v>
      </c>
      <c r="AJ184" t="str">
        <f t="shared" si="142"/>
        <v>0.872326114397844+2.81430064354827i</v>
      </c>
      <c r="AK184">
        <f t="shared" si="160"/>
        <v>2.9463945700018943</v>
      </c>
      <c r="AL184">
        <f t="shared" si="161"/>
        <v>1.2702253714240783</v>
      </c>
      <c r="AM184" t="str">
        <f t="shared" si="143"/>
        <v>1+399.548438168865i</v>
      </c>
      <c r="AN184">
        <f t="shared" si="162"/>
        <v>399.54968957963086</v>
      </c>
      <c r="AO184">
        <f t="shared" si="163"/>
        <v>1.5682935065697801</v>
      </c>
      <c r="AP184" t="str">
        <f t="shared" si="144"/>
        <v>1+2.6996516092491i</v>
      </c>
      <c r="AQ184">
        <f t="shared" si="164"/>
        <v>2.8789093093255391</v>
      </c>
      <c r="AR184">
        <f t="shared" si="165"/>
        <v>1.2160486445925685</v>
      </c>
      <c r="AS184" s="42" t="str">
        <f t="shared" si="166"/>
        <v>-0.132908685066414+0.00754128143370469i</v>
      </c>
      <c r="AT184">
        <f t="shared" si="167"/>
        <v>-17.514973277912066</v>
      </c>
      <c r="AU184" s="44">
        <f t="shared" si="168"/>
        <v>176.75250116894219</v>
      </c>
      <c r="AV184" s="42" t="str">
        <f t="shared" si="145"/>
        <v>0.055440073502467+1.18129095957551i</v>
      </c>
      <c r="AW184" s="20">
        <f t="shared" si="169"/>
        <v>1.4566928177191083</v>
      </c>
      <c r="AX184" s="44">
        <f t="shared" si="170"/>
        <v>87.312979401462442</v>
      </c>
    </row>
    <row r="185" spans="14:50" x14ac:dyDescent="0.3">
      <c r="N185" s="8">
        <v>67</v>
      </c>
      <c r="O185" s="35">
        <f t="shared" si="171"/>
        <v>467.7351412871983</v>
      </c>
      <c r="P185" s="34" t="str">
        <f t="shared" si="136"/>
        <v>545.10556621881</v>
      </c>
      <c r="Q185" s="4" t="str">
        <f t="shared" si="137"/>
        <v>1+62.7823126583887i</v>
      </c>
      <c r="R185" s="4">
        <f t="shared" si="146"/>
        <v>62.790276179800912</v>
      </c>
      <c r="S185" s="4">
        <f t="shared" si="147"/>
        <v>1.5548696206429919</v>
      </c>
      <c r="T185" s="4" t="str">
        <f t="shared" si="138"/>
        <v>1+0.00146943328369364i</v>
      </c>
      <c r="U185" s="4">
        <f t="shared" si="148"/>
        <v>1.0000010796165049</v>
      </c>
      <c r="V185" s="4">
        <f t="shared" si="149"/>
        <v>1.4694322260781554E-3</v>
      </c>
      <c r="W185" t="str">
        <f t="shared" si="139"/>
        <v>1-0.00152644729510095i</v>
      </c>
      <c r="X185" s="4">
        <f t="shared" si="150"/>
        <v>1.0000011650199938</v>
      </c>
      <c r="Y185" s="4">
        <f t="shared" si="151"/>
        <v>-1.5264461095408381E-3</v>
      </c>
      <c r="Z185" t="str">
        <f t="shared" si="140"/>
        <v>0.999985998325607+0.0066101848689962i</v>
      </c>
      <c r="AA185" s="4">
        <f t="shared" si="152"/>
        <v>1.0000078456648545</v>
      </c>
      <c r="AB185" s="4">
        <f t="shared" si="153"/>
        <v>6.6101811460904094E-3</v>
      </c>
      <c r="AC185" s="48" t="str">
        <f t="shared" si="154"/>
        <v>0.0803836352427196-8.68094836132474i</v>
      </c>
      <c r="AD185" s="20">
        <f t="shared" si="155"/>
        <v>18.771715819602566</v>
      </c>
      <c r="AE185" s="44">
        <f t="shared" si="156"/>
        <v>-89.469469092334819</v>
      </c>
      <c r="AF185" t="str">
        <f t="shared" si="141"/>
        <v>-0.979317078436135</v>
      </c>
      <c r="AG185" t="str">
        <f t="shared" si="157"/>
        <v>2938.86656738729i</v>
      </c>
      <c r="AH185">
        <f t="shared" si="158"/>
        <v>2938.8665673872902</v>
      </c>
      <c r="AI185">
        <f t="shared" si="159"/>
        <v>1.5707963267948966</v>
      </c>
      <c r="AJ185" t="str">
        <f t="shared" si="142"/>
        <v>0.866309029545398+2.87985412671416i</v>
      </c>
      <c r="AK185">
        <f t="shared" si="160"/>
        <v>3.0073328924188734</v>
      </c>
      <c r="AL185">
        <f t="shared" si="161"/>
        <v>1.2785901753739481</v>
      </c>
      <c r="AM185" t="str">
        <f t="shared" si="143"/>
        <v>1+408.85511685492i</v>
      </c>
      <c r="AN185">
        <f t="shared" si="162"/>
        <v>408.85633978018524</v>
      </c>
      <c r="AO185">
        <f t="shared" si="163"/>
        <v>1.568350477483698</v>
      </c>
      <c r="AP185" t="str">
        <f t="shared" si="144"/>
        <v>1+2.76253457334406i</v>
      </c>
      <c r="AQ185">
        <f t="shared" si="164"/>
        <v>2.9379580100677485</v>
      </c>
      <c r="AR185">
        <f t="shared" si="165"/>
        <v>1.2234833443917228</v>
      </c>
      <c r="AS185" s="42" t="str">
        <f t="shared" si="166"/>
        <v>-0.132879694136372+0.00765603748039546i</v>
      </c>
      <c r="AT185">
        <f t="shared" si="167"/>
        <v>-17.516434472041947</v>
      </c>
      <c r="AU185" s="44">
        <f t="shared" si="168"/>
        <v>176.70247431952106</v>
      </c>
      <c r="AV185" s="42" t="str">
        <f t="shared" si="145"/>
        <v>0.0557803131550575+1.1541371831907i</v>
      </c>
      <c r="AW185" s="20">
        <f t="shared" si="169"/>
        <v>1.2552813475606197</v>
      </c>
      <c r="AX185" s="44">
        <f t="shared" si="170"/>
        <v>87.23300522718624</v>
      </c>
    </row>
    <row r="186" spans="14:50" x14ac:dyDescent="0.3">
      <c r="N186" s="8">
        <v>68</v>
      </c>
      <c r="O186" s="35">
        <f t="shared" si="171"/>
        <v>478.63009232263886</v>
      </c>
      <c r="P186" s="34" t="str">
        <f t="shared" si="136"/>
        <v>545.10556621881</v>
      </c>
      <c r="Q186" s="4" t="str">
        <f t="shared" si="137"/>
        <v>1+64.2447005825085i</v>
      </c>
      <c r="R186" s="4">
        <f t="shared" si="146"/>
        <v>64.252482854253714</v>
      </c>
      <c r="S186" s="4">
        <f t="shared" si="147"/>
        <v>1.5552320975087683</v>
      </c>
      <c r="T186" s="4" t="str">
        <f t="shared" si="138"/>
        <v>1+0.00150366078182781i</v>
      </c>
      <c r="U186" s="4">
        <f t="shared" si="148"/>
        <v>1.0000011304972345</v>
      </c>
      <c r="V186" s="4">
        <f t="shared" si="149"/>
        <v>1.5036596485724699E-3</v>
      </c>
      <c r="W186" t="str">
        <f t="shared" si="139"/>
        <v>1-0.00156200282016272i</v>
      </c>
      <c r="X186" s="4">
        <f t="shared" si="150"/>
        <v>1.0000012199256609</v>
      </c>
      <c r="Y186" s="4">
        <f t="shared" si="151"/>
        <v>-1.5620015498122562E-3</v>
      </c>
      <c r="Z186" t="str">
        <f t="shared" si="140"/>
        <v>0.999985338447022+0.00676415585412409i</v>
      </c>
      <c r="AA186" s="4">
        <f t="shared" si="152"/>
        <v>1.0000082154229653</v>
      </c>
      <c r="AB186" s="4">
        <f t="shared" si="153"/>
        <v>6.7641518649473494E-3</v>
      </c>
      <c r="AC186" s="48" t="str">
        <f t="shared" si="154"/>
        <v>0.0741618041986267-8.48343157058477i</v>
      </c>
      <c r="AD186" s="20">
        <f t="shared" si="155"/>
        <v>18.571763104462555</v>
      </c>
      <c r="AE186" s="44">
        <f t="shared" si="156"/>
        <v>-89.499135449087774</v>
      </c>
      <c r="AF186" t="str">
        <f t="shared" si="141"/>
        <v>-0.979317078436135</v>
      </c>
      <c r="AG186" t="str">
        <f t="shared" si="157"/>
        <v>3007.32156365561i</v>
      </c>
      <c r="AH186">
        <f t="shared" si="158"/>
        <v>3007.3215636556101</v>
      </c>
      <c r="AI186">
        <f t="shared" si="159"/>
        <v>1.5707963267948966</v>
      </c>
      <c r="AJ186" t="str">
        <f t="shared" si="142"/>
        <v>0.860008368220357+2.94693454665741i</v>
      </c>
      <c r="AK186">
        <f t="shared" si="160"/>
        <v>3.0698595433165923</v>
      </c>
      <c r="AL186">
        <f t="shared" si="161"/>
        <v>1.2868503017015971</v>
      </c>
      <c r="AM186" t="str">
        <f t="shared" si="143"/>
        <v>1+418.378575935768i</v>
      </c>
      <c r="AN186">
        <f t="shared" si="162"/>
        <v>418.37977102393614</v>
      </c>
      <c r="AO186">
        <f t="shared" si="163"/>
        <v>1.5684061515966323</v>
      </c>
      <c r="AP186" t="str">
        <f t="shared" si="144"/>
        <v>1+2.82688226983628i</v>
      </c>
      <c r="AQ186">
        <f t="shared" si="164"/>
        <v>2.9985435410403358</v>
      </c>
      <c r="AR186">
        <f t="shared" si="165"/>
        <v>1.2307876834199161</v>
      </c>
      <c r="AS186" s="42" t="str">
        <f t="shared" si="166"/>
        <v>-0.132850635336957+0.00777434704770668i</v>
      </c>
      <c r="AT186">
        <f t="shared" si="167"/>
        <v>-17.517880162643429</v>
      </c>
      <c r="AU186" s="44">
        <f t="shared" si="168"/>
        <v>176.65090163284935</v>
      </c>
      <c r="AV186" s="42" t="str">
        <f t="shared" si="145"/>
        <v>0.0561006983796748+1.12760583359331i</v>
      </c>
      <c r="AW186" s="20">
        <f t="shared" si="169"/>
        <v>1.053882941819124</v>
      </c>
      <c r="AX186" s="44">
        <f t="shared" si="170"/>
        <v>87.151766183761566</v>
      </c>
    </row>
    <row r="187" spans="14:50" x14ac:dyDescent="0.3">
      <c r="N187" s="8">
        <v>69</v>
      </c>
      <c r="O187" s="35">
        <f t="shared" si="171"/>
        <v>489.77881936844625</v>
      </c>
      <c r="P187" s="34" t="str">
        <f t="shared" si="136"/>
        <v>545.10556621881</v>
      </c>
      <c r="Q187" s="4" t="str">
        <f t="shared" si="137"/>
        <v>1+65.7411518972563i</v>
      </c>
      <c r="R187" s="4">
        <f t="shared" si="146"/>
        <v>65.74875704359836</v>
      </c>
      <c r="S187" s="4">
        <f t="shared" si="147"/>
        <v>1.5555863273461654</v>
      </c>
      <c r="T187" s="4" t="str">
        <f t="shared" si="138"/>
        <v>1+0.0015386855408118i</v>
      </c>
      <c r="U187" s="4">
        <f t="shared" si="148"/>
        <v>1.000001183775896</v>
      </c>
      <c r="V187" s="4">
        <f t="shared" si="149"/>
        <v>1.5386843265069029E-3</v>
      </c>
      <c r="W187" t="str">
        <f t="shared" si="139"/>
        <v>1-0.00159838653979529i</v>
      </c>
      <c r="X187" s="4">
        <f t="shared" si="150"/>
        <v>1.0000012774189495</v>
      </c>
      <c r="Y187" s="4">
        <f t="shared" si="151"/>
        <v>-1.5983851785903377E-3</v>
      </c>
      <c r="Z187" t="str">
        <f t="shared" si="140"/>
        <v>0.999984647469318+0.00692171328422003i</v>
      </c>
      <c r="AA187" s="4">
        <f t="shared" si="152"/>
        <v>1.0000086026075601</v>
      </c>
      <c r="AB187" s="4">
        <f t="shared" si="153"/>
        <v>6.9217090097274401E-3</v>
      </c>
      <c r="AC187" s="48" t="str">
        <f t="shared" si="154"/>
        <v>0.0682198724858601-8.29040408965708i</v>
      </c>
      <c r="AD187" s="20">
        <f t="shared" si="155"/>
        <v>18.371808050430243</v>
      </c>
      <c r="AE187" s="44">
        <f t="shared" si="156"/>
        <v>-89.528536545324172</v>
      </c>
      <c r="AF187" t="str">
        <f t="shared" si="141"/>
        <v>-0.979317078436135</v>
      </c>
      <c r="AG187" t="str">
        <f t="shared" si="157"/>
        <v>3077.37108162359i</v>
      </c>
      <c r="AH187">
        <f t="shared" si="158"/>
        <v>3077.3710816235898</v>
      </c>
      <c r="AI187">
        <f t="shared" si="159"/>
        <v>1.5707963267948966</v>
      </c>
      <c r="AJ187" t="str">
        <f t="shared" si="142"/>
        <v>0.853410765875306+3.01557747030459i</v>
      </c>
      <c r="AK187">
        <f t="shared" si="160"/>
        <v>3.1340097981213311</v>
      </c>
      <c r="AL187">
        <f t="shared" si="161"/>
        <v>1.2950071780026002</v>
      </c>
      <c r="AM187" t="str">
        <f t="shared" si="143"/>
        <v>1+428.123864875474i</v>
      </c>
      <c r="AN187">
        <f t="shared" si="162"/>
        <v>428.12503276018924</v>
      </c>
      <c r="AO187">
        <f t="shared" si="163"/>
        <v>1.5684605584263531</v>
      </c>
      <c r="AP187" t="str">
        <f t="shared" si="144"/>
        <v>1+2.89272881672618i</v>
      </c>
      <c r="AQ187">
        <f t="shared" si="164"/>
        <v>3.0606992676703877</v>
      </c>
      <c r="AR187">
        <f t="shared" si="165"/>
        <v>1.2379624158867479</v>
      </c>
      <c r="AS187" s="42" t="str">
        <f t="shared" si="166"/>
        <v>-0.132821466140158+0.00789629220170767i</v>
      </c>
      <c r="AT187">
        <f t="shared" si="167"/>
        <v>-17.519312165775084</v>
      </c>
      <c r="AU187" s="44">
        <f t="shared" si="168"/>
        <v>176.59774621799622</v>
      </c>
      <c r="AV187" s="42" t="str">
        <f t="shared" si="145"/>
        <v>0.056402389678698+1.10168231012973i</v>
      </c>
      <c r="AW187" s="20">
        <f t="shared" si="169"/>
        <v>0.85249588465518211</v>
      </c>
      <c r="AX187" s="44">
        <f t="shared" si="170"/>
        <v>87.069209672672073</v>
      </c>
    </row>
    <row r="188" spans="14:50" x14ac:dyDescent="0.3">
      <c r="N188" s="8">
        <v>70</v>
      </c>
      <c r="O188" s="35">
        <f t="shared" si="171"/>
        <v>501.18723362727269</v>
      </c>
      <c r="P188" s="34" t="str">
        <f t="shared" si="136"/>
        <v>545.10556621881</v>
      </c>
      <c r="Q188" s="4" t="str">
        <f t="shared" si="137"/>
        <v>1+67.2724600409269i</v>
      </c>
      <c r="R188" s="4">
        <f t="shared" si="146"/>
        <v>67.279892092348859</v>
      </c>
      <c r="S188" s="4">
        <f t="shared" si="147"/>
        <v>1.5559324976167406</v>
      </c>
      <c r="T188" s="4" t="str">
        <f t="shared" si="138"/>
        <v>1+0.00157452613123643i</v>
      </c>
      <c r="U188" s="4">
        <f t="shared" si="148"/>
        <v>1.0000012395655007</v>
      </c>
      <c r="V188" s="4">
        <f t="shared" si="149"/>
        <v>1.5745248300853775E-3</v>
      </c>
      <c r="W188" t="str">
        <f t="shared" si="139"/>
        <v>1-0.0016356177451284i</v>
      </c>
      <c r="X188" s="4">
        <f t="shared" si="150"/>
        <v>1.0000013376218095</v>
      </c>
      <c r="Y188" s="4">
        <f t="shared" si="151"/>
        <v>-1.6356162865711205E-3</v>
      </c>
      <c r="Z188" t="str">
        <f t="shared" si="140"/>
        <v>0.999983923926838+0.00708294069831896i</v>
      </c>
      <c r="AA188" s="4">
        <f t="shared" si="152"/>
        <v>1.0000090080399535</v>
      </c>
      <c r="AB188" s="4">
        <f t="shared" si="153"/>
        <v>7.0829361181033819E-3</v>
      </c>
      <c r="AC188" s="48" t="str">
        <f t="shared" si="154"/>
        <v>0.0625452543845517-8.10176415443335i</v>
      </c>
      <c r="AD188" s="20">
        <f t="shared" si="155"/>
        <v>18.171850752770492</v>
      </c>
      <c r="AE188" s="44">
        <f t="shared" si="156"/>
        <v>-89.557687949437295</v>
      </c>
      <c r="AF188" t="str">
        <f t="shared" si="141"/>
        <v>-0.979317078436135</v>
      </c>
      <c r="AG188" t="str">
        <f t="shared" si="157"/>
        <v>3149.05226247286i</v>
      </c>
      <c r="AH188">
        <f t="shared" si="158"/>
        <v>3149.0522624728601</v>
      </c>
      <c r="AI188">
        <f t="shared" si="159"/>
        <v>1.5707963267948966</v>
      </c>
      <c r="AJ188" t="str">
        <f t="shared" si="142"/>
        <v>0.846502228111116+3.08581929304241i</v>
      </c>
      <c r="AK188">
        <f t="shared" si="160"/>
        <v>3.1998197967244724</v>
      </c>
      <c r="AL188">
        <f t="shared" si="161"/>
        <v>1.3030623320385606</v>
      </c>
      <c r="AM188" t="str">
        <f t="shared" si="143"/>
        <v>1+438.096150755224i</v>
      </c>
      <c r="AN188">
        <f t="shared" si="162"/>
        <v>438.09729205570761</v>
      </c>
      <c r="AO188">
        <f t="shared" si="163"/>
        <v>1.5685137268187925</v>
      </c>
      <c r="AP188" t="str">
        <f t="shared" si="144"/>
        <v>1+2.9601091267245i</v>
      </c>
      <c r="AQ188">
        <f t="shared" si="164"/>
        <v>3.1244593199652448</v>
      </c>
      <c r="AR188">
        <f t="shared" si="165"/>
        <v>1.2450083903365159</v>
      </c>
      <c r="AS188" s="42" t="str">
        <f t="shared" si="166"/>
        <v>-0.13279214251409+0.00802195564327198i</v>
      </c>
      <c r="AT188">
        <f t="shared" si="167"/>
        <v>-17.520732354287393</v>
      </c>
      <c r="AU188" s="44">
        <f t="shared" si="168"/>
        <v>176.5429708114269</v>
      </c>
      <c r="AV188" s="42" t="str">
        <f t="shared" si="145"/>
        <v>0.0566864743453019+1.07635235546743i</v>
      </c>
      <c r="AW188" s="20">
        <f t="shared" si="169"/>
        <v>0.65111839848310582</v>
      </c>
      <c r="AX188" s="44">
        <f t="shared" si="170"/>
        <v>86.985282861989603</v>
      </c>
    </row>
    <row r="189" spans="14:50" x14ac:dyDescent="0.3">
      <c r="N189" s="8">
        <v>71</v>
      </c>
      <c r="O189" s="35">
        <f t="shared" si="171"/>
        <v>512.86138399136519</v>
      </c>
      <c r="P189" s="34" t="str">
        <f t="shared" si="136"/>
        <v>545.10556621881</v>
      </c>
      <c r="Q189" s="4" t="str">
        <f t="shared" si="137"/>
        <v>1+68.8394369333676i</v>
      </c>
      <c r="R189" s="4">
        <f t="shared" si="146"/>
        <v>68.846699828699798</v>
      </c>
      <c r="S189" s="4">
        <f t="shared" si="147"/>
        <v>1.5562707915325</v>
      </c>
      <c r="T189" s="4" t="str">
        <f t="shared" si="138"/>
        <v>1+0.00161120155625717i</v>
      </c>
      <c r="U189" s="4">
        <f t="shared" si="148"/>
        <v>1.0000012979843851</v>
      </c>
      <c r="V189" s="4">
        <f t="shared" si="149"/>
        <v>1.611200162048796E-3</v>
      </c>
      <c r="W189" t="str">
        <f t="shared" si="139"/>
        <v>1-0.00167371617663994i</v>
      </c>
      <c r="X189" s="4">
        <f t="shared" si="150"/>
        <v>1.0000014006619391</v>
      </c>
      <c r="Y189" s="4">
        <f t="shared" si="151"/>
        <v>-1.6737146137677755E-3</v>
      </c>
      <c r="Z189" t="str">
        <f t="shared" si="140"/>
        <v>0.999983166284852+0.00724792358132993i</v>
      </c>
      <c r="AA189" s="4">
        <f t="shared" si="152"/>
        <v>1.0000094325801725</v>
      </c>
      <c r="AB189" s="4">
        <f t="shared" si="153"/>
        <v>7.2479186735245251E-3</v>
      </c>
      <c r="AC189" s="48" t="str">
        <f t="shared" si="154"/>
        <v>0.0571259296073057-7.91741228834856i</v>
      </c>
      <c r="AD189" s="20">
        <f t="shared" si="155"/>
        <v>17.971891301995282</v>
      </c>
      <c r="AE189" s="44">
        <f t="shared" si="156"/>
        <v>-89.586605098785313</v>
      </c>
      <c r="AF189" t="str">
        <f t="shared" si="141"/>
        <v>-0.979317078436135</v>
      </c>
      <c r="AG189" t="str">
        <f t="shared" si="157"/>
        <v>3222.40311251433i</v>
      </c>
      <c r="AH189">
        <f t="shared" si="158"/>
        <v>3222.4031125143301</v>
      </c>
      <c r="AI189">
        <f t="shared" si="159"/>
        <v>1.5707963267948966</v>
      </c>
      <c r="AJ189" t="str">
        <f t="shared" si="142"/>
        <v>0.839268100992946+3.15769725801505i</v>
      </c>
      <c r="AK189">
        <f t="shared" si="160"/>
        <v>3.267326570549701</v>
      </c>
      <c r="AL189">
        <f t="shared" si="161"/>
        <v>1.3110173858233021</v>
      </c>
      <c r="AM189" t="str">
        <f t="shared" si="143"/>
        <v>1+448.300721012994i</v>
      </c>
      <c r="AN189">
        <f t="shared" si="162"/>
        <v>448.30183633437224</v>
      </c>
      <c r="AO189">
        <f t="shared" si="163"/>
        <v>1.5685656849633329</v>
      </c>
      <c r="AP189" t="str">
        <f t="shared" si="144"/>
        <v>1+3.02905892576348i</v>
      </c>
      <c r="AQ189">
        <f t="shared" si="164"/>
        <v>3.1898586137550686</v>
      </c>
      <c r="AR189">
        <f t="shared" si="165"/>
        <v>1.2519265433037194</v>
      </c>
      <c r="AS189" s="42" t="str">
        <f t="shared" si="166"/>
        <v>-0.132762618911941+0.00815142074920458i</v>
      </c>
      <c r="AT189">
        <f t="shared" si="167"/>
        <v>-17.522142656595658</v>
      </c>
      <c r="AU189" s="44">
        <f t="shared" si="168"/>
        <v>176.48653775320173</v>
      </c>
      <c r="AV189" s="42" t="str">
        <f t="shared" si="145"/>
        <v>0.0569539707848067+1.05160204789466i</v>
      </c>
      <c r="AW189" s="20">
        <f t="shared" si="169"/>
        <v>0.44974864539964438</v>
      </c>
      <c r="AX189" s="44">
        <f t="shared" si="170"/>
        <v>86.899932654416418</v>
      </c>
    </row>
    <row r="190" spans="14:50" x14ac:dyDescent="0.3">
      <c r="N190" s="8">
        <v>72</v>
      </c>
      <c r="O190" s="35">
        <f t="shared" si="171"/>
        <v>524.80746024977248</v>
      </c>
      <c r="P190" s="34" t="str">
        <f t="shared" si="136"/>
        <v>545.10556621881</v>
      </c>
      <c r="Q190" s="4" t="str">
        <f t="shared" si="137"/>
        <v>1+70.4429134064681i</v>
      </c>
      <c r="R190" s="4">
        <f t="shared" si="146"/>
        <v>70.450010994968352</v>
      </c>
      <c r="S190" s="4">
        <f t="shared" si="147"/>
        <v>1.5566013881514555</v>
      </c>
      <c r="T190" s="4" t="str">
        <f t="shared" si="138"/>
        <v>1+0.00164873126166981i</v>
      </c>
      <c r="U190" s="4">
        <f t="shared" si="148"/>
        <v>1.0000013591564629</v>
      </c>
      <c r="V190" s="4">
        <f t="shared" si="149"/>
        <v>1.6487297677487314E-3</v>
      </c>
      <c r="W190" t="str">
        <f t="shared" si="139"/>
        <v>1-0.00171270203462259i</v>
      </c>
      <c r="X190" s="4">
        <f t="shared" si="150"/>
        <v>1.0000014666730541</v>
      </c>
      <c r="Y190" s="4">
        <f t="shared" si="151"/>
        <v>-1.7127003599750265E-3</v>
      </c>
      <c r="Z190" t="str">
        <f t="shared" si="140"/>
        <v>0.999982372936299+0.00741674940936136i</v>
      </c>
      <c r="AA190" s="4">
        <f t="shared" si="152"/>
        <v>1.0000098771287775</v>
      </c>
      <c r="AB190" s="4">
        <f t="shared" si="153"/>
        <v>7.4167441505351827E-3</v>
      </c>
      <c r="AC190" s="48" t="str">
        <f t="shared" si="154"/>
        <v>0.0519504179410993-7.73725125222339i</v>
      </c>
      <c r="AD190" s="20">
        <f t="shared" si="155"/>
        <v>17.77192978405532</v>
      </c>
      <c r="AE190" s="44">
        <f t="shared" si="156"/>
        <v>-89.615303307785197</v>
      </c>
      <c r="AF190" t="str">
        <f t="shared" si="141"/>
        <v>-0.979317078436135</v>
      </c>
      <c r="AG190" t="str">
        <f t="shared" si="157"/>
        <v>3297.46252333961i</v>
      </c>
      <c r="AH190">
        <f t="shared" si="158"/>
        <v>3297.46252333961</v>
      </c>
      <c r="AI190">
        <f t="shared" si="159"/>
        <v>1.5707963267948966</v>
      </c>
      <c r="AJ190" t="str">
        <f t="shared" si="142"/>
        <v>0.831693039967279+3.23124947587095i</v>
      </c>
      <c r="AK190">
        <f t="shared" si="160"/>
        <v>3.3365680703450815</v>
      </c>
      <c r="AL190">
        <f t="shared" si="161"/>
        <v>1.3188740498864742</v>
      </c>
      <c r="AM190" t="str">
        <f t="shared" si="143"/>
        <v>1+458.742986247007i</v>
      </c>
      <c r="AN190">
        <f t="shared" si="162"/>
        <v>458.74407618063225</v>
      </c>
      <c r="AO190">
        <f t="shared" si="163"/>
        <v>1.5686164604077473</v>
      </c>
      <c r="AP190" t="str">
        <f t="shared" si="144"/>
        <v>1+3.09961477193924i</v>
      </c>
      <c r="AQ190">
        <f t="shared" si="164"/>
        <v>3.2569328722624831</v>
      </c>
      <c r="AR190">
        <f t="shared" si="165"/>
        <v>1.258717893128239</v>
      </c>
      <c r="AS190" s="42" t="str">
        <f t="shared" si="166"/>
        <v>-0.132732848254819+0.00828477161454208i</v>
      </c>
      <c r="AT190">
        <f t="shared" si="167"/>
        <v>-17.523545055769489</v>
      </c>
      <c r="AU190" s="44">
        <f t="shared" si="168"/>
        <v>176.42840896213963</v>
      </c>
      <c r="AV190" s="42" t="str">
        <f t="shared" si="145"/>
        <v>0.0572058326076502+1.0274177937187i</v>
      </c>
      <c r="AW190" s="20">
        <f t="shared" si="169"/>
        <v>0.24838472828584954</v>
      </c>
      <c r="AX190" s="44">
        <f t="shared" si="170"/>
        <v>86.813105654354459</v>
      </c>
    </row>
    <row r="191" spans="14:50" x14ac:dyDescent="0.3">
      <c r="N191" s="8">
        <v>73</v>
      </c>
      <c r="O191" s="35">
        <f t="shared" si="171"/>
        <v>537.03179637025301</v>
      </c>
      <c r="P191" s="34" t="str">
        <f t="shared" si="136"/>
        <v>545.10556621881</v>
      </c>
      <c r="Q191" s="4" t="str">
        <f t="shared" si="137"/>
        <v>1+72.0837396446786i</v>
      </c>
      <c r="R191" s="4">
        <f t="shared" si="146"/>
        <v>72.090675688065289</v>
      </c>
      <c r="S191" s="4">
        <f t="shared" si="147"/>
        <v>1.5569244624710863</v>
      </c>
      <c r="T191" s="4" t="str">
        <f t="shared" si="138"/>
        <v>1+0.00168713514622091i</v>
      </c>
      <c r="U191" s="4">
        <f t="shared" si="148"/>
        <v>1.000001423211488</v>
      </c>
      <c r="V191" s="4">
        <f t="shared" si="149"/>
        <v>1.6871335454557567E-3</v>
      </c>
      <c r="W191" t="str">
        <f t="shared" si="139"/>
        <v>1-0.00175259598989428i</v>
      </c>
      <c r="X191" s="4">
        <f t="shared" si="150"/>
        <v>1.0000015357951726</v>
      </c>
      <c r="Y191" s="4">
        <f t="shared" si="151"/>
        <v>-1.7525941954772354E-3</v>
      </c>
      <c r="Z191" t="str">
        <f t="shared" si="140"/>
        <v>0.99998154219838+0.00758950769610189i</v>
      </c>
      <c r="AA191" s="4">
        <f t="shared" si="152"/>
        <v>1.0000103426287748</v>
      </c>
      <c r="AB191" s="4">
        <f t="shared" si="153"/>
        <v>7.5895020611479935E-3</v>
      </c>
      <c r="AC191" s="48" t="str">
        <f t="shared" si="154"/>
        <v>0.0470077550225747-7.56118599512045i</v>
      </c>
      <c r="AD191" s="20">
        <f t="shared" si="155"/>
        <v>17.571966280521828</v>
      </c>
      <c r="AE191" s="44">
        <f t="shared" si="156"/>
        <v>-89.643797775947604</v>
      </c>
      <c r="AF191" t="str">
        <f t="shared" si="141"/>
        <v>-0.979317078436135</v>
      </c>
      <c r="AG191" t="str">
        <f t="shared" si="157"/>
        <v>3374.27029244183i</v>
      </c>
      <c r="AH191">
        <f t="shared" si="158"/>
        <v>3374.27029244183</v>
      </c>
      <c r="AI191">
        <f t="shared" si="159"/>
        <v>1.5707963267948966</v>
      </c>
      <c r="AJ191" t="str">
        <f t="shared" si="142"/>
        <v>0.823760977314075+3.3065149449696i</v>
      </c>
      <c r="AK191">
        <f t="shared" si="160"/>
        <v>3.4075831947368145</v>
      </c>
      <c r="AL191">
        <f t="shared" si="161"/>
        <v>1.3266341177255387</v>
      </c>
      <c r="AM191" t="str">
        <f t="shared" si="143"/>
        <v>1+469.428483084507i</v>
      </c>
      <c r="AN191">
        <f t="shared" si="162"/>
        <v>469.42954820827077</v>
      </c>
      <c r="AO191">
        <f t="shared" si="163"/>
        <v>1.5686660800728007</v>
      </c>
      <c r="AP191" t="str">
        <f t="shared" si="144"/>
        <v>1+3.17181407489533i</v>
      </c>
      <c r="AQ191">
        <f t="shared" si="164"/>
        <v>3.3257186480073919</v>
      </c>
      <c r="AR191">
        <f t="shared" si="165"/>
        <v>1.2653835339437056</v>
      </c>
      <c r="AS191" s="42" t="str">
        <f t="shared" si="166"/>
        <v>-0.132702781908419+0.00842209309561887i</v>
      </c>
      <c r="AT191">
        <f t="shared" si="167"/>
        <v>-17.524941588942355</v>
      </c>
      <c r="AU191" s="44">
        <f t="shared" si="168"/>
        <v>176.36854591009083</v>
      </c>
      <c r="AV191" s="42" t="str">
        <f t="shared" si="145"/>
        <v>0.0574429525014289+1.00378631976848i</v>
      </c>
      <c r="AW191" s="20">
        <f t="shared" si="169"/>
        <v>4.7024691579496618E-2</v>
      </c>
      <c r="AX191" s="44">
        <f t="shared" si="170"/>
        <v>86.724748134143255</v>
      </c>
    </row>
    <row r="192" spans="14:50" x14ac:dyDescent="0.3">
      <c r="N192" s="8">
        <v>74</v>
      </c>
      <c r="O192" s="35">
        <f t="shared" si="171"/>
        <v>549.54087385762534</v>
      </c>
      <c r="P192" s="34" t="str">
        <f t="shared" si="136"/>
        <v>545.10556621881</v>
      </c>
      <c r="Q192" s="4" t="str">
        <f t="shared" si="137"/>
        <v>1+73.7627856357901i</v>
      </c>
      <c r="R192" s="4">
        <f t="shared" si="146"/>
        <v>73.769563810229499</v>
      </c>
      <c r="S192" s="4">
        <f t="shared" si="147"/>
        <v>1.557240185519746</v>
      </c>
      <c r="T192" s="4" t="str">
        <f t="shared" si="138"/>
        <v>1+0.00172643357215843i</v>
      </c>
      <c r="U192" s="4">
        <f t="shared" si="148"/>
        <v>1.0000014902853291</v>
      </c>
      <c r="V192" s="4">
        <f t="shared" si="149"/>
        <v>1.7264318569078032E-3</v>
      </c>
      <c r="W192" t="str">
        <f t="shared" si="139"/>
        <v>1-0.00179341919475817i</v>
      </c>
      <c r="X192" s="4">
        <f t="shared" si="150"/>
        <v>1.000001608174911</v>
      </c>
      <c r="Y192" s="4">
        <f t="shared" si="151"/>
        <v>-1.793417272005832E-3</v>
      </c>
      <c r="Z192" t="str">
        <f t="shared" si="140"/>
        <v>0.999980672308989+0.00776629004028193i</v>
      </c>
      <c r="AA192" s="4">
        <f t="shared" si="152"/>
        <v>1.0000108300676187</v>
      </c>
      <c r="AB192" s="4">
        <f t="shared" si="153"/>
        <v>7.7662840022974669E-3</v>
      </c>
      <c r="AC192" s="48" t="str">
        <f t="shared" si="154"/>
        <v>0.0422874691964021-7.38912360619979i</v>
      </c>
      <c r="AD192" s="20">
        <f t="shared" si="155"/>
        <v>17.372000868758906</v>
      </c>
      <c r="AE192" s="44">
        <f t="shared" si="156"/>
        <v>-89.672103595856441</v>
      </c>
      <c r="AF192" t="str">
        <f t="shared" si="141"/>
        <v>-0.979317078436135</v>
      </c>
      <c r="AG192" t="str">
        <f t="shared" si="157"/>
        <v>3452.86714431686i</v>
      </c>
      <c r="AH192">
        <f t="shared" si="158"/>
        <v>3452.86714431686</v>
      </c>
      <c r="AI192">
        <f t="shared" si="159"/>
        <v>1.5707963267948966</v>
      </c>
      <c r="AJ192" t="str">
        <f t="shared" si="142"/>
        <v>0.815455088064978+3.38353357205898i</v>
      </c>
      <c r="AK192">
        <f t="shared" si="160"/>
        <v>3.4804118195841798</v>
      </c>
      <c r="AL192">
        <f t="shared" si="161"/>
        <v>1.3342994604550193</v>
      </c>
      <c r="AM192" t="str">
        <f t="shared" si="143"/>
        <v>1+480.362877117362i</v>
      </c>
      <c r="AN192">
        <f t="shared" si="162"/>
        <v>480.3639179960021</v>
      </c>
      <c r="AO192">
        <f t="shared" si="163"/>
        <v>1.5687145702665186</v>
      </c>
      <c r="AP192" t="str">
        <f t="shared" si="144"/>
        <v>1+3.24569511565786i</v>
      </c>
      <c r="AQ192">
        <f t="shared" si="164"/>
        <v>3.3962533450561798</v>
      </c>
      <c r="AR192">
        <f t="shared" si="165"/>
        <v>1.271924629850365</v>
      </c>
      <c r="AS192" s="42" t="str">
        <f t="shared" si="166"/>
        <v>-0.132672369653523+0.00856347085349896i</v>
      </c>
      <c r="AT192">
        <f t="shared" si="167"/>
        <v>-17.526334347038674</v>
      </c>
      <c r="AU192" s="44">
        <f t="shared" si="168"/>
        <v>176.30690959545998</v>
      </c>
      <c r="AV192" s="42" t="str">
        <f t="shared" si="145"/>
        <v>0.057666165889656+0.980694666007243i</v>
      </c>
      <c r="AW192" s="20">
        <f t="shared" si="169"/>
        <v>-0.15433347827976751</v>
      </c>
      <c r="AX192" s="44">
        <f t="shared" si="170"/>
        <v>86.634805999603557</v>
      </c>
    </row>
    <row r="193" spans="14:50" x14ac:dyDescent="0.3">
      <c r="N193" s="8">
        <v>75</v>
      </c>
      <c r="O193" s="35">
        <f t="shared" si="171"/>
        <v>562.34132519034927</v>
      </c>
      <c r="P193" s="34" t="str">
        <f t="shared" si="136"/>
        <v>545.10556621881</v>
      </c>
      <c r="Q193" s="4" t="str">
        <f t="shared" si="137"/>
        <v>1+75.4809416322115i</v>
      </c>
      <c r="R193" s="4">
        <f t="shared" si="146"/>
        <v>75.487565530260142</v>
      </c>
      <c r="S193" s="4">
        <f t="shared" si="147"/>
        <v>1.5575487244460564</v>
      </c>
      <c r="T193" s="4" t="str">
        <f t="shared" si="138"/>
        <v>1+0.00176664737602795i</v>
      </c>
      <c r="U193" s="4">
        <f t="shared" si="148"/>
        <v>1.0000015605202579</v>
      </c>
      <c r="V193" s="4">
        <f t="shared" si="149"/>
        <v>1.7666455381039449E-3</v>
      </c>
      <c r="W193" t="str">
        <f t="shared" si="139"/>
        <v>1-0.00183519329421783i</v>
      </c>
      <c r="X193" s="4">
        <f t="shared" si="150"/>
        <v>1.0000016839657957</v>
      </c>
      <c r="Y193" s="4">
        <f t="shared" si="151"/>
        <v>-1.8351912339517678E-3</v>
      </c>
      <c r="Z193" t="str">
        <f t="shared" si="140"/>
        <v>0.999979761422975+0.00794719017424031i</v>
      </c>
      <c r="AA193" s="4">
        <f t="shared" si="152"/>
        <v>1.0000113404793043</v>
      </c>
      <c r="AB193" s="4">
        <f t="shared" si="153"/>
        <v>7.9471837043980503E-3</v>
      </c>
      <c r="AC193" s="48" t="str">
        <f t="shared" si="154"/>
        <v>0.0377795594086235-7.22097326755945i</v>
      </c>
      <c r="AD193" s="20">
        <f t="shared" si="155"/>
        <v>17.172033622087493</v>
      </c>
      <c r="AE193" s="44">
        <f t="shared" si="156"/>
        <v>-89.700235761096877</v>
      </c>
      <c r="AF193" t="str">
        <f t="shared" si="141"/>
        <v>-0.979317078436135</v>
      </c>
      <c r="AG193" t="str">
        <f t="shared" si="157"/>
        <v>3533.2947520559i</v>
      </c>
      <c r="AH193">
        <f t="shared" si="158"/>
        <v>3533.2947520559001</v>
      </c>
      <c r="AI193">
        <f t="shared" si="159"/>
        <v>1.5707963267948966</v>
      </c>
      <c r="AJ193" t="str">
        <f t="shared" si="142"/>
        <v>0.806757754315299+3.46234619343462i</v>
      </c>
      <c r="AK193">
        <f t="shared" si="160"/>
        <v>3.5550948281781554</v>
      </c>
      <c r="AL193">
        <f t="shared" si="161"/>
        <v>1.3418720216599394</v>
      </c>
      <c r="AM193" t="str">
        <f t="shared" si="143"/>
        <v>1+491.551965906017i</v>
      </c>
      <c r="AN193">
        <f t="shared" si="162"/>
        <v>491.55298309141614</v>
      </c>
      <c r="AO193">
        <f t="shared" si="163"/>
        <v>1.5687619566981306</v>
      </c>
      <c r="AP193" t="str">
        <f t="shared" si="144"/>
        <v>1+3.32129706693255i</v>
      </c>
      <c r="AQ193">
        <f t="shared" si="164"/>
        <v>3.4685752416251203</v>
      </c>
      <c r="AR193">
        <f t="shared" si="165"/>
        <v>1.2783424092816131</v>
      </c>
      <c r="AS193" s="42" t="str">
        <f t="shared" si="166"/>
        <v>-0.132641559650273+0.00870899139739685i</v>
      </c>
      <c r="AT193">
        <f t="shared" si="167"/>
        <v>-17.527725474820379</v>
      </c>
      <c r="AU193" s="44">
        <f t="shared" si="168"/>
        <v>176.24346051610749</v>
      </c>
      <c r="AV193" s="42" t="str">
        <f t="shared" si="145"/>
        <v>0.0578762543851479+0.958130178259901i</v>
      </c>
      <c r="AW193" s="20">
        <f t="shared" si="169"/>
        <v>-0.35569185273288223</v>
      </c>
      <c r="AX193" s="44">
        <f t="shared" si="170"/>
        <v>86.543224755010613</v>
      </c>
    </row>
    <row r="194" spans="14:50" x14ac:dyDescent="0.3">
      <c r="N194" s="8">
        <v>76</v>
      </c>
      <c r="O194" s="35">
        <f t="shared" si="171"/>
        <v>575.43993733715706</v>
      </c>
      <c r="P194" s="34" t="str">
        <f t="shared" si="136"/>
        <v>545.10556621881</v>
      </c>
      <c r="Q194" s="4" t="str">
        <f t="shared" si="137"/>
        <v>1+77.2391186229947i</v>
      </c>
      <c r="R194" s="4">
        <f t="shared" si="146"/>
        <v>77.245591755497898</v>
      </c>
      <c r="S194" s="4">
        <f t="shared" si="147"/>
        <v>1.5578502426063319</v>
      </c>
      <c r="T194" s="4" t="str">
        <f t="shared" si="138"/>
        <v>1+0.00180779787972058i</v>
      </c>
      <c r="U194" s="4">
        <f t="shared" si="148"/>
        <v>1.0000016340652518</v>
      </c>
      <c r="V194" s="4">
        <f t="shared" si="149"/>
        <v>1.8077959103497008E-3</v>
      </c>
      <c r="W194" t="str">
        <f t="shared" si="139"/>
        <v>1-0.00187794043745374i</v>
      </c>
      <c r="X194" s="4">
        <f t="shared" si="150"/>
        <v>1.0000017633285887</v>
      </c>
      <c r="Y194" s="4">
        <f t="shared" si="151"/>
        <v>-1.8779382298390907E-3</v>
      </c>
      <c r="Z194" t="str">
        <f t="shared" si="140"/>
        <v>0.999978807608225+0.00813230401362258i</v>
      </c>
      <c r="AA194" s="4">
        <f t="shared" si="152"/>
        <v>1.0000118749465616</v>
      </c>
      <c r="AB194" s="4">
        <f t="shared" si="153"/>
        <v>8.1322970810332688E-3</v>
      </c>
      <c r="AC194" s="48" t="str">
        <f t="shared" si="154"/>
        <v>0.0334744740889496-7.05664620804515i</v>
      </c>
      <c r="AD194" s="20">
        <f t="shared" si="155"/>
        <v>16.972064609940293</v>
      </c>
      <c r="AE194" s="44">
        <f t="shared" si="156"/>
        <v>-89.728209174135969</v>
      </c>
      <c r="AF194" t="str">
        <f t="shared" si="141"/>
        <v>-0.979317078436135</v>
      </c>
      <c r="AG194" t="str">
        <f t="shared" si="157"/>
        <v>3615.59575944117i</v>
      </c>
      <c r="AH194">
        <f t="shared" si="158"/>
        <v>3615.5957594411698</v>
      </c>
      <c r="AI194">
        <f t="shared" si="159"/>
        <v>1.5707963267948966</v>
      </c>
      <c r="AJ194" t="str">
        <f t="shared" si="142"/>
        <v>0.797650527854084+3.54299459659159i</v>
      </c>
      <c r="AK194">
        <f t="shared" si="160"/>
        <v>3.6316741423292789</v>
      </c>
      <c r="AL194">
        <f t="shared" si="161"/>
        <v>1.3493538124585884</v>
      </c>
      <c r="AM194" t="str">
        <f t="shared" si="143"/>
        <v>1+503.001682053456i</v>
      </c>
      <c r="AN194">
        <f t="shared" si="162"/>
        <v>503.00267608493505</v>
      </c>
      <c r="AO194">
        <f t="shared" si="163"/>
        <v>1.5688082644916985</v>
      </c>
      <c r="AP194" t="str">
        <f t="shared" si="144"/>
        <v>1+3.39866001387471i</v>
      </c>
      <c r="AQ194">
        <f t="shared" si="164"/>
        <v>3.5427235130490837</v>
      </c>
      <c r="AR194">
        <f t="shared" si="165"/>
        <v>1.2846381595714818</v>
      </c>
      <c r="AS194" s="42" t="str">
        <f t="shared" si="166"/>
        <v>-0.132610298396256+0.00885874212771827i</v>
      </c>
      <c r="AT194">
        <f t="shared" si="167"/>
        <v>-17.529117171248529</v>
      </c>
      <c r="AU194" s="44">
        <f t="shared" si="168"/>
        <v>176.1781586417529</v>
      </c>
      <c r="AV194" s="42" t="str">
        <f t="shared" si="145"/>
        <v>0.0580739490460196+0.936080501059491i</v>
      </c>
      <c r="AW194" s="20">
        <f t="shared" si="169"/>
        <v>-0.55705256130823144</v>
      </c>
      <c r="AX194" s="44">
        <f t="shared" si="170"/>
        <v>86.44994946761696</v>
      </c>
    </row>
    <row r="195" spans="14:50" x14ac:dyDescent="0.3">
      <c r="N195" s="8">
        <v>77</v>
      </c>
      <c r="O195" s="35">
        <f t="shared" si="171"/>
        <v>588.84365535558959</v>
      </c>
      <c r="P195" s="34" t="str">
        <f t="shared" si="136"/>
        <v>545.10556621881</v>
      </c>
      <c r="Q195" s="4" t="str">
        <f t="shared" si="137"/>
        <v>1+79.0382488168523i</v>
      </c>
      <c r="R195" s="4">
        <f t="shared" si="146"/>
        <v>79.044574614799814</v>
      </c>
      <c r="S195" s="4">
        <f t="shared" si="147"/>
        <v>1.55814489965007</v>
      </c>
      <c r="T195" s="4" t="str">
        <f t="shared" si="138"/>
        <v>1+0.00184990690177808i</v>
      </c>
      <c r="U195" s="4">
        <f t="shared" si="148"/>
        <v>1.0000017110763086</v>
      </c>
      <c r="V195" s="4">
        <f t="shared" si="149"/>
        <v>1.8499047915593589E-3</v>
      </c>
      <c r="W195" t="str">
        <f t="shared" si="139"/>
        <v>1-0.00192168328956706i</v>
      </c>
      <c r="X195" s="4">
        <f t="shared" si="150"/>
        <v>1.000001846431628</v>
      </c>
      <c r="Y195" s="4">
        <f t="shared" si="151"/>
        <v>-1.9216809240655808E-3</v>
      </c>
      <c r="Z195" t="str">
        <f t="shared" si="140"/>
        <v>0.999977808841571+0.00832172970823663i</v>
      </c>
      <c r="AA195" s="4">
        <f t="shared" si="152"/>
        <v>1.0000124346031534</v>
      </c>
      <c r="AB195" s="4">
        <f t="shared" si="153"/>
        <v>8.3217222798014495E-3</v>
      </c>
      <c r="AC195" s="48" t="str">
        <f t="shared" si="154"/>
        <v>0.0293630909780515-6.89605565801469i</v>
      </c>
      <c r="AD195" s="20">
        <f t="shared" si="155"/>
        <v>16.772093898008798</v>
      </c>
      <c r="AE195" s="44">
        <f t="shared" si="156"/>
        <v>-89.756038654159184</v>
      </c>
      <c r="AF195" t="str">
        <f t="shared" si="141"/>
        <v>-0.979317078436135</v>
      </c>
      <c r="AG195" t="str">
        <f t="shared" si="157"/>
        <v>3699.81380355616i</v>
      </c>
      <c r="AH195">
        <f t="shared" si="158"/>
        <v>3699.8138035561601</v>
      </c>
      <c r="AI195">
        <f t="shared" si="159"/>
        <v>1.5707963267948966</v>
      </c>
      <c r="AJ195" t="str">
        <f t="shared" si="142"/>
        <v>0.788114091032981+3.62552154238075i</v>
      </c>
      <c r="AK195">
        <f t="shared" si="160"/>
        <v>3.7101927543931774</v>
      </c>
      <c r="AL195">
        <f t="shared" si="161"/>
        <v>1.3567469067780968</v>
      </c>
      <c r="AM195" t="str">
        <f t="shared" si="143"/>
        <v>1+514.718096350733i</v>
      </c>
      <c r="AN195">
        <f t="shared" si="162"/>
        <v>514.71906775533625</v>
      </c>
      <c r="AO195">
        <f t="shared" si="163"/>
        <v>1.5688535181994323</v>
      </c>
      <c r="AP195" t="str">
        <f t="shared" si="144"/>
        <v>1+3.4778249753428i</v>
      </c>
      <c r="AQ195">
        <f t="shared" si="164"/>
        <v>3.6187382551267988</v>
      </c>
      <c r="AR195">
        <f t="shared" si="165"/>
        <v>1.2908132217285044</v>
      </c>
      <c r="AS195" s="42" t="str">
        <f t="shared" si="166"/>
        <v>-0.132578530678366+0.00901281137837057i</v>
      </c>
      <c r="AT195">
        <f t="shared" si="167"/>
        <v>-17.530511690160161</v>
      </c>
      <c r="AU195" s="44">
        <f t="shared" si="168"/>
        <v>176.11096338599177</v>
      </c>
      <c r="AV195" s="42" t="str">
        <f t="shared" si="145"/>
        <v>0.0582599334423863+0.914533570616291i</v>
      </c>
      <c r="AW195" s="20">
        <f t="shared" si="169"/>
        <v>-0.75841779215136018</v>
      </c>
      <c r="AX195" s="44">
        <f t="shared" si="170"/>
        <v>86.354924731832583</v>
      </c>
    </row>
    <row r="196" spans="14:50" x14ac:dyDescent="0.3">
      <c r="N196" s="8">
        <v>78</v>
      </c>
      <c r="O196" s="35">
        <f t="shared" si="171"/>
        <v>602.55958607435832</v>
      </c>
      <c r="P196" s="34" t="str">
        <f t="shared" si="136"/>
        <v>545.10556621881</v>
      </c>
      <c r="Q196" s="4" t="str">
        <f t="shared" si="137"/>
        <v>1+80.8792861364276i</v>
      </c>
      <c r="R196" s="4">
        <f t="shared" si="146"/>
        <v>80.8854679527672</v>
      </c>
      <c r="S196" s="4">
        <f t="shared" si="147"/>
        <v>1.5584328516035546</v>
      </c>
      <c r="T196" s="4" t="str">
        <f t="shared" si="138"/>
        <v>1+0.00189299676896131i</v>
      </c>
      <c r="U196" s="4">
        <f t="shared" si="148"/>
        <v>1.0000017917167785</v>
      </c>
      <c r="V196" s="4">
        <f t="shared" si="149"/>
        <v>1.892994507821431E-3</v>
      </c>
      <c r="W196" t="str">
        <f t="shared" si="139"/>
        <v>1-0.001966445043597i</v>
      </c>
      <c r="X196" s="4">
        <f t="shared" si="150"/>
        <v>1.0000019334511856</v>
      </c>
      <c r="Y196" s="4">
        <f t="shared" si="151"/>
        <v>-1.966442508916763E-3</v>
      </c>
      <c r="Z196" t="str">
        <f t="shared" si="140"/>
        <v>0.999976763004495+0.00851556769409311i</v>
      </c>
      <c r="AA196" s="4">
        <f t="shared" si="152"/>
        <v>1.0000130206362818</v>
      </c>
      <c r="AB196" s="4">
        <f t="shared" si="153"/>
        <v>8.5155597343456093E-3</v>
      </c>
      <c r="AC196" s="48" t="str">
        <f t="shared" si="154"/>
        <v>0.0254366978577845-6.73911680504138i</v>
      </c>
      <c r="AD196" s="20">
        <f t="shared" si="155"/>
        <v>16.572121548382285</v>
      </c>
      <c r="AE196" s="44">
        <f t="shared" si="156"/>
        <v>-89.783738944867395</v>
      </c>
      <c r="AF196" t="str">
        <f t="shared" si="141"/>
        <v>-0.979317078436135</v>
      </c>
      <c r="AG196" t="str">
        <f t="shared" si="157"/>
        <v>3785.99353792262i</v>
      </c>
      <c r="AH196">
        <f t="shared" si="158"/>
        <v>3785.9935379226199</v>
      </c>
      <c r="AI196">
        <f t="shared" si="159"/>
        <v>1.5707963267948966</v>
      </c>
      <c r="AJ196" t="str">
        <f t="shared" si="142"/>
        <v>0.778128215790922+3.70997078768114i</v>
      </c>
      <c r="AK196">
        <f t="shared" si="160"/>
        <v>3.7906947602856902</v>
      </c>
      <c r="AL196">
        <f t="shared" si="161"/>
        <v>1.3640534368448016</v>
      </c>
      <c r="AM196" t="str">
        <f t="shared" si="143"/>
        <v>1+526.707420995795i</v>
      </c>
      <c r="AN196">
        <f t="shared" si="162"/>
        <v>526.70837028857022</v>
      </c>
      <c r="AO196">
        <f t="shared" si="163"/>
        <v>1.568897741814705</v>
      </c>
      <c r="AP196" t="str">
        <f t="shared" si="144"/>
        <v>1+3.55883392564727i</v>
      </c>
      <c r="AQ196">
        <f t="shared" si="164"/>
        <v>3.6966605078554289</v>
      </c>
      <c r="AR196">
        <f t="shared" si="165"/>
        <v>1.2968689854198236</v>
      </c>
      <c r="AS196" s="42" t="str">
        <f t="shared" si="166"/>
        <v>-0.132546199518503+0.00917128845799664i</v>
      </c>
      <c r="AT196">
        <f t="shared" si="167"/>
        <v>-17.531911341254435</v>
      </c>
      <c r="AU196" s="44">
        <f t="shared" si="168"/>
        <v>176.04183357803518</v>
      </c>
      <c r="AV196" s="42" t="str">
        <f t="shared" si="145"/>
        <v>0.0584348465418174+0.893477607912984i</v>
      </c>
      <c r="AW196" s="20">
        <f t="shared" si="169"/>
        <v>-0.95978979287214661</v>
      </c>
      <c r="AX196" s="44">
        <f t="shared" si="170"/>
        <v>86.258094633167801</v>
      </c>
    </row>
    <row r="197" spans="14:50" x14ac:dyDescent="0.3">
      <c r="N197" s="8">
        <v>79</v>
      </c>
      <c r="O197" s="35">
        <f t="shared" si="171"/>
        <v>616.59500186148273</v>
      </c>
      <c r="P197" s="34" t="str">
        <f t="shared" si="136"/>
        <v>545.10556621881</v>
      </c>
      <c r="Q197" s="4" t="str">
        <f t="shared" si="137"/>
        <v>1+82.7632067240763i</v>
      </c>
      <c r="R197" s="4">
        <f t="shared" si="146"/>
        <v>82.769247835486496</v>
      </c>
      <c r="S197" s="4">
        <f t="shared" si="147"/>
        <v>1.5587142509516061</v>
      </c>
      <c r="T197" s="4" t="str">
        <f t="shared" si="138"/>
        <v>1+0.00193709032808822i</v>
      </c>
      <c r="U197" s="4">
        <f t="shared" si="148"/>
        <v>1.0000018761577096</v>
      </c>
      <c r="V197" s="4">
        <f t="shared" si="149"/>
        <v>1.9370879052334332E-3</v>
      </c>
      <c r="W197" t="str">
        <f t="shared" si="139"/>
        <v>1-0.00201224943281804i</v>
      </c>
      <c r="X197" s="4">
        <f t="shared" si="150"/>
        <v>1.0000020245718406</v>
      </c>
      <c r="Y197" s="4">
        <f t="shared" si="151"/>
        <v>-2.0122467168595306E-3</v>
      </c>
      <c r="Z197" t="str">
        <f t="shared" si="140"/>
        <v>0.999975667878635+0.00871392074665787i</v>
      </c>
      <c r="AA197" s="4">
        <f t="shared" si="152"/>
        <v>1.0000136342891037</v>
      </c>
      <c r="AB197" s="4">
        <f t="shared" si="153"/>
        <v>8.7139122175946097E-3</v>
      </c>
      <c r="AC197" s="48" t="str">
        <f t="shared" si="154"/>
        <v>0.0216869741441544-6.58574675054128i</v>
      </c>
      <c r="AD197" s="20">
        <f t="shared" si="155"/>
        <v>16.372147619679218</v>
      </c>
      <c r="AE197" s="44">
        <f t="shared" si="156"/>
        <v>-89.811324722237543</v>
      </c>
      <c r="AF197" t="str">
        <f t="shared" si="141"/>
        <v>-0.979317078436135</v>
      </c>
      <c r="AG197" t="str">
        <f t="shared" si="157"/>
        <v>3874.18065617644i</v>
      </c>
      <c r="AH197">
        <f t="shared" si="158"/>
        <v>3874.1806561764402</v>
      </c>
      <c r="AI197">
        <f t="shared" si="159"/>
        <v>1.5707963267948966</v>
      </c>
      <c r="AJ197" t="str">
        <f t="shared" si="142"/>
        <v>0.767671720747684+3.79638710860042i</v>
      </c>
      <c r="AK197">
        <f t="shared" si="160"/>
        <v>3.8732253935425915</v>
      </c>
      <c r="AL197">
        <f t="shared" si="161"/>
        <v>1.3712755888900281</v>
      </c>
      <c r="AM197" t="str">
        <f t="shared" si="143"/>
        <v>1+538.976012887266i</v>
      </c>
      <c r="AN197">
        <f t="shared" si="162"/>
        <v>538.97694057153728</v>
      </c>
      <c r="AO197">
        <f t="shared" si="163"/>
        <v>1.5689409587847707</v>
      </c>
      <c r="AP197" t="str">
        <f t="shared" si="144"/>
        <v>1+3.64172981680586i</v>
      </c>
      <c r="AQ197">
        <f t="shared" si="164"/>
        <v>3.7765322795671752</v>
      </c>
      <c r="AR197">
        <f t="shared" si="165"/>
        <v>1.3028068841678362</v>
      </c>
      <c r="AS197" s="42" t="str">
        <f t="shared" si="166"/>
        <v>-0.132513246113089+0.00933426368980909i</v>
      </c>
      <c r="AT197">
        <f t="shared" si="167"/>
        <v>-17.533318491387263</v>
      </c>
      <c r="AU197" s="44">
        <f t="shared" si="168"/>
        <v>175.97072743426713</v>
      </c>
      <c r="AV197" s="42" t="str">
        <f t="shared" si="145"/>
        <v>0.0585992854216431+0.872901111928248i</v>
      </c>
      <c r="AW197" s="20">
        <f t="shared" si="169"/>
        <v>-1.1611708717080509</v>
      </c>
      <c r="AX197" s="44">
        <f t="shared" si="170"/>
        <v>86.159402712029618</v>
      </c>
    </row>
    <row r="198" spans="14:50" x14ac:dyDescent="0.3">
      <c r="N198" s="8">
        <v>80</v>
      </c>
      <c r="O198" s="35">
        <f t="shared" si="171"/>
        <v>630.95734448019323</v>
      </c>
      <c r="P198" s="34" t="str">
        <f t="shared" si="136"/>
        <v>545.10556621881</v>
      </c>
      <c r="Q198" s="4" t="str">
        <f t="shared" si="137"/>
        <v>1+84.6910094594306i</v>
      </c>
      <c r="R198" s="4">
        <f t="shared" si="146"/>
        <v>84.69691306805322</v>
      </c>
      <c r="S198" s="4">
        <f t="shared" si="147"/>
        <v>1.5589892467175186</v>
      </c>
      <c r="T198" s="4" t="str">
        <f t="shared" si="138"/>
        <v>1+0.0019822109581475i</v>
      </c>
      <c r="U198" s="4">
        <f t="shared" si="148"/>
        <v>1.0000019645782117</v>
      </c>
      <c r="V198" s="4">
        <f t="shared" si="149"/>
        <v>1.9822083620120974E-3</v>
      </c>
      <c r="W198" t="str">
        <f t="shared" si="139"/>
        <v>1-0.00205912074332362i</v>
      </c>
      <c r="X198" s="4">
        <f t="shared" si="150"/>
        <v>1.0000021199868707</v>
      </c>
      <c r="Y198" s="4">
        <f t="shared" si="151"/>
        <v>-2.0591178331219782E-3</v>
      </c>
      <c r="Z198" t="str">
        <f t="shared" si="140"/>
        <v>0.999974521141085+0.00891689403534486i</v>
      </c>
      <c r="AA198" s="4">
        <f t="shared" si="152"/>
        <v>1.0000142768633755</v>
      </c>
      <c r="AB198" s="4">
        <f t="shared" si="153"/>
        <v>8.9168848962438551E-3</v>
      </c>
      <c r="AC198" s="48" t="str">
        <f t="shared" si="154"/>
        <v>0.0181059733045944-6.43586446730882i</v>
      </c>
      <c r="AD198" s="20">
        <f t="shared" si="155"/>
        <v>16.172172167171311</v>
      </c>
      <c r="AE198" s="44">
        <f t="shared" si="156"/>
        <v>-89.838810602251158</v>
      </c>
      <c r="AF198" t="str">
        <f t="shared" si="141"/>
        <v>-0.979317078436135</v>
      </c>
      <c r="AG198" t="str">
        <f t="shared" si="157"/>
        <v>3964.421916295i</v>
      </c>
      <c r="AH198">
        <f t="shared" si="158"/>
        <v>3964.4219162949998</v>
      </c>
      <c r="AI198">
        <f t="shared" si="159"/>
        <v>1.5707963267948966</v>
      </c>
      <c r="AJ198" t="str">
        <f t="shared" si="142"/>
        <v>0.756722426275359+3.8848163242158i</v>
      </c>
      <c r="AK198">
        <f t="shared" si="160"/>
        <v>3.9578310604827012</v>
      </c>
      <c r="AL198">
        <f t="shared" si="161"/>
        <v>1.3784155990706752</v>
      </c>
      <c r="AM198" t="str">
        <f t="shared" si="143"/>
        <v>1+551.53037699496i</v>
      </c>
      <c r="AN198">
        <f t="shared" si="162"/>
        <v>551.53128356259413</v>
      </c>
      <c r="AO198">
        <f t="shared" si="163"/>
        <v>1.5689831920231927</v>
      </c>
      <c r="AP198" t="str">
        <f t="shared" si="144"/>
        <v>1+3.72655660131731i</v>
      </c>
      <c r="AQ198">
        <f t="shared" si="164"/>
        <v>3.8583965714816855</v>
      </c>
      <c r="AR198">
        <f t="shared" si="165"/>
        <v>1.3086283907603666</v>
      </c>
      <c r="AS198" s="42" t="str">
        <f t="shared" si="166"/>
        <v>-0.132479609766437+0.00950182844970032i</v>
      </c>
      <c r="AT198">
        <f t="shared" si="167"/>
        <v>-17.534735566169914</v>
      </c>
      <c r="AU198" s="44">
        <f t="shared" si="168"/>
        <v>175.89760252971192</v>
      </c>
      <c r="AV198" s="42" t="str">
        <f t="shared" si="145"/>
        <v>0.0587538078160562+0.852792852991005i</v>
      </c>
      <c r="AW198" s="20">
        <f t="shared" si="169"/>
        <v>-1.3625633989986068</v>
      </c>
      <c r="AX198" s="44">
        <f t="shared" si="170"/>
        <v>86.058791927460788</v>
      </c>
    </row>
    <row r="199" spans="14:50" x14ac:dyDescent="0.3">
      <c r="N199" s="8">
        <v>81</v>
      </c>
      <c r="O199" s="35">
        <f t="shared" si="171"/>
        <v>645.65422903465594</v>
      </c>
      <c r="P199" s="34" t="str">
        <f t="shared" si="136"/>
        <v>545.10556621881</v>
      </c>
      <c r="Q199" s="4" t="str">
        <f t="shared" si="137"/>
        <v>1+86.6637164890184i</v>
      </c>
      <c r="R199" s="4">
        <f t="shared" si="146"/>
        <v>86.669485724151841</v>
      </c>
      <c r="S199" s="4">
        <f t="shared" si="147"/>
        <v>1.5592579845412249</v>
      </c>
      <c r="T199" s="4" t="str">
        <f t="shared" si="138"/>
        <v>1+0.00202838258269446i</v>
      </c>
      <c r="U199" s="4">
        <f t="shared" si="148"/>
        <v>1.000002057165835</v>
      </c>
      <c r="V199" s="4">
        <f t="shared" si="149"/>
        <v>2.0283798008855665E-3</v>
      </c>
      <c r="W199" t="str">
        <f t="shared" si="139"/>
        <v>1-0.00210708382690299i</v>
      </c>
      <c r="X199" s="4">
        <f t="shared" si="150"/>
        <v>1.0000022198986629</v>
      </c>
      <c r="Y199" s="4">
        <f t="shared" si="151"/>
        <v>-2.1070807085661228E-3</v>
      </c>
      <c r="Z199" t="str">
        <f t="shared" si="140"/>
        <v>0.999973320359458+0.00912459517927845i</v>
      </c>
      <c r="AA199" s="4">
        <f t="shared" si="152"/>
        <v>1.0000149497222053</v>
      </c>
      <c r="AB199" s="4">
        <f t="shared" si="153"/>
        <v>9.124585386504739E-3</v>
      </c>
      <c r="AC199" s="48" t="str">
        <f t="shared" si="154"/>
        <v>0.0146861060628194-6.28939075794538i</v>
      </c>
      <c r="AD199" s="20">
        <f t="shared" si="155"/>
        <v>15.97219524290055</v>
      </c>
      <c r="AE199" s="44">
        <f t="shared" si="156"/>
        <v>-89.866211148594559</v>
      </c>
      <c r="AF199" t="str">
        <f t="shared" si="141"/>
        <v>-0.979317078436135</v>
      </c>
      <c r="AG199" t="str">
        <f t="shared" si="157"/>
        <v>4056.76516538891i</v>
      </c>
      <c r="AH199">
        <f t="shared" si="158"/>
        <v>4056.7651653889102</v>
      </c>
      <c r="AI199">
        <f t="shared" si="159"/>
        <v>1.5707963267948966</v>
      </c>
      <c r="AJ199" t="str">
        <f t="shared" si="142"/>
        <v>0.745257107452372+3.97530532086791i</v>
      </c>
      <c r="AK199">
        <f t="shared" si="160"/>
        <v>4.0445593765364594</v>
      </c>
      <c r="AL199">
        <f t="shared" si="161"/>
        <v>1.3854757496029122</v>
      </c>
      <c r="AM199" t="str">
        <f t="shared" si="143"/>
        <v>1+564.377169808905i</v>
      </c>
      <c r="AN199">
        <f t="shared" si="162"/>
        <v>564.37805574057325</v>
      </c>
      <c r="AO199">
        <f t="shared" si="163"/>
        <v>1.5690244639219901</v>
      </c>
      <c r="AP199" t="str">
        <f t="shared" si="144"/>
        <v>1+3.81335925546558i</v>
      </c>
      <c r="AQ199">
        <f t="shared" si="164"/>
        <v>3.9422974026885647</v>
      </c>
      <c r="AR199">
        <f t="shared" si="165"/>
        <v>1.3143350128741365</v>
      </c>
      <c r="AS199" s="42" t="str">
        <f t="shared" si="166"/>
        <v>-0.132445227817999+0.0096740752023185i</v>
      </c>
      <c r="AT199">
        <f t="shared" si="167"/>
        <v>-17.536165051867822</v>
      </c>
      <c r="AU199" s="44">
        <f t="shared" si="168"/>
        <v>175.82241576949636</v>
      </c>
      <c r="AV199" s="42" t="str">
        <f t="shared" si="145"/>
        <v>0.0588989345058811+0.833141866266974i</v>
      </c>
      <c r="AW199" s="20">
        <f t="shared" si="169"/>
        <v>-1.5639698089672736</v>
      </c>
      <c r="AX199" s="44">
        <f t="shared" si="170"/>
        <v>85.956204620901801</v>
      </c>
    </row>
    <row r="200" spans="14:50" x14ac:dyDescent="0.3">
      <c r="N200" s="8">
        <v>82</v>
      </c>
      <c r="O200" s="35">
        <f t="shared" si="171"/>
        <v>660.69344800759643</v>
      </c>
      <c r="P200" s="34" t="str">
        <f t="shared" si="136"/>
        <v>545.10556621881</v>
      </c>
      <c r="Q200" s="4" t="str">
        <f t="shared" si="137"/>
        <v>1+88.6823737682186i</v>
      </c>
      <c r="R200" s="4">
        <f t="shared" si="146"/>
        <v>88.688011687972946</v>
      </c>
      <c r="S200" s="4">
        <f t="shared" si="147"/>
        <v>1.559520606755721</v>
      </c>
      <c r="T200" s="4" t="str">
        <f t="shared" si="138"/>
        <v>1+0.00207562968253557i</v>
      </c>
      <c r="U200" s="4">
        <f t="shared" si="148"/>
        <v>1.0000021541169695</v>
      </c>
      <c r="V200" s="4">
        <f t="shared" si="149"/>
        <v>2.0756267017739837E-3</v>
      </c>
      <c r="W200" t="str">
        <f t="shared" si="139"/>
        <v>1-0.00215616411421795i</v>
      </c>
      <c r="X200" s="4">
        <f t="shared" si="150"/>
        <v>1.0000023245191421</v>
      </c>
      <c r="Y200" s="4">
        <f t="shared" si="151"/>
        <v>-2.1561607728602158E-3</v>
      </c>
      <c r="Z200" t="str">
        <f t="shared" si="140"/>
        <v>0.999972062986737+0.00933713430435439i</v>
      </c>
      <c r="AA200" s="4">
        <f t="shared" si="152"/>
        <v>1.0000156542929557</v>
      </c>
      <c r="AB200" s="4">
        <f t="shared" si="153"/>
        <v>9.3371238111515775E-3</v>
      </c>
      <c r="AC200" s="48" t="str">
        <f t="shared" si="154"/>
        <v>0.0114201243561507-6.14624821416533i</v>
      </c>
      <c r="AD200" s="20">
        <f t="shared" si="155"/>
        <v>15.772216895789297</v>
      </c>
      <c r="AE200" s="44">
        <f t="shared" si="156"/>
        <v>-89.893540880334498</v>
      </c>
      <c r="AF200" t="str">
        <f t="shared" si="141"/>
        <v>-0.979317078436135</v>
      </c>
      <c r="AG200" t="str">
        <f t="shared" si="157"/>
        <v>4151.25936507115i</v>
      </c>
      <c r="AH200">
        <f t="shared" si="158"/>
        <v>4151.2593650711497</v>
      </c>
      <c r="AI200">
        <f t="shared" si="159"/>
        <v>1.5707963267948966</v>
      </c>
      <c r="AJ200" t="str">
        <f t="shared" si="142"/>
        <v>0.733251444800315+4.06790207702052i</v>
      </c>
      <c r="AK200">
        <f t="shared" si="160"/>
        <v>4.1334592038061304</v>
      </c>
      <c r="AL200">
        <f t="shared" si="161"/>
        <v>1.3924583651062981</v>
      </c>
      <c r="AM200" t="str">
        <f t="shared" si="143"/>
        <v>1+577.523202868698i</v>
      </c>
      <c r="AN200">
        <f t="shared" si="162"/>
        <v>577.52406863413012</v>
      </c>
      <c r="AO200">
        <f t="shared" si="163"/>
        <v>1.5690647963635074</v>
      </c>
      <c r="AP200" t="str">
        <f t="shared" si="144"/>
        <v>1+3.90218380316689i</v>
      </c>
      <c r="AQ200">
        <f t="shared" si="164"/>
        <v>4.0282798355747342</v>
      </c>
      <c r="AR200">
        <f t="shared" si="165"/>
        <v>1.3199282889102082</v>
      </c>
      <c r="AS200" s="42" t="str">
        <f t="shared" si="166"/>
        <v>-0.132410035563516+0.0098510975348028i</v>
      </c>
      <c r="AT200">
        <f t="shared" si="167"/>
        <v>-17.537609497596037</v>
      </c>
      <c r="AU200" s="44">
        <f t="shared" si="168"/>
        <v>175.7451233603847</v>
      </c>
      <c r="AV200" s="42" t="str">
        <f t="shared" si="145"/>
        <v>0.0590351515587125+0.81393744537872i</v>
      </c>
      <c r="AW200" s="20">
        <f t="shared" si="169"/>
        <v>-1.7653926018067381</v>
      </c>
      <c r="AX200" s="44">
        <f t="shared" si="170"/>
        <v>85.851582480050226</v>
      </c>
    </row>
    <row r="201" spans="14:50" x14ac:dyDescent="0.3">
      <c r="N201" s="8">
        <v>83</v>
      </c>
      <c r="O201" s="35">
        <f t="shared" si="171"/>
        <v>676.08297539198213</v>
      </c>
      <c r="P201" s="34" t="str">
        <f t="shared" si="136"/>
        <v>545.10556621881</v>
      </c>
      <c r="Q201" s="4" t="str">
        <f t="shared" si="137"/>
        <v>1+90.7480516158407i</v>
      </c>
      <c r="R201" s="4">
        <f t="shared" si="146"/>
        <v>90.753561208755258</v>
      </c>
      <c r="S201" s="4">
        <f t="shared" si="147"/>
        <v>1.5597772524617923</v>
      </c>
      <c r="T201" s="4" t="str">
        <f t="shared" si="138"/>
        <v>1+0.00212397730870858i</v>
      </c>
      <c r="U201" s="4">
        <f t="shared" si="148"/>
        <v>1.0000022556372601</v>
      </c>
      <c r="V201" s="4">
        <f t="shared" si="149"/>
        <v>2.123974114765385E-3</v>
      </c>
      <c r="W201" t="str">
        <f t="shared" si="139"/>
        <v>1-0.00220638762828647i</v>
      </c>
      <c r="X201" s="4">
        <f t="shared" si="150"/>
        <v>1.0000024340702207</v>
      </c>
      <c r="Y201" s="4">
        <f t="shared" si="151"/>
        <v>-2.2063840479576227E-3</v>
      </c>
      <c r="Z201" t="str">
        <f t="shared" si="140"/>
        <v>0.999970746355865+0.00955462410163008i</v>
      </c>
      <c r="AA201" s="4">
        <f t="shared" si="152"/>
        <v>1.0000163920702645</v>
      </c>
      <c r="AB201" s="4">
        <f t="shared" si="153"/>
        <v>9.5546128578970491E-3</v>
      </c>
      <c r="AC201" s="48" t="str">
        <f t="shared" si="154"/>
        <v>0.00830110601174408-6.00636117696428i</v>
      </c>
      <c r="AD201" s="20">
        <f t="shared" si="155"/>
        <v>15.572237171743918</v>
      </c>
      <c r="AE201" s="44">
        <f t="shared" si="156"/>
        <v>-89.920814279572994</v>
      </c>
      <c r="AF201" t="str">
        <f t="shared" si="141"/>
        <v>-0.979317078436135</v>
      </c>
      <c r="AG201" t="str">
        <f t="shared" si="157"/>
        <v>4247.95461741716i</v>
      </c>
      <c r="AH201">
        <f t="shared" si="158"/>
        <v>4247.9546174171601</v>
      </c>
      <c r="AI201">
        <f t="shared" si="159"/>
        <v>1.5707963267948966</v>
      </c>
      <c r="AJ201" t="str">
        <f t="shared" si="142"/>
        <v>0.720679972699078+4.16265568869942i</v>
      </c>
      <c r="AK201">
        <f t="shared" si="160"/>
        <v>4.2245806899278406</v>
      </c>
      <c r="AL201">
        <f t="shared" si="161"/>
        <v>1.3993658091548107</v>
      </c>
      <c r="AM201" t="str">
        <f t="shared" si="143"/>
        <v>1+590.975446375075i</v>
      </c>
      <c r="AN201">
        <f t="shared" si="162"/>
        <v>590.97629243330834</v>
      </c>
      <c r="AO201">
        <f t="shared" si="163"/>
        <v>1.5691042107320132</v>
      </c>
      <c r="AP201" t="str">
        <f t="shared" si="144"/>
        <v>1+3.99307734037214i</v>
      </c>
      <c r="AQ201">
        <f t="shared" si="164"/>
        <v>4.1163900017118698</v>
      </c>
      <c r="AR201">
        <f t="shared" si="165"/>
        <v>1.3254097840391312</v>
      </c>
      <c r="AS201" s="42" t="str">
        <f t="shared" si="166"/>
        <v>-0.132373966170085+0.0100329901878789i</v>
      </c>
      <c r="AT201">
        <f t="shared" si="167"/>
        <v>-17.539071517808267</v>
      </c>
      <c r="AU201" s="44">
        <f t="shared" si="168"/>
        <v>175.66568078245854</v>
      </c>
      <c r="AV201" s="42" t="str">
        <f t="shared" si="145"/>
        <v>0.0591629124269665+0.795169136159946i</v>
      </c>
      <c r="AW201" s="20">
        <f t="shared" si="169"/>
        <v>-1.9668343460643509</v>
      </c>
      <c r="AX201" s="44">
        <f t="shared" si="170"/>
        <v>85.744866502885557</v>
      </c>
    </row>
    <row r="202" spans="14:50" x14ac:dyDescent="0.3">
      <c r="N202" s="8">
        <v>84</v>
      </c>
      <c r="O202" s="35">
        <f t="shared" si="171"/>
        <v>691.83097091893671</v>
      </c>
      <c r="P202" s="34" t="str">
        <f t="shared" si="136"/>
        <v>545.10556621881</v>
      </c>
      <c r="Q202" s="4" t="str">
        <f t="shared" si="137"/>
        <v>1+92.8618452816219i</v>
      </c>
      <c r="R202" s="4">
        <f t="shared" si="146"/>
        <v>92.867229468246137</v>
      </c>
      <c r="S202" s="4">
        <f t="shared" si="147"/>
        <v>1.5600280576010763</v>
      </c>
      <c r="T202" s="4" t="str">
        <f t="shared" si="138"/>
        <v>1+0.00217345109576482i</v>
      </c>
      <c r="U202" s="4">
        <f t="shared" si="148"/>
        <v>1.0000023619420435</v>
      </c>
      <c r="V202" s="4">
        <f t="shared" si="149"/>
        <v>2.1734476733934636E-3</v>
      </c>
      <c r="W202" t="str">
        <f t="shared" si="139"/>
        <v>1-0.00225778099828049i</v>
      </c>
      <c r="X202" s="4">
        <f t="shared" si="150"/>
        <v>1.0000025487842701</v>
      </c>
      <c r="Y202" s="4">
        <f t="shared" si="151"/>
        <v>-2.257777161889539E-3</v>
      </c>
      <c r="Z202" t="str">
        <f t="shared" si="140"/>
        <v>0.999969367674091+0.00977717988707485i</v>
      </c>
      <c r="AA202" s="4">
        <f t="shared" si="152"/>
        <v>1.0000171646192206</v>
      </c>
      <c r="AB202" s="4">
        <f t="shared" si="153"/>
        <v>9.77716783912644E-3</v>
      </c>
      <c r="AC202" s="48" t="str">
        <f t="shared" si="154"/>
        <v>0.00532244010964784-5.86965569763402i</v>
      </c>
      <c r="AD202" s="20">
        <f t="shared" si="155"/>
        <v>15.372256113751986</v>
      </c>
      <c r="AE202" s="44">
        <f t="shared" si="156"/>
        <v>-89.948045799085676</v>
      </c>
      <c r="AF202" t="str">
        <f t="shared" si="141"/>
        <v>-0.979317078436135</v>
      </c>
      <c r="AG202" t="str">
        <f t="shared" si="157"/>
        <v>4346.90219152965i</v>
      </c>
      <c r="AH202">
        <f t="shared" si="158"/>
        <v>4346.9021915296498</v>
      </c>
      <c r="AI202">
        <f t="shared" si="159"/>
        <v>1.5707963267948966</v>
      </c>
      <c r="AJ202" t="str">
        <f t="shared" si="142"/>
        <v>0.707516025370848+4.25961639552374i</v>
      </c>
      <c r="AK202">
        <f t="shared" si="160"/>
        <v>4.3179753083095811</v>
      </c>
      <c r="AL202">
        <f t="shared" si="161"/>
        <v>1.4062004810304936</v>
      </c>
      <c r="AM202" t="str">
        <f t="shared" si="143"/>
        <v>1+604.741032885605i</v>
      </c>
      <c r="AN202">
        <f t="shared" si="162"/>
        <v>604.74185968522841</v>
      </c>
      <c r="AO202">
        <f t="shared" si="163"/>
        <v>1.5691427279250381</v>
      </c>
      <c r="AP202" t="str">
        <f t="shared" si="144"/>
        <v>1+4.08608806003788i</v>
      </c>
      <c r="AQ202">
        <f t="shared" si="164"/>
        <v>4.2066751282199251</v>
      </c>
      <c r="AR202">
        <f t="shared" si="165"/>
        <v>1.3307810864526979</v>
      </c>
      <c r="AS202" s="42" t="str">
        <f t="shared" si="166"/>
        <v>-0.132336950585172+0.0102198490840143i</v>
      </c>
      <c r="AT202">
        <f t="shared" si="167"/>
        <v>-17.540553795075823</v>
      </c>
      <c r="AU202" s="44">
        <f t="shared" si="168"/>
        <v>175.58404276101001</v>
      </c>
      <c r="AV202" s="42" t="str">
        <f t="shared" si="145"/>
        <v>0.0592826399111614+0.776826730544446i</v>
      </c>
      <c r="AW202" s="20">
        <f t="shared" si="169"/>
        <v>-2.1682976813238333</v>
      </c>
      <c r="AX202" s="44">
        <f t="shared" si="170"/>
        <v>85.635996961924349</v>
      </c>
    </row>
    <row r="203" spans="14:50" x14ac:dyDescent="0.3">
      <c r="N203" s="8">
        <v>85</v>
      </c>
      <c r="O203" s="35">
        <f t="shared" si="171"/>
        <v>707.94578438413873</v>
      </c>
      <c r="P203" s="34" t="str">
        <f t="shared" si="136"/>
        <v>545.10556621881</v>
      </c>
      <c r="Q203" s="4" t="str">
        <f t="shared" si="137"/>
        <v>1+95.0248755269434i</v>
      </c>
      <c r="R203" s="4">
        <f t="shared" si="146"/>
        <v>95.030137161382058</v>
      </c>
      <c r="S203" s="4">
        <f t="shared" si="147"/>
        <v>1.5602731550274933</v>
      </c>
      <c r="T203" s="4" t="str">
        <f t="shared" si="138"/>
        <v>1+0.00222407727536107i</v>
      </c>
      <c r="U203" s="4">
        <f t="shared" si="148"/>
        <v>1.0000024732568049</v>
      </c>
      <c r="V203" s="4">
        <f t="shared" si="149"/>
        <v>2.2240736082245814E-3</v>
      </c>
      <c r="W203" t="str">
        <f t="shared" si="139"/>
        <v>1-0.00231037147364508i</v>
      </c>
      <c r="X203" s="4">
        <f t="shared" si="150"/>
        <v>1.0000026689046115</v>
      </c>
      <c r="Y203" s="4">
        <f t="shared" si="151"/>
        <v>-2.3103673628787061E-3</v>
      </c>
      <c r="Z203" t="str">
        <f t="shared" si="140"/>
        <v>0.999967924017048+0.010004919662712i</v>
      </c>
      <c r="AA203" s="4">
        <f t="shared" si="152"/>
        <v>1.0000179735786863</v>
      </c>
      <c r="AB203" s="4">
        <f t="shared" si="153"/>
        <v>1.000490675302256E-2</v>
      </c>
      <c r="AC203" s="48" t="str">
        <f t="shared" si="154"/>
        <v>0.00247781300203213-5.73605949960884i</v>
      </c>
      <c r="AD203" s="20">
        <f t="shared" si="155"/>
        <v>15.172273761973127</v>
      </c>
      <c r="AE203" s="44">
        <f t="shared" si="156"/>
        <v>-89.975249869946722</v>
      </c>
      <c r="AF203" t="str">
        <f t="shared" si="141"/>
        <v>-0.979317078436135</v>
      </c>
      <c r="AG203" t="str">
        <f t="shared" si="157"/>
        <v>4448.15455072215i</v>
      </c>
      <c r="AH203">
        <f t="shared" si="158"/>
        <v>4448.1545507221499</v>
      </c>
      <c r="AI203">
        <f t="shared" si="159"/>
        <v>1.5707963267948966</v>
      </c>
      <c r="AJ203" t="str">
        <f t="shared" si="142"/>
        <v>0.693731680318419+4.35883560734365i</v>
      </c>
      <c r="AK203">
        <f t="shared" si="160"/>
        <v>4.413695899824126</v>
      </c>
      <c r="AL203">
        <f t="shared" si="161"/>
        <v>1.4129648126748044</v>
      </c>
      <c r="AM203" t="str">
        <f t="shared" si="143"/>
        <v>1+618.827261096465i</v>
      </c>
      <c r="AN203">
        <f t="shared" si="162"/>
        <v>618.82806907585598</v>
      </c>
      <c r="AO203">
        <f t="shared" si="163"/>
        <v>1.5691803683644496</v>
      </c>
      <c r="AP203" t="str">
        <f t="shared" si="144"/>
        <v>1+4.18126527767883i</v>
      </c>
      <c r="AQ203">
        <f t="shared" si="164"/>
        <v>4.299183564622779</v>
      </c>
      <c r="AR203">
        <f t="shared" si="165"/>
        <v>1.3360438038184681</v>
      </c>
      <c r="AS203" s="42" t="str">
        <f t="shared" si="166"/>
        <v>-0.132298917439582+0.0104117713523389i</v>
      </c>
      <c r="AT203">
        <f t="shared" si="167"/>
        <v>-17.542059083153777</v>
      </c>
      <c r="AU203" s="44">
        <f t="shared" si="168"/>
        <v>175.50016323871034</v>
      </c>
      <c r="AV203" s="42" t="str">
        <f t="shared" si="145"/>
        <v>0.0593947279955521+0.758900260589711i</v>
      </c>
      <c r="AW203" s="20">
        <f t="shared" si="169"/>
        <v>-2.3697853211806446</v>
      </c>
      <c r="AX203" s="44">
        <f t="shared" si="170"/>
        <v>85.52491336876362</v>
      </c>
    </row>
    <row r="204" spans="14:50" x14ac:dyDescent="0.3">
      <c r="N204" s="8">
        <v>86</v>
      </c>
      <c r="O204" s="35">
        <f t="shared" si="171"/>
        <v>724.43596007499025</v>
      </c>
      <c r="P204" s="34" t="str">
        <f t="shared" si="136"/>
        <v>545.10556621881</v>
      </c>
      <c r="Q204" s="4" t="str">
        <f t="shared" si="137"/>
        <v>1+97.2382892190721i</v>
      </c>
      <c r="R204" s="4">
        <f t="shared" si="146"/>
        <v>97.243431090495335</v>
      </c>
      <c r="S204" s="4">
        <f t="shared" si="147"/>
        <v>1.5605126745770861</v>
      </c>
      <c r="T204" s="4" t="str">
        <f t="shared" si="138"/>
        <v>1+0.00227588269016786i</v>
      </c>
      <c r="U204" s="4">
        <f t="shared" si="148"/>
        <v>1.0000025898176561</v>
      </c>
      <c r="V204" s="4">
        <f t="shared" si="149"/>
        <v>2.2758787607608673E-3</v>
      </c>
      <c r="W204" t="str">
        <f t="shared" si="139"/>
        <v>1-0.00236418693854637i</v>
      </c>
      <c r="X204" s="4">
        <f t="shared" si="150"/>
        <v>1.000002794686035</v>
      </c>
      <c r="Y204" s="4">
        <f t="shared" si="151"/>
        <v>-2.3641825337815058E-3</v>
      </c>
      <c r="Z204" t="str">
        <f t="shared" si="140"/>
        <v>0.999966412322544+0.0102379641791852i</v>
      </c>
      <c r="AA204" s="4">
        <f t="shared" si="152"/>
        <v>1.0000188206647684</v>
      </c>
      <c r="AB204" s="4">
        <f t="shared" si="153"/>
        <v>1.0237950346113842E-2</v>
      </c>
      <c r="AC204" s="48" t="str">
        <f t="shared" si="154"/>
        <v>-0.000238805040711031-5.60550194112833i</v>
      </c>
      <c r="AD204" s="20">
        <f t="shared" si="155"/>
        <v>14.972290153824275</v>
      </c>
      <c r="AE204" s="44">
        <f t="shared" si="156"/>
        <v>-90.002440909145079</v>
      </c>
      <c r="AF204" t="str">
        <f t="shared" si="141"/>
        <v>-0.979317078436135</v>
      </c>
      <c r="AG204" t="str">
        <f t="shared" si="157"/>
        <v>4551.76538033572i</v>
      </c>
      <c r="AH204">
        <f t="shared" si="158"/>
        <v>4551.7653803357198</v>
      </c>
      <c r="AI204">
        <f t="shared" si="159"/>
        <v>1.5707963267948966</v>
      </c>
      <c r="AJ204" t="str">
        <f t="shared" si="142"/>
        <v>0.679297699097838+4.46036593149858i</v>
      </c>
      <c r="AK204">
        <f t="shared" si="160"/>
        <v>4.5117967160403865</v>
      </c>
      <c r="AL204">
        <f t="shared" si="161"/>
        <v>1.4196612658321819</v>
      </c>
      <c r="AM204" t="str">
        <f t="shared" si="143"/>
        <v>1+633.241599712305i</v>
      </c>
      <c r="AN204">
        <f t="shared" si="162"/>
        <v>633.24238929986291</v>
      </c>
      <c r="AO204">
        <f t="shared" si="163"/>
        <v>1.5692171520072802</v>
      </c>
      <c r="AP204" t="str">
        <f t="shared" si="144"/>
        <v>1+4.27865945751559i</v>
      </c>
      <c r="AQ204">
        <f t="shared" si="164"/>
        <v>4.3939648102127089</v>
      </c>
      <c r="AR204">
        <f t="shared" si="165"/>
        <v>1.3411995599326174</v>
      </c>
      <c r="AS204" s="42" t="str">
        <f t="shared" si="166"/>
        <v>-0.132259792944408+0.0106088553500305i</v>
      </c>
      <c r="AT204">
        <f t="shared" si="167"/>
        <v>-17.543590210331502</v>
      </c>
      <c r="AU204" s="44">
        <f t="shared" si="168"/>
        <v>175.41399534811438</v>
      </c>
      <c r="AV204" s="42" t="str">
        <f t="shared" si="145"/>
        <v>0.0594995435629842+0.741379992634976i</v>
      </c>
      <c r="AW204" s="20">
        <f t="shared" si="169"/>
        <v>-2.5713000565072313</v>
      </c>
      <c r="AX204" s="44">
        <f t="shared" si="170"/>
        <v>85.411554438969276</v>
      </c>
    </row>
    <row r="205" spans="14:50" x14ac:dyDescent="0.3">
      <c r="N205" s="8">
        <v>87</v>
      </c>
      <c r="O205" s="35">
        <f t="shared" si="171"/>
        <v>741.31024130091828</v>
      </c>
      <c r="P205" s="34" t="str">
        <f t="shared" si="136"/>
        <v>545.10556621881</v>
      </c>
      <c r="Q205" s="4" t="str">
        <f t="shared" si="137"/>
        <v>1+99.5032599392456i</v>
      </c>
      <c r="R205" s="4">
        <f t="shared" si="146"/>
        <v>99.508284773364863</v>
      </c>
      <c r="S205" s="4">
        <f t="shared" si="147"/>
        <v>1.5607467431362976</v>
      </c>
      <c r="T205" s="4" t="str">
        <f t="shared" si="138"/>
        <v>1+0.00232889480810184i</v>
      </c>
      <c r="U205" s="4">
        <f t="shared" si="148"/>
        <v>1.0000027118718364</v>
      </c>
      <c r="V205" s="4">
        <f t="shared" si="149"/>
        <v>2.3288905976670059E-3</v>
      </c>
      <c r="W205" t="str">
        <f t="shared" si="139"/>
        <v>1-0.00241925592665618i</v>
      </c>
      <c r="X205" s="4">
        <f t="shared" si="150"/>
        <v>1.0000029263953374</v>
      </c>
      <c r="Y205" s="4">
        <f t="shared" si="151"/>
        <v>-2.4192512068663395E-3</v>
      </c>
      <c r="Z205" t="str">
        <f t="shared" si="140"/>
        <v>0.999964829384073+0.0104764369997816i</v>
      </c>
      <c r="AA205" s="4">
        <f t="shared" si="152"/>
        <v>1.0000197076744681</v>
      </c>
      <c r="AB205" s="4">
        <f t="shared" si="153"/>
        <v>1.0476422177277719E-2</v>
      </c>
      <c r="AC205" s="48" t="str">
        <f t="shared" si="154"/>
        <v>-0.00283317258499532-5.4779139787011i</v>
      </c>
      <c r="AD205" s="20">
        <f t="shared" si="155"/>
        <v>14.772305324058726</v>
      </c>
      <c r="AE205" s="44">
        <f t="shared" si="156"/>
        <v>-90.029633327195256</v>
      </c>
      <c r="AF205" t="str">
        <f t="shared" si="141"/>
        <v>-0.979317078436135</v>
      </c>
      <c r="AG205" t="str">
        <f t="shared" si="157"/>
        <v>4657.78961620368i</v>
      </c>
      <c r="AH205">
        <f t="shared" si="158"/>
        <v>4657.7896162036805</v>
      </c>
      <c r="AI205">
        <f t="shared" si="159"/>
        <v>1.5707963267948966</v>
      </c>
      <c r="AJ205" t="str">
        <f t="shared" si="142"/>
        <v>0.664183465299738+4.56426120071032i</v>
      </c>
      <c r="AK205">
        <f t="shared" si="160"/>
        <v>4.6123334640816225</v>
      </c>
      <c r="AL205">
        <f t="shared" si="161"/>
        <v>1.4262923293798908</v>
      </c>
      <c r="AM205" t="str">
        <f t="shared" si="143"/>
        <v>1+647.991691406256i</v>
      </c>
      <c r="AN205">
        <f t="shared" si="162"/>
        <v>647.99246302062841</v>
      </c>
      <c r="AO205">
        <f t="shared" si="163"/>
        <v>1.569253098356306</v>
      </c>
      <c r="AP205" t="str">
        <f t="shared" si="144"/>
        <v>1+4.37832223923147i</v>
      </c>
      <c r="AQ205">
        <f t="shared" si="164"/>
        <v>4.4910695419408588</v>
      </c>
      <c r="AR205">
        <f t="shared" si="165"/>
        <v>1.346249991566143</v>
      </c>
      <c r="AS205" s="42" t="str">
        <f t="shared" si="166"/>
        <v>-0.132219500781958+0.0108112006798653i</v>
      </c>
      <c r="AT205">
        <f t="shared" si="167"/>
        <v>-17.545150083066055</v>
      </c>
      <c r="AU205" s="44">
        <f t="shared" si="168"/>
        <v>175.32549138455607</v>
      </c>
      <c r="AV205" s="42" t="str">
        <f t="shared" si="145"/>
        <v>0.0595974279955942+0.724256421592992i</v>
      </c>
      <c r="AW205" s="20">
        <f t="shared" si="169"/>
        <v>-2.772844759007322</v>
      </c>
      <c r="AX205" s="44">
        <f t="shared" si="170"/>
        <v>85.295858057360817</v>
      </c>
    </row>
    <row r="206" spans="14:50" x14ac:dyDescent="0.3">
      <c r="N206" s="8">
        <v>88</v>
      </c>
      <c r="O206" s="35">
        <f t="shared" si="171"/>
        <v>758.57757502918378</v>
      </c>
      <c r="P206" s="34" t="str">
        <f t="shared" si="136"/>
        <v>545.10556621881</v>
      </c>
      <c r="Q206" s="4" t="str">
        <f t="shared" si="137"/>
        <v>1+101.82098860492i</v>
      </c>
      <c r="R206" s="4">
        <f t="shared" si="146"/>
        <v>101.82589906543055</v>
      </c>
      <c r="S206" s="4">
        <f t="shared" si="147"/>
        <v>1.5609754847087245</v>
      </c>
      <c r="T206" s="4" t="str">
        <f t="shared" si="138"/>
        <v>1+0.00238314173688964i</v>
      </c>
      <c r="U206" s="4">
        <f t="shared" si="148"/>
        <v>1.0000028396782372</v>
      </c>
      <c r="V206" s="4">
        <f t="shared" si="149"/>
        <v>2.3831372253281238E-3</v>
      </c>
      <c r="W206" t="str">
        <f t="shared" si="139"/>
        <v>1-0.00247560763628096i</v>
      </c>
      <c r="X206" s="4">
        <f t="shared" si="150"/>
        <v>1.0000030643118893</v>
      </c>
      <c r="Y206" s="4">
        <f t="shared" si="151"/>
        <v>-2.4756025789358662E-3</v>
      </c>
      <c r="Z206" t="str">
        <f t="shared" si="140"/>
        <v>0.99996317184401+0.0107204645659473i</v>
      </c>
      <c r="AA206" s="4">
        <f t="shared" si="152"/>
        <v>1.000020636489489</v>
      </c>
      <c r="AB206" s="4">
        <f t="shared" si="153"/>
        <v>1.0720448683235066E-2</v>
      </c>
      <c r="AC206" s="48" t="str">
        <f t="shared" si="154"/>
        <v>-0.00531078921696322-5.35322813135474i</v>
      </c>
      <c r="AD206" s="20">
        <f t="shared" si="155"/>
        <v>14.572319304839773</v>
      </c>
      <c r="AE206" s="44">
        <f t="shared" si="156"/>
        <v>-90.056841535746742</v>
      </c>
      <c r="AF206" t="str">
        <f t="shared" si="141"/>
        <v>-0.979317078436135</v>
      </c>
      <c r="AG206" t="str">
        <f t="shared" si="157"/>
        <v>4766.28347377929i</v>
      </c>
      <c r="AH206">
        <f t="shared" si="158"/>
        <v>4766.28347377929</v>
      </c>
      <c r="AI206">
        <f t="shared" si="159"/>
        <v>1.5707963267948966</v>
      </c>
      <c r="AJ206" t="str">
        <f t="shared" si="142"/>
        <v>0.648356919607829+4.6705765016258i</v>
      </c>
      <c r="AK206">
        <f t="shared" si="160"/>
        <v>4.7153633532043369</v>
      </c>
      <c r="AL206">
        <f t="shared" si="161"/>
        <v>1.4328605168378026</v>
      </c>
      <c r="AM206" t="str">
        <f t="shared" si="143"/>
        <v>1+663.085356872175i</v>
      </c>
      <c r="AN206">
        <f t="shared" si="162"/>
        <v>663.08611092248009</v>
      </c>
      <c r="AO206">
        <f t="shared" si="163"/>
        <v>1.5692882264703851</v>
      </c>
      <c r="AP206" t="str">
        <f t="shared" si="144"/>
        <v>1+4.48030646535254i</v>
      </c>
      <c r="AQ206">
        <f t="shared" si="164"/>
        <v>4.5905496428510366</v>
      </c>
      <c r="AR206">
        <f t="shared" si="165"/>
        <v>1.3511967454990148</v>
      </c>
      <c r="AS206" s="42" t="str">
        <f t="shared" si="166"/>
        <v>-0.132177961990696+0.011018908203628i</v>
      </c>
      <c r="AT206">
        <f t="shared" si="167"/>
        <v>-17.546741689894912</v>
      </c>
      <c r="AU206" s="44">
        <f t="shared" si="168"/>
        <v>175.23460277948928</v>
      </c>
      <c r="AV206" s="42" t="str">
        <f t="shared" si="145"/>
        <v>0.0596886986677373+0.707520265374861i</v>
      </c>
      <c r="AW206" s="20">
        <f t="shared" si="169"/>
        <v>-2.9744223850551372</v>
      </c>
      <c r="AX206" s="44">
        <f t="shared" si="170"/>
        <v>85.177761243742509</v>
      </c>
    </row>
    <row r="207" spans="14:50" x14ac:dyDescent="0.3">
      <c r="N207" s="8">
        <v>89</v>
      </c>
      <c r="O207" s="35">
        <f t="shared" si="171"/>
        <v>776.24711662869231</v>
      </c>
      <c r="P207" s="34" t="str">
        <f t="shared" si="136"/>
        <v>545.10556621881</v>
      </c>
      <c r="Q207" s="4" t="str">
        <f t="shared" si="137"/>
        <v>1+104.192704106514i</v>
      </c>
      <c r="R207" s="4">
        <f t="shared" si="146"/>
        <v>104.19750279650459</v>
      </c>
      <c r="S207" s="4">
        <f t="shared" si="147"/>
        <v>1.5611990204803741</v>
      </c>
      <c r="T207" s="4" t="str">
        <f t="shared" si="138"/>
        <v>1+0.00243865223897096i</v>
      </c>
      <c r="U207" s="4">
        <f t="shared" si="148"/>
        <v>1.0000029735079505</v>
      </c>
      <c r="V207" s="4">
        <f t="shared" si="149"/>
        <v>2.438647404746475E-3</v>
      </c>
      <c r="W207" t="str">
        <f t="shared" si="139"/>
        <v>1-0.00253327194584303i</v>
      </c>
      <c r="X207" s="4">
        <f t="shared" si="150"/>
        <v>1.0000032087282278</v>
      </c>
      <c r="Y207" s="4">
        <f t="shared" si="151"/>
        <v>-2.5332665268010673E-3</v>
      </c>
      <c r="Z207" t="str">
        <f t="shared" si="140"/>
        <v>0.999961436186491+0.010970176264328i</v>
      </c>
      <c r="AA207" s="4">
        <f t="shared" si="152"/>
        <v>1.0000216090802339</v>
      </c>
      <c r="AB207" s="4">
        <f t="shared" si="153"/>
        <v>1.0970159245568231E-2</v>
      </c>
      <c r="AC207" s="48" t="str">
        <f t="shared" si="154"/>
        <v>-0.00767690717886717-5.23137844565707i</v>
      </c>
      <c r="AD207" s="20">
        <f t="shared" si="155"/>
        <v>14.372332125808796</v>
      </c>
      <c r="AE207" s="44">
        <f t="shared" si="156"/>
        <v>-90.084079955196032</v>
      </c>
      <c r="AF207" t="str">
        <f t="shared" si="141"/>
        <v>-0.979317078436135</v>
      </c>
      <c r="AG207" t="str">
        <f t="shared" si="157"/>
        <v>4877.30447794192i</v>
      </c>
      <c r="AH207">
        <f t="shared" si="158"/>
        <v>4877.3044779419197</v>
      </c>
      <c r="AI207">
        <f t="shared" si="159"/>
        <v>1.5707963267948966</v>
      </c>
      <c r="AJ207" t="str">
        <f t="shared" si="142"/>
        <v>0.6317844917968+4.77936820402485i</v>
      </c>
      <c r="AK207">
        <f t="shared" si="160"/>
        <v>4.8209451431974069</v>
      </c>
      <c r="AL207">
        <f t="shared" si="161"/>
        <v>1.439368364051463</v>
      </c>
      <c r="AM207" t="str">
        <f t="shared" si="143"/>
        <v>1+678.53059897128i</v>
      </c>
      <c r="AN207">
        <f t="shared" si="162"/>
        <v>678.5313358573236</v>
      </c>
      <c r="AO207">
        <f t="shared" si="163"/>
        <v>1.5693225549745617</v>
      </c>
      <c r="AP207" t="str">
        <f t="shared" si="144"/>
        <v>1+4.58466620926542i</v>
      </c>
      <c r="AQ207">
        <f t="shared" si="164"/>
        <v>4.6924582310746414</v>
      </c>
      <c r="AR207">
        <f t="shared" si="165"/>
        <v>1.3560414757365145</v>
      </c>
      <c r="AS207" s="42" t="str">
        <f t="shared" si="166"/>
        <v>-0.132135094844162+0.0112320800510655i</v>
      </c>
      <c r="AT207">
        <f t="shared" si="167"/>
        <v>-17.548368105629535</v>
      </c>
      <c r="AU207" s="44">
        <f t="shared" si="168"/>
        <v>175.14128007432501</v>
      </c>
      <c r="AV207" s="42" t="str">
        <f t="shared" si="145"/>
        <v>0.0597736503372283+0.691162459446624i</v>
      </c>
      <c r="AW207" s="20">
        <f t="shared" si="169"/>
        <v>-3.176035979820738</v>
      </c>
      <c r="AX207" s="44">
        <f t="shared" si="170"/>
        <v>85.05720011912895</v>
      </c>
    </row>
    <row r="208" spans="14:50" x14ac:dyDescent="0.3">
      <c r="N208" s="8">
        <v>90</v>
      </c>
      <c r="O208" s="35">
        <f t="shared" si="171"/>
        <v>794.32823472428208</v>
      </c>
      <c r="P208" s="34" t="str">
        <f t="shared" si="136"/>
        <v>545.10556621881</v>
      </c>
      <c r="Q208" s="4" t="str">
        <f t="shared" si="137"/>
        <v>1+106.619663958977i</v>
      </c>
      <c r="R208" s="4">
        <f t="shared" si="146"/>
        <v>106.62435342230769</v>
      </c>
      <c r="S208" s="4">
        <f t="shared" si="147"/>
        <v>1.5614174688834621</v>
      </c>
      <c r="T208" s="4" t="str">
        <f t="shared" si="138"/>
        <v>1+0.00249545574674876i</v>
      </c>
      <c r="U208" s="4">
        <f t="shared" si="148"/>
        <v>1.0000031136448446</v>
      </c>
      <c r="V208" s="4">
        <f t="shared" si="149"/>
        <v>2.4954505667847695E-3</v>
      </c>
      <c r="W208" t="str">
        <f t="shared" si="139"/>
        <v>1-0.0025922794297226i</v>
      </c>
      <c r="X208" s="4">
        <f t="shared" si="150"/>
        <v>1.0000033599506761</v>
      </c>
      <c r="Y208" s="4">
        <f t="shared" si="151"/>
        <v>-2.5922736231155747E-3</v>
      </c>
      <c r="Z208" t="str">
        <f t="shared" si="140"/>
        <v>0.999959618729953+0.0112257044953715i</v>
      </c>
      <c r="AA208" s="4">
        <f t="shared" si="152"/>
        <v>1.0000226275099831</v>
      </c>
      <c r="AB208" s="4">
        <f t="shared" si="153"/>
        <v>1.1225686259299374E-2</v>
      </c>
      <c r="AC208" s="48" t="str">
        <f t="shared" si="154"/>
        <v>-0.00993654248334875-5.11230046149393i</v>
      </c>
      <c r="AD208" s="20">
        <f t="shared" si="155"/>
        <v>14.172343814148087</v>
      </c>
      <c r="AE208" s="44">
        <f t="shared" si="156"/>
        <v>-90.111363022305085</v>
      </c>
      <c r="AF208" t="str">
        <f t="shared" si="141"/>
        <v>-0.979317078436135</v>
      </c>
      <c r="AG208" t="str">
        <f t="shared" si="157"/>
        <v>4990.91149349751i</v>
      </c>
      <c r="AH208">
        <f t="shared" si="158"/>
        <v>4990.9114934975096</v>
      </c>
      <c r="AI208">
        <f t="shared" si="159"/>
        <v>1.5707963267948966</v>
      </c>
      <c r="AJ208" t="str">
        <f t="shared" si="142"/>
        <v>0.61443102952536+4.89069399070808i</v>
      </c>
      <c r="AK208">
        <f t="shared" si="160"/>
        <v>4.9291391947064866</v>
      </c>
      <c r="AL208">
        <f t="shared" si="161"/>
        <v>1.4458184270415306</v>
      </c>
      <c r="AM208" t="str">
        <f t="shared" si="143"/>
        <v>1+694.335606975373i</v>
      </c>
      <c r="AN208">
        <f t="shared" si="162"/>
        <v>694.33632708786001</v>
      </c>
      <c r="AO208">
        <f t="shared" si="163"/>
        <v>1.5693561020699394</v>
      </c>
      <c r="AP208" t="str">
        <f t="shared" si="144"/>
        <v>1+4.69145680388767i</v>
      </c>
      <c r="AQ208">
        <f t="shared" si="164"/>
        <v>4.7968496894049029</v>
      </c>
      <c r="AR208">
        <f t="shared" si="165"/>
        <v>1.3607858409017208</v>
      </c>
      <c r="AS208" s="42" t="str">
        <f t="shared" si="166"/>
        <v>-0.132090814723918+0.0114508196240665i</v>
      </c>
      <c r="AT208">
        <f t="shared" si="167"/>
        <v>-17.550032495826013</v>
      </c>
      <c r="AU208" s="44">
        <f t="shared" si="168"/>
        <v>175.04547289481587</v>
      </c>
      <c r="AV208" s="42" t="str">
        <f t="shared" si="145"/>
        <v>0.0598525564407633+0.675174151516531i</v>
      </c>
      <c r="AW208" s="20">
        <f t="shared" si="169"/>
        <v>-3.3776886816779328</v>
      </c>
      <c r="AX208" s="44">
        <f t="shared" si="170"/>
        <v>84.934109872510788</v>
      </c>
    </row>
    <row r="209" spans="14:50" x14ac:dyDescent="0.3">
      <c r="N209" s="8">
        <v>91</v>
      </c>
      <c r="O209" s="35">
        <f t="shared" si="171"/>
        <v>812.83051616409978</v>
      </c>
      <c r="P209" s="34" t="str">
        <f t="shared" si="136"/>
        <v>545.10556621881</v>
      </c>
      <c r="Q209" s="4" t="str">
        <f t="shared" si="137"/>
        <v>1+109.10315496855i</v>
      </c>
      <c r="R209" s="4">
        <f t="shared" si="146"/>
        <v>109.10773769119878</v>
      </c>
      <c r="S209" s="4">
        <f t="shared" si="147"/>
        <v>1.5616309456587816</v>
      </c>
      <c r="T209" s="4" t="str">
        <f t="shared" si="138"/>
        <v>1+0.00255358237819474i</v>
      </c>
      <c r="U209" s="4">
        <f t="shared" si="148"/>
        <v>1.0000032603861662</v>
      </c>
      <c r="V209" s="4">
        <f t="shared" si="149"/>
        <v>2.5535768277643008E-3</v>
      </c>
      <c r="W209" t="str">
        <f t="shared" si="139"/>
        <v>1-0.00265266137446868i</v>
      </c>
      <c r="X209" s="4">
        <f t="shared" si="150"/>
        <v>1.0000035182999947</v>
      </c>
      <c r="Y209" s="4">
        <f t="shared" si="151"/>
        <v>-2.6526551525783374E-3</v>
      </c>
      <c r="Z209" t="str">
        <f t="shared" si="140"/>
        <v>0.999957715619328+0.0114871847435282i</v>
      </c>
      <c r="AA209" s="4">
        <f t="shared" si="152"/>
        <v>1.000023693939277</v>
      </c>
      <c r="AB209" s="4">
        <f t="shared" si="153"/>
        <v>1.1487165203064991E-2</v>
      </c>
      <c r="AC209" s="48" t="str">
        <f t="shared" si="154"/>
        <v>-0.0120944855289744-4.99593117858883i</v>
      </c>
      <c r="AD209" s="20">
        <f t="shared" si="155"/>
        <v>13.972354394638277</v>
      </c>
      <c r="AE209" s="44">
        <f t="shared" si="156"/>
        <v>-90.138705197830021</v>
      </c>
      <c r="AF209" t="str">
        <f t="shared" si="141"/>
        <v>-0.979317078436135</v>
      </c>
      <c r="AG209" t="str">
        <f t="shared" si="157"/>
        <v>5107.16475638947i</v>
      </c>
      <c r="AH209">
        <f t="shared" si="158"/>
        <v>5107.1647563894703</v>
      </c>
      <c r="AI209">
        <f t="shared" si="159"/>
        <v>1.5707963267948966</v>
      </c>
      <c r="AJ209" t="str">
        <f t="shared" si="142"/>
        <v>0.59625972377341+5.00461288808117i</v>
      </c>
      <c r="AK209">
        <f t="shared" si="160"/>
        <v>5.0400075215958262</v>
      </c>
      <c r="AL209">
        <f t="shared" si="161"/>
        <v>1.452213280012487</v>
      </c>
      <c r="AM209" t="str">
        <f t="shared" si="143"/>
        <v>1+710.508760908903i</v>
      </c>
      <c r="AN209">
        <f t="shared" si="162"/>
        <v>710.50946462964509</v>
      </c>
      <c r="AO209">
        <f t="shared" si="163"/>
        <v>1.5693888855433296</v>
      </c>
      <c r="AP209" t="str">
        <f t="shared" si="144"/>
        <v>1+4.80073487100611i</v>
      </c>
      <c r="AQ209">
        <f t="shared" si="164"/>
        <v>4.9037796954690016</v>
      </c>
      <c r="AR209">
        <f t="shared" si="165"/>
        <v>1.3654315017979051</v>
      </c>
      <c r="AS209" s="42" t="str">
        <f t="shared" si="166"/>
        <v>-0.13204503398649+0.0116752315957314i</v>
      </c>
      <c r="AT209">
        <f t="shared" si="167"/>
        <v>-17.551738121534676</v>
      </c>
      <c r="AU209" s="44">
        <f t="shared" si="168"/>
        <v>174.94712992603672</v>
      </c>
      <c r="AV209" s="42" t="str">
        <f t="shared" si="145"/>
        <v>0.0599256702990824+0.659546696351345i</v>
      </c>
      <c r="AW209" s="20">
        <f t="shared" si="169"/>
        <v>-3.5793837268963973</v>
      </c>
      <c r="AX209" s="44">
        <f t="shared" si="170"/>
        <v>84.808424728206703</v>
      </c>
    </row>
    <row r="210" spans="14:50" x14ac:dyDescent="0.3">
      <c r="N210" s="8">
        <v>92</v>
      </c>
      <c r="O210" s="35">
        <f t="shared" si="171"/>
        <v>831.7637711026714</v>
      </c>
      <c r="P210" s="34" t="str">
        <f t="shared" si="136"/>
        <v>545.10556621881</v>
      </c>
      <c r="Q210" s="4" t="str">
        <f t="shared" si="137"/>
        <v>1+111.644493915039i</v>
      </c>
      <c r="R210" s="4">
        <f t="shared" si="146"/>
        <v>111.64897232641769</v>
      </c>
      <c r="S210" s="4">
        <f t="shared" si="147"/>
        <v>1.5618395639166704</v>
      </c>
      <c r="T210" s="4" t="str">
        <f t="shared" si="138"/>
        <v>1+0.00261306295281829i</v>
      </c>
      <c r="U210" s="4">
        <f t="shared" si="148"/>
        <v>1.0000034140431699</v>
      </c>
      <c r="V210" s="4">
        <f t="shared" si="149"/>
        <v>2.6130570054260192E-3</v>
      </c>
      <c r="W210" t="str">
        <f t="shared" si="139"/>
        <v>1-0.00271444979538764i</v>
      </c>
      <c r="X210" s="4">
        <f t="shared" si="150"/>
        <v>1.0000036841120596</v>
      </c>
      <c r="Y210" s="4">
        <f t="shared" si="151"/>
        <v>-2.7144431285133492E-3</v>
      </c>
      <c r="Z210" t="str">
        <f t="shared" si="140"/>
        <v>0.999955722817861+0.0117547556490868i</v>
      </c>
      <c r="AA210" s="4">
        <f t="shared" si="152"/>
        <v>1.0000248106304965</v>
      </c>
      <c r="AB210" s="4">
        <f t="shared" si="153"/>
        <v>1.1754734710923871E-2</v>
      </c>
      <c r="AC210" s="48" t="str">
        <f t="shared" si="154"/>
        <v>-0.0141553112393251-4.88220902375015i</v>
      </c>
      <c r="AD210" s="20">
        <f t="shared" si="155"/>
        <v>13.772363889710714</v>
      </c>
      <c r="AE210" s="44">
        <f t="shared" si="156"/>
        <v>-90.166120974164158</v>
      </c>
      <c r="AF210" t="str">
        <f t="shared" si="141"/>
        <v>-0.979317078436135</v>
      </c>
      <c r="AG210" t="str">
        <f t="shared" si="157"/>
        <v>5226.12590563659i</v>
      </c>
      <c r="AH210">
        <f t="shared" si="158"/>
        <v>5226.1259056365898</v>
      </c>
      <c r="AI210">
        <f t="shared" si="159"/>
        <v>1.5707963267948966</v>
      </c>
      <c r="AJ210" t="str">
        <f t="shared" si="142"/>
        <v>0.577232030765181+5.12118529745141i</v>
      </c>
      <c r="AK210">
        <f t="shared" si="160"/>
        <v>5.1536138454655083</v>
      </c>
      <c r="AL210">
        <f t="shared" si="161"/>
        <v>1.4585555135133463</v>
      </c>
      <c r="AM210" t="str">
        <f t="shared" si="143"/>
        <v>1+727.058635992162i</v>
      </c>
      <c r="AN210">
        <f t="shared" si="162"/>
        <v>727.05932369427944</v>
      </c>
      <c r="AO210">
        <f t="shared" si="163"/>
        <v>1.5694209227766822</v>
      </c>
      <c r="AP210" t="str">
        <f t="shared" si="144"/>
        <v>1+4.91255835129841i</v>
      </c>
      <c r="AQ210">
        <f t="shared" si="164"/>
        <v>5.0133052525167212</v>
      </c>
      <c r="AR210">
        <f t="shared" si="165"/>
        <v>1.3699801191344161</v>
      </c>
      <c r="AS210" s="42" t="str">
        <f t="shared" si="166"/>
        <v>-0.131997661824322+0.0119054219039874i</v>
      </c>
      <c r="AT210">
        <f t="shared" si="167"/>
        <v>-17.553488344327835</v>
      </c>
      <c r="AU210" s="44">
        <f t="shared" si="168"/>
        <v>174.84619888801146</v>
      </c>
      <c r="AV210" s="42" t="str">
        <f t="shared" si="145"/>
        <v>0.0599932262371864+0.644271650720139i</v>
      </c>
      <c r="AW210" s="20">
        <f t="shared" si="169"/>
        <v>-3.7811244546171192</v>
      </c>
      <c r="AX210" s="44">
        <f t="shared" si="170"/>
        <v>84.680077913847313</v>
      </c>
    </row>
    <row r="211" spans="14:50" x14ac:dyDescent="0.3">
      <c r="N211" s="8">
        <v>93</v>
      </c>
      <c r="O211" s="35">
        <f t="shared" si="171"/>
        <v>851.13803820237763</v>
      </c>
      <c r="P211" s="34" t="str">
        <f t="shared" ref="P211:P274" si="172">COMPLEX(Adc,0)</f>
        <v>545.10556621881</v>
      </c>
      <c r="Q211" s="4" t="str">
        <f t="shared" ref="Q211:Q274" si="173">IMSUM(COMPLEX(1,0),IMDIV(COMPLEX(0,2*PI()*O211),COMPLEX(wp_lf,0)))</f>
        <v>1+114.245028249991i</v>
      </c>
      <c r="R211" s="4">
        <f t="shared" si="146"/>
        <v>114.24940472423145</v>
      </c>
      <c r="S211" s="4">
        <f t="shared" si="147"/>
        <v>1.5620434341966138</v>
      </c>
      <c r="T211" s="4" t="str">
        <f t="shared" ref="T211:T274" si="174">IMSUM(COMPLEX(1,0),IMDIV(COMPLEX(0,2*PI()*O211),COMPLEX(wz_esr,0)))</f>
        <v>1+0.00267392900800742i</v>
      </c>
      <c r="U211" s="4">
        <f t="shared" si="148"/>
        <v>1.0000035749417799</v>
      </c>
      <c r="V211" s="4">
        <f t="shared" si="149"/>
        <v>2.6739226352630163E-3</v>
      </c>
      <c r="W211" t="str">
        <f t="shared" ref="W211:W274" si="175">IMSUB(COMPLEX(1,0),IMDIV(COMPLEX(0,2*PI()*O211),COMPLEX(wz_rhp,0)))</f>
        <v>1-0.0027776774535181i</v>
      </c>
      <c r="X211" s="4">
        <f t="shared" si="150"/>
        <v>1.0000038577385768</v>
      </c>
      <c r="Y211" s="4">
        <f t="shared" si="151"/>
        <v>-2.7776703098350798E-3</v>
      </c>
      <c r="Z211" t="str">
        <f t="shared" ref="Z211:Z274" si="176">IMSUM(COMPLEX(1,0),IMDIV(COMPLEX(0,2*PI()*O211),COMPLEX(Q*(wsl/2),0)),IMDIV(IMPOWER(COMPLEX(0,2*PI()*O211),2),IMPOWER(COMPLEX(wsl/2,0),2)))</f>
        <v>0.999953636098555+0.0120285590816831i</v>
      </c>
      <c r="AA211" s="4">
        <f t="shared" si="152"/>
        <v>1.0000259799526725</v>
      </c>
      <c r="AB211" s="4">
        <f t="shared" si="153"/>
        <v>1.2028536645836049E-2</v>
      </c>
      <c r="AC211" s="48" t="str">
        <f t="shared" si="154"/>
        <v>-0.0161233887469728-4.77107381883189i</v>
      </c>
      <c r="AD211" s="20">
        <f t="shared" si="155"/>
        <v>13.572372319495399</v>
      </c>
      <c r="AE211" s="44">
        <f t="shared" si="156"/>
        <v>-90.193624882999217</v>
      </c>
      <c r="AF211" t="str">
        <f t="shared" ref="AF211:AF274" si="177">COMPLEX(Adc_ea_iso,0)</f>
        <v>-0.979317078436135</v>
      </c>
      <c r="AG211" t="str">
        <f t="shared" si="157"/>
        <v>5347.85801601484i</v>
      </c>
      <c r="AH211">
        <f t="shared" si="158"/>
        <v>5347.8580160148404</v>
      </c>
      <c r="AI211">
        <f t="shared" si="159"/>
        <v>1.5707963267948966</v>
      </c>
      <c r="AJ211" t="str">
        <f t="shared" ref="AJ211:AJ274" si="178">IMSUM(IMPRODUCT(COMPLEX(wpA_ea_iso,0),IMPOWER(COMPLEX(0,2*PI()*O211),2)),COMPLEX(0,wpB_ea_iso*2*PI()*O211),COMPLEX(1,0))</f>
        <v>0.557307590212716+5.24047302705326i</v>
      </c>
      <c r="AK211">
        <f t="shared" si="160"/>
        <v>5.2700236524499067</v>
      </c>
      <c r="AL211">
        <f t="shared" si="161"/>
        <v>1.4648477327430161</v>
      </c>
      <c r="AM211" t="str">
        <f t="shared" ref="AM211:AM274" si="179">IMSUM(COMPLEX(1,0),IMDIV(COMPLEX(0,2*PI()*O211),COMPLEX(wz1_ea_iso,0)))</f>
        <v>1+743.994007187985i</v>
      </c>
      <c r="AN211">
        <f t="shared" si="162"/>
        <v>743.99467923610541</v>
      </c>
      <c r="AO211">
        <f t="shared" si="163"/>
        <v>1.5694522307562988</v>
      </c>
      <c r="AP211" t="str">
        <f t="shared" ref="AP211:AP274" si="180">IMSUM(COMPLEX(1,0),IMDIV(COMPLEX(0,2*PI()*O211),COMPLEX(wz2_ea_iso,0)))</f>
        <v>1+5.02698653505396i</v>
      </c>
      <c r="AQ211">
        <f t="shared" si="164"/>
        <v>5.1254847208448311</v>
      </c>
      <c r="AR211">
        <f t="shared" si="165"/>
        <v>1.3744333514095706</v>
      </c>
      <c r="AS211" s="42" t="str">
        <f t="shared" si="166"/>
        <v>-0.131948604120735+0.012141497739391i</v>
      </c>
      <c r="AT211">
        <f t="shared" si="167"/>
        <v>-17.55528663160699</v>
      </c>
      <c r="AU211" s="44">
        <f t="shared" si="168"/>
        <v>174.74262651203532</v>
      </c>
      <c r="AV211" s="42" t="str">
        <f t="shared" ref="AV211:AV274" si="181">IMPRODUCT(AC211,AS211)</f>
        <v>0.060055440624674+0.62934076846383i</v>
      </c>
      <c r="AW211" s="20">
        <f t="shared" si="169"/>
        <v>-3.9829143121115851</v>
      </c>
      <c r="AX211" s="44">
        <f t="shared" si="170"/>
        <v>84.54900162903607</v>
      </c>
    </row>
    <row r="212" spans="14:50" x14ac:dyDescent="0.3">
      <c r="N212" s="8">
        <v>94</v>
      </c>
      <c r="O212" s="35">
        <f t="shared" si="171"/>
        <v>870.96358995608091</v>
      </c>
      <c r="P212" s="34" t="str">
        <f t="shared" si="172"/>
        <v>545.10556621881</v>
      </c>
      <c r="Q212" s="4" t="str">
        <f t="shared" si="173"/>
        <v>1+116.906136811132i</v>
      </c>
      <c r="R212" s="4">
        <f t="shared" ref="R212:R275" si="182">IMABS(Q212)</f>
        <v>116.91041366834314</v>
      </c>
      <c r="S212" s="4">
        <f t="shared" ref="S212:S275" si="183">IMARGUMENT(Q212)</f>
        <v>1.5622426645255056</v>
      </c>
      <c r="T212" s="4" t="str">
        <f t="shared" si="174"/>
        <v>1+0.00273621281575022i</v>
      </c>
      <c r="U212" s="4">
        <f t="shared" ref="U212:U275" si="184">IMABS(T212)</f>
        <v>1.00000374342328</v>
      </c>
      <c r="V212" s="4">
        <f t="shared" ref="V212:V275" si="185">IMARGUMENT(T212)</f>
        <v>2.7362059872329445E-3</v>
      </c>
      <c r="W212" t="str">
        <f t="shared" si="175"/>
        <v>1-0.00284237787300132i</v>
      </c>
      <c r="X212" s="4">
        <f t="shared" ref="X212:X275" si="186">IMABS(W212)</f>
        <v>1.0000040395478276</v>
      </c>
      <c r="Y212" s="4">
        <f t="shared" ref="Y212:Y275" si="187">IMARGUMENT(W212)</f>
        <v>-2.8423702184087237E-3</v>
      </c>
      <c r="Z212" t="str">
        <f t="shared" si="176"/>
        <v>0.999951451035198+0.0123087402155214i</v>
      </c>
      <c r="AA212" s="4">
        <f t="shared" ref="AA212:AA275" si="188">IMABS(Z212)</f>
        <v>1.0000272043865062</v>
      </c>
      <c r="AB212" s="4">
        <f t="shared" ref="AB212:AB275" si="189">IMARGUMENT(Z212)</f>
        <v>1.2308716174852338E-2</v>
      </c>
      <c r="AC212" s="48" t="str">
        <f t="shared" ref="AC212:AC275" si="190">(IMDIV(IMPRODUCT(P212,T212,W212),IMPRODUCT(Q212,Z212)))</f>
        <v>-0.0180028906427118-4.66246674939306i</v>
      </c>
      <c r="AD212" s="20">
        <f t="shared" ref="AD212:AD275" si="191">20*LOG(IMABS(AC212))</f>
        <v>13.372379701863128</v>
      </c>
      <c r="AE212" s="44">
        <f t="shared" ref="AE212:AE275" si="192">(180/PI())*IMARGUMENT(AC212)</f>
        <v>-90.221231503008667</v>
      </c>
      <c r="AF212" t="str">
        <f t="shared" si="177"/>
        <v>-0.979317078436135</v>
      </c>
      <c r="AG212" t="str">
        <f t="shared" ref="AG212:AG275" si="193">COMPLEX(0,1*2*PI()*O212)</f>
        <v>5472.42563150043i</v>
      </c>
      <c r="AH212">
        <f t="shared" ref="AH212:AH275" si="194">IMABS(AG212)</f>
        <v>5472.4256315004304</v>
      </c>
      <c r="AI212">
        <f t="shared" ref="AI212:AI275" si="195">IMARGUMENT(AG212)</f>
        <v>1.5707963267948966</v>
      </c>
      <c r="AJ212" t="str">
        <f t="shared" si="178"/>
        <v>0.536444139706289+5.36253932481991i</v>
      </c>
      <c r="AK212">
        <f t="shared" ref="AK212:AK275" si="196">IMABS(AJ212)</f>
        <v>5.3893042524304748</v>
      </c>
      <c r="AL212">
        <f t="shared" ref="AL212:AL275" si="197">IMARGUMENT(AJ212)</f>
        <v>1.4710925559928734</v>
      </c>
      <c r="AM212" t="str">
        <f t="shared" si="179"/>
        <v>1+761.32385385434i</v>
      </c>
      <c r="AN212">
        <f t="shared" ref="AN212:AN275" si="198">IMABS(AM212)</f>
        <v>761.32451060479093</v>
      </c>
      <c r="AO212">
        <f t="shared" ref="AO212:AO275" si="199">IMARGUMENT(AM212)</f>
        <v>1.5694828260818392</v>
      </c>
      <c r="AP212" t="str">
        <f t="shared" si="180"/>
        <v>1+5.14408009361042i</v>
      </c>
      <c r="AQ212">
        <f t="shared" ref="AQ212:AQ275" si="200">IMABS(AP212)</f>
        <v>5.2403778498767615</v>
      </c>
      <c r="AR212">
        <f t="shared" ref="AR212:AR275" si="201">IMARGUMENT(AP212)</f>
        <v>1.3787928529440023</v>
      </c>
      <c r="AS212" s="42" t="str">
        <f t="shared" ref="AS212:AS275" si="202">IMDIV(IMPRODUCT(AF212,AM212,AP212),IMPRODUCT(AG212,AJ212))</f>
        <v>-0.131897763298899+0.0123835675267395i</v>
      </c>
      <c r="AT212">
        <f t="shared" ref="AT212:AT275" si="203">20*LOG(IMABS(AS212))</f>
        <v>-17.557136562190284</v>
      </c>
      <c r="AU212" s="44">
        <f t="shared" ref="AU212:AU275" si="204">(180/PI())*IMARGUMENT(AS212)</f>
        <v>174.6363585177433</v>
      </c>
      <c r="AV212" s="42" t="str">
        <f t="shared" si="181"/>
        <v>0.0601125128409749+0.614745995688482i</v>
      </c>
      <c r="AW212" s="20">
        <f t="shared" ref="AW212:AW275" si="205">20*LOG(IMABS(AV212))</f>
        <v>-4.1847568603271572</v>
      </c>
      <c r="AX212" s="44">
        <f t="shared" ref="AX212:AX275" si="206">(180/PI())*IMARGUMENT(AV212)</f>
        <v>84.415127014734622</v>
      </c>
    </row>
    <row r="213" spans="14:50" x14ac:dyDescent="0.3">
      <c r="N213" s="8">
        <v>95</v>
      </c>
      <c r="O213" s="35">
        <f t="shared" si="171"/>
        <v>891.25093813374656</v>
      </c>
      <c r="P213" s="34" t="str">
        <f t="shared" si="172"/>
        <v>545.10556621881</v>
      </c>
      <c r="Q213" s="4" t="str">
        <f t="shared" si="173"/>
        <v>1+119.629230553447i</v>
      </c>
      <c r="R213" s="4">
        <f t="shared" si="182"/>
        <v>119.63341006094316</v>
      </c>
      <c r="S213" s="4">
        <f t="shared" si="183"/>
        <v>1.5624373604746034</v>
      </c>
      <c r="T213" s="4" t="str">
        <f t="shared" si="174"/>
        <v>1+0.00279994739974599i</v>
      </c>
      <c r="U213" s="4">
        <f t="shared" si="184"/>
        <v>1.0000039198450381</v>
      </c>
      <c r="V213" s="4">
        <f t="shared" si="185"/>
        <v>2.7999400828594523E-3</v>
      </c>
      <c r="W213" t="str">
        <f t="shared" si="175"/>
        <v>1-0.00290858535885613i</v>
      </c>
      <c r="X213" s="4">
        <f t="shared" si="186"/>
        <v>1.0000042299254488</v>
      </c>
      <c r="Y213" s="4">
        <f t="shared" si="187"/>
        <v>-2.9085771568142633E-3</v>
      </c>
      <c r="Z213" t="str">
        <f t="shared" si="176"/>
        <v>0.999949162992978+0.0125954476063473i</v>
      </c>
      <c r="AA213" s="4">
        <f t="shared" si="188"/>
        <v>1.0000284865296396</v>
      </c>
      <c r="AB213" s="4">
        <f t="shared" si="189"/>
        <v>1.2595421846052916E-2</v>
      </c>
      <c r="AC213" s="48" t="str">
        <f t="shared" si="190"/>
        <v>-0.0197978018095019-4.55633033404256i</v>
      </c>
      <c r="AD213" s="20">
        <f t="shared" si="191"/>
        <v>13.172386052463263</v>
      </c>
      <c r="AE213" s="44">
        <f t="shared" si="192"/>
        <v>-90.248955467557167</v>
      </c>
      <c r="AF213" t="str">
        <f t="shared" si="177"/>
        <v>-0.979317078436135</v>
      </c>
      <c r="AG213" t="str">
        <f t="shared" si="193"/>
        <v>5599.89479949198i</v>
      </c>
      <c r="AH213">
        <f t="shared" si="194"/>
        <v>5599.8947994919799</v>
      </c>
      <c r="AI213">
        <f t="shared" si="195"/>
        <v>1.5707963267948966</v>
      </c>
      <c r="AJ213" t="str">
        <f t="shared" si="178"/>
        <v>0.51459742507016+5.48744891191818i</v>
      </c>
      <c r="AK213">
        <f t="shared" si="196"/>
        <v>5.5115248408041184</v>
      </c>
      <c r="AL213">
        <f t="shared" si="197"/>
        <v>1.4772926132191009</v>
      </c>
      <c r="AM213" t="str">
        <f t="shared" si="179"/>
        <v>1+779.057364505324i</v>
      </c>
      <c r="AN213">
        <f t="shared" si="198"/>
        <v>779.058006306322</v>
      </c>
      <c r="AO213">
        <f t="shared" si="199"/>
        <v>1.5695127249751208</v>
      </c>
      <c r="AP213" t="str">
        <f t="shared" si="180"/>
        <v>1+5.26390111152247i</v>
      </c>
      <c r="AQ213">
        <f t="shared" si="200"/>
        <v>5.3580458109172131</v>
      </c>
      <c r="AR213">
        <f t="shared" si="201"/>
        <v>1.3830602720579142</v>
      </c>
      <c r="AS213" s="42" t="str">
        <f t="shared" si="202"/>
        <v>-0.131845038164821+0.0126317409000973i</v>
      </c>
      <c r="AT213">
        <f t="shared" si="203"/>
        <v>-17.559041832182057</v>
      </c>
      <c r="AU213" s="44">
        <f t="shared" si="204"/>
        <v>174.52733959097867</v>
      </c>
      <c r="AV213" s="42" t="str">
        <f t="shared" si="181"/>
        <v>0.0601646261700327+0.600479466080524i</v>
      </c>
      <c r="AW213" s="20">
        <f t="shared" si="205"/>
        <v>-4.3866557797187919</v>
      </c>
      <c r="AX213" s="44">
        <f t="shared" si="206"/>
        <v>84.278384123421489</v>
      </c>
    </row>
    <row r="214" spans="14:50" x14ac:dyDescent="0.3">
      <c r="N214" s="8">
        <v>96</v>
      </c>
      <c r="O214" s="35">
        <f t="shared" si="171"/>
        <v>912.01083935590987</v>
      </c>
      <c r="P214" s="34" t="str">
        <f t="shared" si="172"/>
        <v>545.10556621881</v>
      </c>
      <c r="Q214" s="4" t="str">
        <f t="shared" si="173"/>
        <v>1+122.41575329728i</v>
      </c>
      <c r="R214" s="4">
        <f t="shared" si="182"/>
        <v>122.4198376707816</v>
      </c>
      <c r="S214" s="4">
        <f t="shared" si="183"/>
        <v>1.5626276252152003</v>
      </c>
      <c r="T214" s="4" t="str">
        <f t="shared" si="174"/>
        <v>1+0.00286516655291478i</v>
      </c>
      <c r="U214" s="4">
        <f t="shared" si="184"/>
        <v>1.0000041045812642</v>
      </c>
      <c r="V214" s="4">
        <f t="shared" si="185"/>
        <v>2.8651587127313388E-3</v>
      </c>
      <c r="W214" t="str">
        <f t="shared" si="175"/>
        <v>1-0.00297633501516787i</v>
      </c>
      <c r="X214" s="4">
        <f t="shared" si="186"/>
        <v>1.0000044292752521</v>
      </c>
      <c r="Y214" s="4">
        <f t="shared" si="187"/>
        <v>-2.9763262265237694E-3</v>
      </c>
      <c r="Z214" t="str">
        <f t="shared" si="176"/>
        <v>0.999946767118649+0.0128888332702146i</v>
      </c>
      <c r="AA214" s="4">
        <f t="shared" si="188"/>
        <v>1.0000298291021648</v>
      </c>
      <c r="AB214" s="4">
        <f t="shared" si="189"/>
        <v>1.2888805667277585E-2</v>
      </c>
      <c r="AC214" s="48" t="str">
        <f t="shared" si="190"/>
        <v>-0.0215119278597316-4.45260839445605i</v>
      </c>
      <c r="AD214" s="20">
        <f t="shared" si="191"/>
        <v>12.972391384757682</v>
      </c>
      <c r="AE214" s="44">
        <f t="shared" si="192"/>
        <v>-90.276811472440102</v>
      </c>
      <c r="AF214" t="str">
        <f t="shared" si="177"/>
        <v>-0.979317078436135</v>
      </c>
      <c r="AG214" t="str">
        <f t="shared" si="193"/>
        <v>5730.33310582957i</v>
      </c>
      <c r="AH214">
        <f t="shared" si="194"/>
        <v>5730.3331058295698</v>
      </c>
      <c r="AI214">
        <f t="shared" si="195"/>
        <v>1.5707963267948966</v>
      </c>
      <c r="AJ214" t="str">
        <f t="shared" si="178"/>
        <v>0.49172110649355+5.61526801706452i</v>
      </c>
      <c r="AK214">
        <f t="shared" si="196"/>
        <v>5.6367565629570118</v>
      </c>
      <c r="AL214">
        <f t="shared" si="197"/>
        <v>1.4834505447373096</v>
      </c>
      <c r="AM214" t="str">
        <f t="shared" si="179"/>
        <v>1+797.20394168301i</v>
      </c>
      <c r="AN214">
        <f t="shared" si="198"/>
        <v>797.20456887484534</v>
      </c>
      <c r="AO214">
        <f t="shared" si="199"/>
        <v>1.5695419432887185</v>
      </c>
      <c r="AP214" t="str">
        <f t="shared" si="180"/>
        <v>1+5.38651311947981i</v>
      </c>
      <c r="AQ214">
        <f t="shared" si="200"/>
        <v>5.4785512306017647</v>
      </c>
      <c r="AR214">
        <f t="shared" si="201"/>
        <v>1.3872372493857126</v>
      </c>
      <c r="AS214" s="42" t="str">
        <f t="shared" si="202"/>
        <v>-0.131790323744343+0.0128861286708235i</v>
      </c>
      <c r="AT214">
        <f t="shared" si="203"/>
        <v>-17.561006261127726</v>
      </c>
      <c r="AU214" s="44">
        <f t="shared" si="204"/>
        <v>174.41551336251305</v>
      </c>
      <c r="AV214" s="42" t="str">
        <f t="shared" si="181"/>
        <v>0.0602119486287485+0.586533496341784i</v>
      </c>
      <c r="AW214" s="20">
        <f t="shared" si="205"/>
        <v>-4.5886148763700465</v>
      </c>
      <c r="AX214" s="44">
        <f t="shared" si="206"/>
        <v>84.138701890072909</v>
      </c>
    </row>
    <row r="215" spans="14:50" x14ac:dyDescent="0.3">
      <c r="N215" s="8">
        <v>97</v>
      </c>
      <c r="O215" s="35">
        <f t="shared" si="171"/>
        <v>933.25430079699106</v>
      </c>
      <c r="P215" s="34" t="str">
        <f t="shared" si="172"/>
        <v>545.10556621881</v>
      </c>
      <c r="Q215" s="4" t="str">
        <f t="shared" si="173"/>
        <v>1+125.267182493877i</v>
      </c>
      <c r="R215" s="4">
        <f t="shared" si="182"/>
        <v>125.27117389868384</v>
      </c>
      <c r="S215" s="4">
        <f t="shared" si="183"/>
        <v>1.562813559573047</v>
      </c>
      <c r="T215" s="4" t="str">
        <f t="shared" si="174"/>
        <v>1+0.00293190485531491i</v>
      </c>
      <c r="U215" s="4">
        <f t="shared" si="184"/>
        <v>1.0000042980238038</v>
      </c>
      <c r="V215" s="4">
        <f t="shared" si="185"/>
        <v>2.931896454408946E-3</v>
      </c>
      <c r="W215" t="str">
        <f t="shared" si="175"/>
        <v>1-0.00304566276370111i</v>
      </c>
      <c r="X215" s="4">
        <f t="shared" si="186"/>
        <v>1.0000046380200796</v>
      </c>
      <c r="Y215" s="4">
        <f t="shared" si="187"/>
        <v>-3.0456533465016483E-3</v>
      </c>
      <c r="Z215" t="str">
        <f t="shared" si="176"/>
        <v>0.999944258330243+0.0131890527640856i</v>
      </c>
      <c r="AA215" s="4">
        <f t="shared" si="188"/>
        <v>1.0000312349524056</v>
      </c>
      <c r="AB215" s="4">
        <f t="shared" si="189"/>
        <v>1.3189023186686731E-2</v>
      </c>
      <c r="AC215" s="48" t="str">
        <f t="shared" si="190"/>
        <v>-0.0231489031935547-4.3512460260495i</v>
      </c>
      <c r="AD215" s="20">
        <f t="shared" si="191"/>
        <v>12.772395710047705</v>
      </c>
      <c r="AE215" s="44">
        <f t="shared" si="192"/>
        <v>-90.304814283657407</v>
      </c>
      <c r="AF215" t="str">
        <f t="shared" si="177"/>
        <v>-0.979317078436135</v>
      </c>
      <c r="AG215" t="str">
        <f t="shared" si="193"/>
        <v>5863.80971062981i</v>
      </c>
      <c r="AH215">
        <f t="shared" si="194"/>
        <v>5863.8097106298101</v>
      </c>
      <c r="AI215">
        <f t="shared" si="195"/>
        <v>1.5707963267948966</v>
      </c>
      <c r="AJ215" t="str">
        <f t="shared" si="178"/>
        <v>0.467766660237673+5.74606441164037i</v>
      </c>
      <c r="AK215">
        <f t="shared" si="196"/>
        <v>5.765072581602932</v>
      </c>
      <c r="AL215">
        <f t="shared" si="197"/>
        <v>1.489569000032013</v>
      </c>
      <c r="AM215" t="str">
        <f t="shared" si="179"/>
        <v>1+815.773206942819i</v>
      </c>
      <c r="AN215">
        <f t="shared" si="198"/>
        <v>815.77381985803606</v>
      </c>
      <c r="AO215">
        <f t="shared" si="199"/>
        <v>1.5695704965143693</v>
      </c>
      <c r="AP215" t="str">
        <f t="shared" si="180"/>
        <v>1+5.51198112799204i</v>
      </c>
      <c r="AQ215">
        <f t="shared" si="200"/>
        <v>5.6019582250620541</v>
      </c>
      <c r="AR215">
        <f t="shared" si="201"/>
        <v>1.3913254163215754</v>
      </c>
      <c r="AS215" s="42" t="str">
        <f t="shared" si="202"/>
        <v>-0.131733511114187+0.0131468427881639i</v>
      </c>
      <c r="AT215">
        <f t="shared" si="203"/>
        <v>-17.563033798455074</v>
      </c>
      <c r="AU215" s="44">
        <f t="shared" si="204"/>
        <v>174.30082238767818</v>
      </c>
      <c r="AV215" s="42" t="str">
        <f t="shared" si="181"/>
        <v>0.0602546337332251+0.57290058174215i</v>
      </c>
      <c r="AW215" s="20">
        <f t="shared" si="205"/>
        <v>-4.7906380884073636</v>
      </c>
      <c r="AX215" s="44">
        <f t="shared" si="206"/>
        <v>83.99600810402076</v>
      </c>
    </row>
    <row r="216" spans="14:50" x14ac:dyDescent="0.3">
      <c r="N216" s="8">
        <v>98</v>
      </c>
      <c r="O216" s="35">
        <f t="shared" si="171"/>
        <v>954.99258602143675</v>
      </c>
      <c r="P216" s="34" t="str">
        <f t="shared" si="172"/>
        <v>545.10556621881</v>
      </c>
      <c r="Q216" s="4" t="str">
        <f t="shared" si="173"/>
        <v>1+128.185030008739i</v>
      </c>
      <c r="R216" s="4">
        <f t="shared" si="182"/>
        <v>128.18893056087691</v>
      </c>
      <c r="S216" s="4">
        <f t="shared" si="183"/>
        <v>1.5629952620815473</v>
      </c>
      <c r="T216" s="4" t="str">
        <f t="shared" si="174"/>
        <v>1+0.00300019769247767i</v>
      </c>
      <c r="U216" s="4">
        <f t="shared" si="184"/>
        <v>1.0000045005829694</v>
      </c>
      <c r="V216" s="4">
        <f t="shared" si="185"/>
        <v>3.0001886907469362E-3</v>
      </c>
      <c r="W216" t="str">
        <f t="shared" si="175"/>
        <v>1-0.00311660536294579i</v>
      </c>
      <c r="X216" s="4">
        <f t="shared" si="186"/>
        <v>1.0000048566027009</v>
      </c>
      <c r="Y216" s="4">
        <f t="shared" si="187"/>
        <v>-3.1165952722374125E-3</v>
      </c>
      <c r="Z216" t="str">
        <f t="shared" si="176"/>
        <v>0.999941631306281+0.01349626526831i</v>
      </c>
      <c r="AA216" s="4">
        <f t="shared" si="188"/>
        <v>1.0000327070629536</v>
      </c>
      <c r="AB216" s="4">
        <f t="shared" si="189"/>
        <v>1.3496233575198233E-2</v>
      </c>
      <c r="AC216" s="48" t="str">
        <f t="shared" si="190"/>
        <v>-0.0247121986952919-4.25218956929913i</v>
      </c>
      <c r="AD216" s="20">
        <f t="shared" si="191"/>
        <v>12.572399037499778</v>
      </c>
      <c r="AE216" s="44">
        <f t="shared" si="192"/>
        <v>-90.332978745225205</v>
      </c>
      <c r="AF216" t="str">
        <f t="shared" si="177"/>
        <v>-0.979317078436135</v>
      </c>
      <c r="AG216" t="str">
        <f t="shared" si="193"/>
        <v>6000.39538495533i</v>
      </c>
      <c r="AH216">
        <f t="shared" si="194"/>
        <v>6000.39538495533</v>
      </c>
      <c r="AI216">
        <f t="shared" si="195"/>
        <v>1.5707963267948966</v>
      </c>
      <c r="AJ216" t="str">
        <f t="shared" si="178"/>
        <v>0.442683275710393+5.87990744562543i</v>
      </c>
      <c r="AK216">
        <f t="shared" si="196"/>
        <v>5.8965481471548289</v>
      </c>
      <c r="AL216">
        <f t="shared" si="197"/>
        <v>1.4956506366735314</v>
      </c>
      <c r="AM216" t="str">
        <f t="shared" si="179"/>
        <v>1+834.775005954986i</v>
      </c>
      <c r="AN216">
        <f t="shared" si="198"/>
        <v>834.77560491855945</v>
      </c>
      <c r="AO216">
        <f t="shared" si="199"/>
        <v>1.5695983997911851</v>
      </c>
      <c r="AP216" t="str">
        <f t="shared" si="180"/>
        <v>1+5.64037166185802i</v>
      </c>
      <c r="AQ216">
        <f t="shared" si="200"/>
        <v>5.7283324348269975</v>
      </c>
      <c r="AR216">
        <f t="shared" si="201"/>
        <v>1.3953263935895799</v>
      </c>
      <c r="AS216" s="42" t="str">
        <f t="shared" si="202"/>
        <v>-0.131674487227044+0.013413996291947i</v>
      </c>
      <c r="AT216">
        <f t="shared" si="203"/>
        <v>-17.56512853020676</v>
      </c>
      <c r="AU216" s="44">
        <f t="shared" si="204"/>
        <v>174.1832081269676</v>
      </c>
      <c r="AV216" s="42" t="str">
        <f t="shared" si="181"/>
        <v>0.0602928212066896+0.559573391787983i</v>
      </c>
      <c r="AW216" s="20">
        <f t="shared" si="205"/>
        <v>-4.9927294927069896</v>
      </c>
      <c r="AX216" s="44">
        <f t="shared" si="206"/>
        <v>83.850229381742409</v>
      </c>
    </row>
    <row r="217" spans="14:50" x14ac:dyDescent="0.3">
      <c r="N217" s="8">
        <v>99</v>
      </c>
      <c r="O217" s="35">
        <f t="shared" si="171"/>
        <v>977.23722095581138</v>
      </c>
      <c r="P217" s="34" t="str">
        <f t="shared" si="172"/>
        <v>545.10556621881</v>
      </c>
      <c r="Q217" s="4" t="str">
        <f t="shared" si="173"/>
        <v>1+131.17084292324i</v>
      </c>
      <c r="R217" s="4">
        <f t="shared" si="182"/>
        <v>131.17465469058152</v>
      </c>
      <c r="S217" s="4">
        <f t="shared" si="183"/>
        <v>1.5631728290337561</v>
      </c>
      <c r="T217" s="4" t="str">
        <f t="shared" si="174"/>
        <v>1+0.00307008127416928i</v>
      </c>
      <c r="U217" s="4">
        <f t="shared" si="184"/>
        <v>1.0000047126884102</v>
      </c>
      <c r="V217" s="4">
        <f t="shared" si="185"/>
        <v>3.070071628643473E-3</v>
      </c>
      <c r="W217" t="str">
        <f t="shared" si="175"/>
        <v>1-0.00318920042760704i</v>
      </c>
      <c r="X217" s="4">
        <f t="shared" si="186"/>
        <v>1.0000050854867526</v>
      </c>
      <c r="Y217" s="4">
        <f t="shared" si="187"/>
        <v>-3.1891896152211798E-3</v>
      </c>
      <c r="Z217" t="str">
        <f t="shared" si="176"/>
        <v>0.999938880474495+0.0138106336710237i</v>
      </c>
      <c r="AA217" s="4">
        <f t="shared" si="188"/>
        <v>1.0000342485570088</v>
      </c>
      <c r="AB217" s="4">
        <f t="shared" si="189"/>
        <v>1.3810599710841037E-2</v>
      </c>
      <c r="AC217" s="48" t="str">
        <f t="shared" si="190"/>
        <v>-0.0262051290840966-4.1553865816912i</v>
      </c>
      <c r="AD217" s="20">
        <f t="shared" si="191"/>
        <v>12.372401374163575</v>
      </c>
      <c r="AE217" s="44">
        <f t="shared" si="192"/>
        <v>-90.361319787029998</v>
      </c>
      <c r="AF217" t="str">
        <f t="shared" si="177"/>
        <v>-0.979317078436135</v>
      </c>
      <c r="AG217" t="str">
        <f t="shared" si="193"/>
        <v>6140.16254833857i</v>
      </c>
      <c r="AH217">
        <f t="shared" si="194"/>
        <v>6140.1625483385696</v>
      </c>
      <c r="AI217">
        <f t="shared" si="195"/>
        <v>1.5707963267948966</v>
      </c>
      <c r="AJ217" t="str">
        <f t="shared" si="178"/>
        <v>0.416417747690139+6.01686808436793i</v>
      </c>
      <c r="AK217">
        <f t="shared" si="196"/>
        <v>6.0312606713088375</v>
      </c>
      <c r="AL217">
        <f t="shared" si="197"/>
        <v>1.5016981193349808</v>
      </c>
      <c r="AM217" t="str">
        <f t="shared" si="179"/>
        <v>1+854.219413724862i</v>
      </c>
      <c r="AN217">
        <f t="shared" si="198"/>
        <v>854.2199990543694</v>
      </c>
      <c r="AO217">
        <f t="shared" si="199"/>
        <v>1.5696256679136786</v>
      </c>
      <c r="AP217" t="str">
        <f t="shared" si="180"/>
        <v>1+5.77175279543827i</v>
      </c>
      <c r="AQ217">
        <f t="shared" si="200"/>
        <v>5.8577410604813771</v>
      </c>
      <c r="AR217">
        <f t="shared" si="201"/>
        <v>1.399241789932155</v>
      </c>
      <c r="AS217" s="42" t="str">
        <f t="shared" si="202"/>
        <v>-0.131613134730752+0.013687703256901i</v>
      </c>
      <c r="AT217">
        <f t="shared" si="203"/>
        <v>-17.567294686066639</v>
      </c>
      <c r="AU217" s="44">
        <f t="shared" si="204"/>
        <v>174.06261092767269</v>
      </c>
      <c r="AV217" s="42" t="str">
        <f t="shared" si="181"/>
        <v>0.0603266376326793+0.546544766003771i</v>
      </c>
      <c r="AW217" s="20">
        <f t="shared" si="205"/>
        <v>-5.1948933119030629</v>
      </c>
      <c r="AX217" s="44">
        <f t="shared" si="206"/>
        <v>83.701291140642695</v>
      </c>
    </row>
    <row r="218" spans="14:50" x14ac:dyDescent="0.3">
      <c r="N218" s="8">
        <v>100</v>
      </c>
      <c r="O218" s="35">
        <f t="shared" si="171"/>
        <v>1000</v>
      </c>
      <c r="P218" s="34" t="str">
        <f t="shared" si="172"/>
        <v>545.10556621881</v>
      </c>
      <c r="Q218" s="4" t="str">
        <f t="shared" si="173"/>
        <v>1+134.226204354911i</v>
      </c>
      <c r="R218" s="4">
        <f t="shared" si="182"/>
        <v>134.22992935827065</v>
      </c>
      <c r="S218" s="4">
        <f t="shared" si="183"/>
        <v>1.5633463545332069</v>
      </c>
      <c r="T218" s="4" t="str">
        <f t="shared" si="174"/>
        <v>1+0.0031415926535898i</v>
      </c>
      <c r="U218" s="4">
        <f t="shared" si="184"/>
        <v>1.0000049347900244</v>
      </c>
      <c r="V218" s="4">
        <f t="shared" si="185"/>
        <v>3.1415823182254434E-3</v>
      </c>
      <c r="W218" t="str">
        <f t="shared" si="175"/>
        <v>1-0.00326348644854907i</v>
      </c>
      <c r="X218" s="4">
        <f t="shared" si="186"/>
        <v>1.0000053251577212</v>
      </c>
      <c r="Y218" s="4">
        <f t="shared" si="187"/>
        <v>-3.2634748628722174E-3</v>
      </c>
      <c r="Z218" t="str">
        <f t="shared" si="176"/>
        <v>0.999936+0.0141323246545152i</v>
      </c>
      <c r="AA218" s="4">
        <f t="shared" si="188"/>
        <v>1.0000358627050034</v>
      </c>
      <c r="AB218" s="4">
        <f t="shared" si="189"/>
        <v>1.4132288265073324E-2</v>
      </c>
      <c r="AC218" s="48" t="str">
        <f t="shared" si="190"/>
        <v>-0.0276308599343997-4.06078581029116i</v>
      </c>
      <c r="AD218" s="20">
        <f t="shared" si="191"/>
        <v>12.172402724987258</v>
      </c>
      <c r="AE218" s="44">
        <f t="shared" si="192"/>
        <v>-90.389852432728986</v>
      </c>
      <c r="AF218" t="str">
        <f t="shared" si="177"/>
        <v>-0.979317078436135</v>
      </c>
      <c r="AG218" t="str">
        <f t="shared" si="193"/>
        <v>6283.18530717959i</v>
      </c>
      <c r="AH218">
        <f t="shared" si="194"/>
        <v>6283.1853071795904</v>
      </c>
      <c r="AI218">
        <f t="shared" si="195"/>
        <v>1.5707963267948966</v>
      </c>
      <c r="AJ218" t="str">
        <f t="shared" si="178"/>
        <v>0.388914363470502+6.15701894621142i</v>
      </c>
      <c r="AK218">
        <f t="shared" si="196"/>
        <v>6.1692898040309352</v>
      </c>
      <c r="AL218">
        <f t="shared" si="197"/>
        <v>1.507714118902046</v>
      </c>
      <c r="AM218" t="str">
        <f t="shared" si="179"/>
        <v>1+874.116739934825i</v>
      </c>
      <c r="AN218">
        <f t="shared" si="198"/>
        <v>874.11731194061497</v>
      </c>
      <c r="AO218">
        <f t="shared" si="199"/>
        <v>1.5696523153396069</v>
      </c>
      <c r="AP218" t="str">
        <f t="shared" si="180"/>
        <v>1+5.90619418874883i</v>
      </c>
      <c r="AQ218">
        <f t="shared" si="200"/>
        <v>5.9902528991028792</v>
      </c>
      <c r="AR218">
        <f t="shared" si="201"/>
        <v>1.4030732009107361</v>
      </c>
      <c r="AS218" s="42" t="str">
        <f t="shared" si="202"/>
        <v>-0.131549331781596+0.0139680787280791i</v>
      </c>
      <c r="AT218">
        <f t="shared" si="203"/>
        <v>-17.569536646684391</v>
      </c>
      <c r="AU218" s="44">
        <f t="shared" si="204"/>
        <v>173.93897000662065</v>
      </c>
      <c r="AV218" s="42" t="str">
        <f t="shared" si="181"/>
        <v>0.0603561970569346+0.533807709825101i</v>
      </c>
      <c r="AW218" s="20">
        <f t="shared" si="205"/>
        <v>-5.3971339216971277</v>
      </c>
      <c r="AX218" s="44">
        <f t="shared" si="206"/>
        <v>83.549117573891692</v>
      </c>
    </row>
    <row r="219" spans="14:50" x14ac:dyDescent="0.3">
      <c r="N219" s="8">
        <v>1</v>
      </c>
      <c r="O219" s="35">
        <f>10^(3+(N219/100))</f>
        <v>1023.2929922807547</v>
      </c>
      <c r="P219" s="34" t="str">
        <f t="shared" si="172"/>
        <v>545.10556621881</v>
      </c>
      <c r="Q219" s="4" t="str">
        <f t="shared" si="173"/>
        <v>1+137.352734296825i</v>
      </c>
      <c r="R219" s="4">
        <f t="shared" si="182"/>
        <v>137.35637451102951</v>
      </c>
      <c r="S219" s="4">
        <f t="shared" si="183"/>
        <v>1.5635159305435919</v>
      </c>
      <c r="T219" s="4" t="str">
        <f t="shared" si="174"/>
        <v>1+0.00321476974701914i</v>
      </c>
      <c r="U219" s="4">
        <f t="shared" si="184"/>
        <v>1.0000051673589123</v>
      </c>
      <c r="V219" s="4">
        <f t="shared" si="185"/>
        <v>3.2147586724797957E-3</v>
      </c>
      <c r="W219" t="str">
        <f t="shared" si="175"/>
        <v>1-0.00333950281320347i</v>
      </c>
      <c r="X219" s="4">
        <f t="shared" si="186"/>
        <v>1.000005576123973</v>
      </c>
      <c r="Y219" s="4">
        <f t="shared" si="187"/>
        <v>-3.3394903989307965E-3</v>
      </c>
      <c r="Z219" t="str">
        <f t="shared" si="176"/>
        <v>0.999932983772925+0.0144615087836019i</v>
      </c>
      <c r="AA219" s="4">
        <f t="shared" si="188"/>
        <v>1.0000375529315502</v>
      </c>
      <c r="AB219" s="4">
        <f t="shared" si="189"/>
        <v>1.44614697911069E-2</v>
      </c>
      <c r="AC219" s="48" t="str">
        <f t="shared" si="190"/>
        <v>-0.0289924143809138-3.96833716491842i</v>
      </c>
      <c r="AD219" s="20">
        <f t="shared" si="191"/>
        <v>11.972403092828056</v>
      </c>
      <c r="AE219" s="44">
        <f t="shared" si="192"/>
        <v>-90.41859180770075</v>
      </c>
      <c r="AF219" t="str">
        <f t="shared" si="177"/>
        <v>-0.979317078436135</v>
      </c>
      <c r="AG219" t="str">
        <f t="shared" si="193"/>
        <v>6429.53949403827i</v>
      </c>
      <c r="AH219">
        <f t="shared" si="194"/>
        <v>6429.5394940382703</v>
      </c>
      <c r="AI219">
        <f t="shared" si="195"/>
        <v>1.5707963267948966</v>
      </c>
      <c r="AJ219" t="str">
        <f t="shared" si="178"/>
        <v>0.360114784686108+6.30043434099798i</v>
      </c>
      <c r="AK219">
        <f t="shared" si="196"/>
        <v>6.3107175141481466</v>
      </c>
      <c r="AL219">
        <f t="shared" si="197"/>
        <v>1.5137013116683296</v>
      </c>
      <c r="AM219" t="str">
        <f t="shared" si="179"/>
        <v>1+894.477534410604i</v>
      </c>
      <c r="AN219">
        <f t="shared" si="198"/>
        <v>894.47809339596097</v>
      </c>
      <c r="AO219">
        <f t="shared" si="199"/>
        <v>1.5696783561976368</v>
      </c>
      <c r="AP219" t="str">
        <f t="shared" si="180"/>
        <v>1+6.04376712439599i</v>
      </c>
      <c r="AQ219">
        <f t="shared" si="200"/>
        <v>6.1259383814995862</v>
      </c>
      <c r="AR219">
        <f t="shared" si="201"/>
        <v>1.4068222078126751</v>
      </c>
      <c r="AS219" s="42" t="str">
        <f t="shared" si="202"/>
        <v>-0.131482951851792+0.0142552386468544i</v>
      </c>
      <c r="AT219">
        <f t="shared" si="203"/>
        <v>-17.571858951302445</v>
      </c>
      <c r="AU219" s="44">
        <f t="shared" si="204"/>
        <v>173.81222343408788</v>
      </c>
      <c r="AV219" s="42" t="str">
        <f t="shared" si="181"/>
        <v>0.0603816015412066+0.521355390600697i</v>
      </c>
      <c r="AW219" s="20">
        <f t="shared" si="205"/>
        <v>-5.5994558584743874</v>
      </c>
      <c r="AX219" s="44">
        <f t="shared" si="206"/>
        <v>83.393631626387133</v>
      </c>
    </row>
    <row r="220" spans="14:50" x14ac:dyDescent="0.3">
      <c r="N220" s="8">
        <v>2</v>
      </c>
      <c r="O220" s="35">
        <f t="shared" ref="O220:O283" si="207">10^(3+(N220/100))</f>
        <v>1047.1285480509</v>
      </c>
      <c r="P220" s="34" t="str">
        <f t="shared" si="172"/>
        <v>545.10556621881</v>
      </c>
      <c r="Q220" s="4" t="str">
        <f t="shared" si="173"/>
        <v>1+140.552090476542i</v>
      </c>
      <c r="R220" s="4">
        <f t="shared" si="182"/>
        <v>140.55564783147651</v>
      </c>
      <c r="S220" s="4">
        <f t="shared" si="183"/>
        <v>1.5636816469373236</v>
      </c>
      <c r="T220" s="4" t="str">
        <f t="shared" si="174"/>
        <v>1+0.00328965135392086i</v>
      </c>
      <c r="U220" s="4">
        <f t="shared" si="184"/>
        <v>1.0000054108883762</v>
      </c>
      <c r="V220" s="4">
        <f t="shared" si="185"/>
        <v>3.2896394873416241E-3</v>
      </c>
      <c r="W220" t="str">
        <f t="shared" si="175"/>
        <v>1-0.00341728982645297i</v>
      </c>
      <c r="X220" s="4">
        <f t="shared" si="186"/>
        <v>1.0000058389178326</v>
      </c>
      <c r="Y220" s="4">
        <f t="shared" si="187"/>
        <v>-3.4172765243243347E-3</v>
      </c>
      <c r="Z220" t="str">
        <f t="shared" si="176"/>
        <v>0.999929825395447+0.0147983605960664i</v>
      </c>
      <c r="AA220" s="4">
        <f t="shared" si="188"/>
        <v>1.0000393228227078</v>
      </c>
      <c r="AB220" s="4">
        <f t="shared" si="189"/>
        <v>1.4798318814288048E-2</v>
      </c>
      <c r="AC220" s="48" t="str">
        <f t="shared" si="190"/>
        <v>-0.0302926795223555-3.87799169191418i</v>
      </c>
      <c r="AD220" s="20">
        <f t="shared" si="191"/>
        <v>11.772402478458181</v>
      </c>
      <c r="AE220" s="44">
        <f t="shared" si="192"/>
        <v>-90.447553147050741</v>
      </c>
      <c r="AF220" t="str">
        <f t="shared" si="177"/>
        <v>-0.979317078436135</v>
      </c>
      <c r="AG220" t="str">
        <f t="shared" si="193"/>
        <v>6579.30270784171i</v>
      </c>
      <c r="AH220">
        <f t="shared" si="194"/>
        <v>6579.3027078417099</v>
      </c>
      <c r="AI220">
        <f t="shared" si="195"/>
        <v>1.5707963267948966</v>
      </c>
      <c r="AJ220" t="str">
        <f t="shared" si="178"/>
        <v>0.329957923569126+6.44719030946825i</v>
      </c>
      <c r="AK220">
        <f t="shared" si="196"/>
        <v>6.4556281737587211</v>
      </c>
      <c r="AL220">
        <f t="shared" si="197"/>
        <v>1.5196623786091243</v>
      </c>
      <c r="AM220" t="str">
        <f t="shared" si="179"/>
        <v>1+915.312592714939i</v>
      </c>
      <c r="AN220">
        <f t="shared" si="198"/>
        <v>915.31313897624318</v>
      </c>
      <c r="AO220">
        <f t="shared" si="199"/>
        <v>1.5697038042948341</v>
      </c>
      <c r="AP220" t="str">
        <f t="shared" si="180"/>
        <v>1+6.18454454537122i</v>
      </c>
      <c r="AQ220">
        <f t="shared" si="200"/>
        <v>6.2648696102697068</v>
      </c>
      <c r="AR220">
        <f t="shared" si="201"/>
        <v>1.4104903766586117</v>
      </c>
      <c r="AS220" s="42" t="str">
        <f t="shared" si="202"/>
        <v>-0.131413863531222+0.0145492997669156i</v>
      </c>
      <c r="AT220">
        <f t="shared" si="203"/>
        <v>-17.57426630569012</v>
      </c>
      <c r="AU220" s="44">
        <f t="shared" si="204"/>
        <v>173.68230811896495</v>
      </c>
      <c r="AV220" s="42" t="str">
        <f t="shared" si="181"/>
        <v>0.0604029416720135+0.509181133701309i</v>
      </c>
      <c r="AW220" s="20">
        <f t="shared" si="205"/>
        <v>-5.8018638272319345</v>
      </c>
      <c r="AX220" s="44">
        <f t="shared" si="206"/>
        <v>83.234754971914242</v>
      </c>
    </row>
    <row r="221" spans="14:50" x14ac:dyDescent="0.3">
      <c r="N221" s="8">
        <v>3</v>
      </c>
      <c r="O221" s="35">
        <f t="shared" si="207"/>
        <v>1071.5193052376069</v>
      </c>
      <c r="P221" s="34" t="str">
        <f t="shared" si="172"/>
        <v>545.10556621881</v>
      </c>
      <c r="Q221" s="4" t="str">
        <f t="shared" si="173"/>
        <v>1+143.825969235056i</v>
      </c>
      <c r="R221" s="4">
        <f t="shared" si="182"/>
        <v>143.82944561668612</v>
      </c>
      <c r="S221" s="4">
        <f t="shared" si="183"/>
        <v>1.5638435915429991</v>
      </c>
      <c r="T221" s="4" t="str">
        <f t="shared" si="174"/>
        <v>1+0.0033662771775141i</v>
      </c>
      <c r="U221" s="4">
        <f t="shared" si="184"/>
        <v>1.0000056658949668</v>
      </c>
      <c r="V221" s="4">
        <f t="shared" si="185"/>
        <v>3.3662644622492527E-3</v>
      </c>
      <c r="W221" t="str">
        <f t="shared" si="175"/>
        <v>1-0.00349688873200164i</v>
      </c>
      <c r="X221" s="4">
        <f t="shared" si="186"/>
        <v>1.0000061140967109</v>
      </c>
      <c r="Y221" s="4">
        <f t="shared" si="187"/>
        <v>-3.496874478518713E-3</v>
      </c>
      <c r="Z221" t="str">
        <f t="shared" si="176"/>
        <v>0.999926518168224+0.0151430586951984i</v>
      </c>
      <c r="AA221" s="4">
        <f t="shared" si="188"/>
        <v>1.0000411761335999</v>
      </c>
      <c r="AB221" s="4">
        <f t="shared" si="189"/>
        <v>1.5143013924579889E-2</v>
      </c>
      <c r="AC221" s="48" t="str">
        <f t="shared" si="190"/>
        <v>-0.0315344125373826-3.78970154849008i</v>
      </c>
      <c r="AD221" s="20">
        <f t="shared" si="191"/>
        <v>11.572400880566271</v>
      </c>
      <c r="AE221" s="44">
        <f t="shared" si="192"/>
        <v>-90.476751803675072</v>
      </c>
      <c r="AF221" t="str">
        <f t="shared" si="177"/>
        <v>-0.979317078436135</v>
      </c>
      <c r="AG221" t="str">
        <f t="shared" si="193"/>
        <v>6732.55435502821i</v>
      </c>
      <c r="AH221">
        <f t="shared" si="194"/>
        <v>6732.55435502821</v>
      </c>
      <c r="AI221">
        <f t="shared" si="195"/>
        <v>1.5707963267948966</v>
      </c>
      <c r="AJ221" t="str">
        <f t="shared" si="178"/>
        <v>0.29837981337393+6.59736466357925i</v>
      </c>
      <c r="AK221">
        <f t="shared" si="196"/>
        <v>6.6041086466890606</v>
      </c>
      <c r="AL221">
        <f t="shared" si="197"/>
        <v>1.5256000047265625</v>
      </c>
      <c r="AM221" t="str">
        <f t="shared" si="179"/>
        <v>1+936.632961871525i</v>
      </c>
      <c r="AN221">
        <f t="shared" si="198"/>
        <v>936.63349569841125</v>
      </c>
      <c r="AO221">
        <f t="shared" si="199"/>
        <v>1.5697286731239855</v>
      </c>
      <c r="AP221" t="str">
        <f t="shared" si="180"/>
        <v>1+6.32860109372653i</v>
      </c>
      <c r="AQ221">
        <f t="shared" si="200"/>
        <v>6.4071203987061631</v>
      </c>
      <c r="AR221">
        <f t="shared" si="201"/>
        <v>1.4140792573046916</v>
      </c>
      <c r="AS221" s="42" t="str">
        <f t="shared" si="202"/>
        <v>-0.131341930323513+0.0148503795596635i</v>
      </c>
      <c r="AT221">
        <f t="shared" si="203"/>
        <v>-17.576763590389856</v>
      </c>
      <c r="AU221" s="44">
        <f t="shared" si="204"/>
        <v>173.54915979525751</v>
      </c>
      <c r="AV221" s="42" t="str">
        <f t="shared" si="181"/>
        <v>0.0604202970272+0.497278418733322i</v>
      </c>
      <c r="AW221" s="20">
        <f t="shared" si="205"/>
        <v>-6.0043627098235861</v>
      </c>
      <c r="AX221" s="44">
        <f t="shared" si="206"/>
        <v>83.072407991582438</v>
      </c>
    </row>
    <row r="222" spans="14:50" x14ac:dyDescent="0.3">
      <c r="N222" s="8">
        <v>4</v>
      </c>
      <c r="O222" s="35">
        <f t="shared" si="207"/>
        <v>1096.4781961431863</v>
      </c>
      <c r="P222" s="34" t="str">
        <f t="shared" si="172"/>
        <v>545.10556621881</v>
      </c>
      <c r="Q222" s="4" t="str">
        <f t="shared" si="173"/>
        <v>1+147.17610642622i</v>
      </c>
      <c r="R222" s="4">
        <f t="shared" si="182"/>
        <v>147.17950367759101</v>
      </c>
      <c r="S222" s="4">
        <f t="shared" si="183"/>
        <v>1.5640018501917952</v>
      </c>
      <c r="T222" s="4" t="str">
        <f t="shared" si="174"/>
        <v>1+0.00344468784582482i</v>
      </c>
      <c r="U222" s="4">
        <f t="shared" si="184"/>
        <v>1.0000059329195778</v>
      </c>
      <c r="V222" s="4">
        <f t="shared" si="185"/>
        <v>3.4446742211774305E-3</v>
      </c>
      <c r="W222" t="str">
        <f t="shared" si="175"/>
        <v>1-0.00357834173424281i</v>
      </c>
      <c r="X222" s="4">
        <f t="shared" si="186"/>
        <v>1.0000064022442892</v>
      </c>
      <c r="Y222" s="4">
        <f t="shared" si="187"/>
        <v>-3.5783264613659677E-3</v>
      </c>
      <c r="Z222" t="str">
        <f t="shared" si="176"/>
        <v>0.999923055076185+0.0154957858444927i</v>
      </c>
      <c r="AA222" s="4">
        <f t="shared" si="188"/>
        <v>1.0000431167963857</v>
      </c>
      <c r="AB222" s="4">
        <f t="shared" si="189"/>
        <v>1.5495737871196593E-2</v>
      </c>
      <c r="AC222" s="48" t="str">
        <f t="shared" si="190"/>
        <v>-0.0327202465256585-3.70341997764563i</v>
      </c>
      <c r="AD222" s="20">
        <f t="shared" si="191"/>
        <v>11.372398295754627</v>
      </c>
      <c r="AE222" s="44">
        <f t="shared" si="192"/>
        <v>-90.506203256387764</v>
      </c>
      <c r="AF222" t="str">
        <f t="shared" si="177"/>
        <v>-0.979317078436135</v>
      </c>
      <c r="AG222" t="str">
        <f t="shared" si="193"/>
        <v>6889.37569164964i</v>
      </c>
      <c r="AH222">
        <f t="shared" si="194"/>
        <v>6889.3756916496404</v>
      </c>
      <c r="AI222">
        <f t="shared" si="195"/>
        <v>1.5707963267948966</v>
      </c>
      <c r="AJ222" t="str">
        <f t="shared" si="178"/>
        <v>0.265313472695041+6.75103702776132i</v>
      </c>
      <c r="AK222">
        <f t="shared" si="196"/>
        <v>6.756248381239244</v>
      </c>
      <c r="AL222">
        <f t="shared" si="197"/>
        <v>1.5315168784591586</v>
      </c>
      <c r="AM222" t="str">
        <f t="shared" si="179"/>
        <v>1+958.449946222298i</v>
      </c>
      <c r="AN222">
        <f t="shared" si="198"/>
        <v>958.45046789780747</v>
      </c>
      <c r="AO222">
        <f t="shared" si="199"/>
        <v>1.5697529758707498</v>
      </c>
      <c r="AP222" t="str">
        <f t="shared" si="180"/>
        <v>1+6.47601315015068i</v>
      </c>
      <c r="AQ222">
        <f t="shared" si="200"/>
        <v>6.5527663105687308</v>
      </c>
      <c r="AR222">
        <f t="shared" si="201"/>
        <v>1.4175903826342156</v>
      </c>
      <c r="AS222" s="42" t="str">
        <f t="shared" si="202"/>
        <v>-0.131267010436581+0.0151585961083782i</v>
      </c>
      <c r="AT222">
        <f t="shared" si="203"/>
        <v>-17.579355869280178</v>
      </c>
      <c r="AU222" s="44">
        <f t="shared" si="204"/>
        <v>173.41271301001132</v>
      </c>
      <c r="AV222" s="42" t="str">
        <f t="shared" si="181"/>
        <v>0.0604337366030002+0.485640875855002i</v>
      </c>
      <c r="AW222" s="20">
        <f t="shared" si="205"/>
        <v>-6.2069575735255622</v>
      </c>
      <c r="AX222" s="44">
        <f t="shared" si="206"/>
        <v>82.906509753623538</v>
      </c>
    </row>
    <row r="223" spans="14:50" x14ac:dyDescent="0.3">
      <c r="N223" s="8">
        <v>5</v>
      </c>
      <c r="O223" s="35">
        <f t="shared" si="207"/>
        <v>1122.0184543019636</v>
      </c>
      <c r="P223" s="34" t="str">
        <f t="shared" si="172"/>
        <v>545.10556621881</v>
      </c>
      <c r="Q223" s="4" t="str">
        <f t="shared" si="173"/>
        <v>1+150.604278337117i</v>
      </c>
      <c r="R223" s="4">
        <f t="shared" si="182"/>
        <v>150.60759825933022</v>
      </c>
      <c r="S223" s="4">
        <f t="shared" si="183"/>
        <v>1.564156506762814</v>
      </c>
      <c r="T223" s="4" t="str">
        <f t="shared" si="174"/>
        <v>1+0.00352492493322723i</v>
      </c>
      <c r="U223" s="4">
        <f t="shared" si="184"/>
        <v>1.0000062125285947</v>
      </c>
      <c r="V223" s="4">
        <f t="shared" si="185"/>
        <v>3.5249103341594232E-3</v>
      </c>
      <c r="W223" t="str">
        <f t="shared" si="175"/>
        <v>1-0.00366169202063643i</v>
      </c>
      <c r="X223" s="4">
        <f t="shared" si="186"/>
        <v>1.0000067039717553</v>
      </c>
      <c r="Y223" s="4">
        <f t="shared" si="187"/>
        <v>-3.6616756554599724E-3</v>
      </c>
      <c r="Z223" t="str">
        <f t="shared" si="176"/>
        <v>0.999919428773645+0.0158567290645527i</v>
      </c>
      <c r="AA223" s="4">
        <f t="shared" si="188"/>
        <v>1.0000451489286066</v>
      </c>
      <c r="AB223" s="4">
        <f t="shared" si="189"/>
        <v>1.5856677659438618E-2</v>
      </c>
      <c r="AC223" s="48" t="str">
        <f t="shared" si="190"/>
        <v>-0.0338526960863677-3.61910128364235i</v>
      </c>
      <c r="AD223" s="20">
        <f t="shared" si="191"/>
        <v>11.172394718531963</v>
      </c>
      <c r="AE223" s="44">
        <f t="shared" si="192"/>
        <v>-90.535923118114738</v>
      </c>
      <c r="AF223" t="str">
        <f t="shared" si="177"/>
        <v>-0.979317078436135</v>
      </c>
      <c r="AG223" t="str">
        <f t="shared" si="193"/>
        <v>7049.84986645445i</v>
      </c>
      <c r="AH223">
        <f t="shared" si="194"/>
        <v>7049.8498664544504</v>
      </c>
      <c r="AI223">
        <f t="shared" si="195"/>
        <v>1.5707963267948966</v>
      </c>
      <c r="AJ223" t="str">
        <f t="shared" si="178"/>
        <v>0.230688763390602+6.90828888113604i</v>
      </c>
      <c r="AK223">
        <f t="shared" si="196"/>
        <v>6.9121395074739711</v>
      </c>
      <c r="AL223">
        <f t="shared" si="197"/>
        <v>1.537415691148849</v>
      </c>
      <c r="AM223" t="str">
        <f t="shared" si="179"/>
        <v>1+980.775113421143i</v>
      </c>
      <c r="AN223">
        <f t="shared" si="198"/>
        <v>980.7756232218743</v>
      </c>
      <c r="AO223">
        <f t="shared" si="199"/>
        <v>1.5697767254206501</v>
      </c>
      <c r="AP223" t="str">
        <f t="shared" si="180"/>
        <v>1+6.6268588744672i</v>
      </c>
      <c r="AQ223">
        <f t="shared" si="200"/>
        <v>6.7018847007468487</v>
      </c>
      <c r="AR223">
        <f t="shared" si="201"/>
        <v>1.4210252678334774</v>
      </c>
      <c r="AS223" s="42" t="str">
        <f t="shared" si="202"/>
        <v>-0.131188956567773+0.0154740679904895i</v>
      </c>
      <c r="AT223">
        <f t="shared" si="203"/>
        <v>-17.582048398461225</v>
      </c>
      <c r="AU223" s="44">
        <f t="shared" si="204"/>
        <v>173.27290111275812</v>
      </c>
      <c r="AV223" s="42" t="str">
        <f t="shared" si="181"/>
        <v>0.0604433192041261+0.474262282193226i</v>
      </c>
      <c r="AW223" s="20">
        <f t="shared" si="205"/>
        <v>-6.4096536799292601</v>
      </c>
      <c r="AX223" s="44">
        <f t="shared" si="206"/>
        <v>82.736977994643382</v>
      </c>
    </row>
    <row r="224" spans="14:50" x14ac:dyDescent="0.3">
      <c r="N224" s="8">
        <v>6</v>
      </c>
      <c r="O224" s="35">
        <f t="shared" si="207"/>
        <v>1148.1536214968839</v>
      </c>
      <c r="P224" s="34" t="str">
        <f t="shared" si="172"/>
        <v>545.10556621881</v>
      </c>
      <c r="Q224" s="4" t="str">
        <f t="shared" si="173"/>
        <v>1+154.112302629872i</v>
      </c>
      <c r="R224" s="4">
        <f t="shared" si="182"/>
        <v>154.11554698303883</v>
      </c>
      <c r="S224" s="4">
        <f t="shared" si="183"/>
        <v>1.5643076432274068</v>
      </c>
      <c r="T224" s="4" t="str">
        <f t="shared" si="174"/>
        <v>1+0.00360703098248713i</v>
      </c>
      <c r="U224" s="4">
        <f t="shared" si="184"/>
        <v>1.0000065053150948</v>
      </c>
      <c r="V224" s="4">
        <f t="shared" si="185"/>
        <v>3.6070153393096328E-3</v>
      </c>
      <c r="W224" t="str">
        <f t="shared" si="175"/>
        <v>1-0.00374698378460761i</v>
      </c>
      <c r="X224" s="4">
        <f t="shared" si="186"/>
        <v>1.0000070199191013</v>
      </c>
      <c r="Y224" s="4">
        <f t="shared" si="187"/>
        <v>-3.7469662490117505E-3</v>
      </c>
      <c r="Z224" t="str">
        <f t="shared" si="176"/>
        <v>0.999915631568732+0.0162260797322513i</v>
      </c>
      <c r="AA224" s="4">
        <f t="shared" si="188"/>
        <v>1.0000472768419368</v>
      </c>
      <c r="AB224" s="4">
        <f t="shared" si="189"/>
        <v>1.6226024649780246E-2</v>
      </c>
      <c r="AC224" s="48" t="str">
        <f t="shared" si="190"/>
        <v>-0.0349341626459628-3.53670080802286i</v>
      </c>
      <c r="AD224" s="20">
        <f t="shared" si="191"/>
        <v>10.972390141301624</v>
      </c>
      <c r="AE224" s="44">
        <f t="shared" si="192"/>
        <v>-90.565927144159531</v>
      </c>
      <c r="AF224" t="str">
        <f t="shared" si="177"/>
        <v>-0.979317078436135</v>
      </c>
      <c r="AG224" t="str">
        <f t="shared" si="193"/>
        <v>7214.06196497425i</v>
      </c>
      <c r="AH224">
        <f t="shared" si="194"/>
        <v>7214.0619649742503</v>
      </c>
      <c r="AI224">
        <f t="shared" si="195"/>
        <v>1.5707963267948966</v>
      </c>
      <c r="AJ224" t="str">
        <f t="shared" si="178"/>
        <v>0.194432241809959+7.06920360071757i</v>
      </c>
      <c r="AK224">
        <f t="shared" si="196"/>
        <v>7.0718769393318421</v>
      </c>
      <c r="AL224">
        <f t="shared" si="197"/>
        <v>1.5432991365587141</v>
      </c>
      <c r="AM224" t="str">
        <f t="shared" si="179"/>
        <v>1+1003.62030056722i</v>
      </c>
      <c r="AN224">
        <f t="shared" si="198"/>
        <v>1003.6207987634757</v>
      </c>
      <c r="AO224">
        <f t="shared" si="199"/>
        <v>1.569799934365905</v>
      </c>
      <c r="AP224" t="str">
        <f t="shared" si="180"/>
        <v>1+6.78121824707581i</v>
      </c>
      <c r="AQ224">
        <f t="shared" si="200"/>
        <v>6.8545547568367944</v>
      </c>
      <c r="AR224">
        <f t="shared" si="201"/>
        <v>1.4243854097467641</v>
      </c>
      <c r="AS224" s="42" t="str">
        <f t="shared" si="202"/>
        <v>-0.131107615683787+0.015796914147256i</v>
      </c>
      <c r="AT224">
        <f t="shared" si="203"/>
        <v>-17.584846635467489</v>
      </c>
      <c r="AU224" s="44">
        <f t="shared" si="204"/>
        <v>173.12965624658355</v>
      </c>
      <c r="AV224" s="42" t="str">
        <f t="shared" si="181"/>
        <v>0.0604490937992899+0.463136558358676i</v>
      </c>
      <c r="AW224" s="20">
        <f t="shared" si="205"/>
        <v>-6.6124564941658548</v>
      </c>
      <c r="AX224" s="44">
        <f t="shared" si="206"/>
        <v>82.56372910242402</v>
      </c>
    </row>
    <row r="225" spans="14:50" x14ac:dyDescent="0.3">
      <c r="N225" s="8">
        <v>7</v>
      </c>
      <c r="O225" s="35">
        <f t="shared" si="207"/>
        <v>1174.8975549395295</v>
      </c>
      <c r="P225" s="34" t="str">
        <f t="shared" si="172"/>
        <v>545.10556621881</v>
      </c>
      <c r="Q225" s="4" t="str">
        <f t="shared" si="173"/>
        <v>1+157.702039305399i</v>
      </c>
      <c r="R225" s="4">
        <f t="shared" si="182"/>
        <v>157.70520980957355</v>
      </c>
      <c r="S225" s="4">
        <f t="shared" si="183"/>
        <v>1.5644553396924932</v>
      </c>
      <c r="T225" s="4" t="str">
        <f t="shared" si="174"/>
        <v>1+0.00369104952731863i</v>
      </c>
      <c r="U225" s="4">
        <f t="shared" si="184"/>
        <v>1.0000068119001055</v>
      </c>
      <c r="V225" s="4">
        <f t="shared" si="185"/>
        <v>3.6910327653581132E-3</v>
      </c>
      <c r="W225" t="str">
        <f t="shared" si="175"/>
        <v>1-0.00383426224897859i</v>
      </c>
      <c r="X225" s="4">
        <f t="shared" si="186"/>
        <v>1.0000073507564802</v>
      </c>
      <c r="Y225" s="4">
        <f t="shared" si="187"/>
        <v>-3.8342434592565575E-3</v>
      </c>
      <c r="Z225" t="str">
        <f t="shared" si="176"/>
        <v>0.999911655407065+0.0166040336822015i</v>
      </c>
      <c r="AA225" s="4">
        <f t="shared" si="188"/>
        <v>1.0000495050513332</v>
      </c>
      <c r="AB225" s="4">
        <f t="shared" si="189"/>
        <v>1.6603974659261781E-2</v>
      </c>
      <c r="AC225" s="48" t="str">
        <f t="shared" si="190"/>
        <v>-0.035966939546384-3.45617490616347i</v>
      </c>
      <c r="AD225" s="20">
        <f t="shared" si="191"/>
        <v>10.772384554345384</v>
      </c>
      <c r="AE225" s="44">
        <f t="shared" si="192"/>
        <v>-90.596231240544768</v>
      </c>
      <c r="AF225" t="str">
        <f t="shared" si="177"/>
        <v>-0.979317078436135</v>
      </c>
      <c r="AG225" t="str">
        <f t="shared" si="193"/>
        <v>7382.09905463727i</v>
      </c>
      <c r="AH225">
        <f t="shared" si="194"/>
        <v>7382.0990546372695</v>
      </c>
      <c r="AI225">
        <f t="shared" si="195"/>
        <v>1.5707963267948966</v>
      </c>
      <c r="AJ225" t="str">
        <f t="shared" si="178"/>
        <v>0.156467003009845+7.23386650562016i</v>
      </c>
      <c r="AK225">
        <f t="shared" si="196"/>
        <v>7.2355584818425802</v>
      </c>
      <c r="AL225">
        <f t="shared" si="197"/>
        <v>1.549169910434625</v>
      </c>
      <c r="AM225" t="str">
        <f t="shared" si="179"/>
        <v>1+1026.99762048114i</v>
      </c>
      <c r="AN225">
        <f t="shared" si="198"/>
        <v>1026.99810733707</v>
      </c>
      <c r="AO225">
        <f t="shared" si="199"/>
        <v>1.5698226150121046</v>
      </c>
      <c r="AP225" t="str">
        <f t="shared" si="180"/>
        <v>1+6.93917311135905i</v>
      </c>
      <c r="AQ225">
        <f t="shared" si="200"/>
        <v>7.0108575416569723</v>
      </c>
      <c r="AR225">
        <f t="shared" si="201"/>
        <v>1.4276722863056794</v>
      </c>
      <c r="AS225" s="42" t="str">
        <f t="shared" si="202"/>
        <v>-0.131022828795572+0.0161272537401143i</v>
      </c>
      <c r="AT225">
        <f t="shared" si="203"/>
        <v>-17.587756248813392</v>
      </c>
      <c r="AU225" s="44">
        <f t="shared" si="204"/>
        <v>172.98290934092842</v>
      </c>
      <c r="AV225" s="42" t="str">
        <f t="shared" si="181"/>
        <v>0.0604510998444006+0.452257765057489i</v>
      </c>
      <c r="AW225" s="20">
        <f t="shared" si="205"/>
        <v>-6.8153716944679967</v>
      </c>
      <c r="AX225" s="44">
        <f t="shared" si="206"/>
        <v>82.386678100383648</v>
      </c>
    </row>
    <row r="226" spans="14:50" x14ac:dyDescent="0.3">
      <c r="N226" s="8">
        <v>8</v>
      </c>
      <c r="O226" s="35">
        <f t="shared" si="207"/>
        <v>1202.2644346174138</v>
      </c>
      <c r="P226" s="34" t="str">
        <f t="shared" si="172"/>
        <v>545.10556621881</v>
      </c>
      <c r="Q226" s="4" t="str">
        <f t="shared" si="173"/>
        <v>1+161.375391689599i</v>
      </c>
      <c r="R226" s="4">
        <f t="shared" si="182"/>
        <v>161.37849002568933</v>
      </c>
      <c r="S226" s="4">
        <f t="shared" si="183"/>
        <v>1.5645996744429038</v>
      </c>
      <c r="T226" s="4" t="str">
        <f t="shared" si="174"/>
        <v>1+0.00377702511546636i</v>
      </c>
      <c r="U226" s="4">
        <f t="shared" si="184"/>
        <v>1.000007132933922</v>
      </c>
      <c r="V226" s="4">
        <f t="shared" si="185"/>
        <v>3.7770071547089919E-3</v>
      </c>
      <c r="W226" t="str">
        <f t="shared" si="175"/>
        <v>1-0.00392357368994644i</v>
      </c>
      <c r="X226" s="4">
        <f t="shared" si="186"/>
        <v>1.0000076971856269</v>
      </c>
      <c r="Y226" s="4">
        <f t="shared" si="187"/>
        <v>-3.9235535564049115E-3</v>
      </c>
      <c r="Z226" t="str">
        <f t="shared" si="176"/>
        <v>0.999907491854672+0.0169907913105904i</v>
      </c>
      <c r="AA226" s="4">
        <f t="shared" si="188"/>
        <v>1.0000518382846266</v>
      </c>
      <c r="AB226" s="4">
        <f t="shared" si="189"/>
        <v>1.6990728065239363E-2</v>
      </c>
      <c r="AC226" s="48" t="str">
        <f t="shared" si="190"/>
        <v>-0.0369532169045102-3.37748092434897i</v>
      </c>
      <c r="AD226" s="20">
        <f t="shared" si="191"/>
        <v>10.572377945802913</v>
      </c>
      <c r="AE226" s="44">
        <f t="shared" si="192"/>
        <v>-90.626851472433685</v>
      </c>
      <c r="AF226" t="str">
        <f t="shared" si="177"/>
        <v>-0.979317078436135</v>
      </c>
      <c r="AG226" t="str">
        <f t="shared" si="193"/>
        <v>7554.05023093271i</v>
      </c>
      <c r="AH226">
        <f t="shared" si="194"/>
        <v>7554.0502309327103</v>
      </c>
      <c r="AI226">
        <f t="shared" si="195"/>
        <v>1.5707963267948966</v>
      </c>
      <c r="AJ226" t="str">
        <f t="shared" si="178"/>
        <v>0.116712517628674+7.40236490229558i</v>
      </c>
      <c r="AK226">
        <f t="shared" si="196"/>
        <v>7.4032849437603483</v>
      </c>
      <c r="AL226">
        <f t="shared" si="197"/>
        <v>1.5550307101041425</v>
      </c>
      <c r="AM226" t="str">
        <f t="shared" si="179"/>
        <v>1+1050.91946812736i</v>
      </c>
      <c r="AN226">
        <f t="shared" si="198"/>
        <v>1050.9199439011011</v>
      </c>
      <c r="AO226">
        <f t="shared" si="199"/>
        <v>1.5698447793847343</v>
      </c>
      <c r="AP226" t="str">
        <f t="shared" si="180"/>
        <v>1+7.10080721707677i</v>
      </c>
      <c r="AQ226">
        <f t="shared" si="200"/>
        <v>7.1708760367258852</v>
      </c>
      <c r="AR226">
        <f t="shared" si="201"/>
        <v>1.4308873560281572</v>
      </c>
      <c r="AS226" s="42" t="str">
        <f t="shared" si="202"/>
        <v>-0.130934430728448+0.0164652059929353i</v>
      </c>
      <c r="AT226">
        <f t="shared" si="203"/>
        <v>-17.590783127877074</v>
      </c>
      <c r="AU226" s="44">
        <f t="shared" si="204"/>
        <v>172.83259010623891</v>
      </c>
      <c r="AV226" s="42" t="str">
        <f t="shared" si="181"/>
        <v>0.0604493675755922+0.44162009979739i</v>
      </c>
      <c r="AW226" s="20">
        <f t="shared" si="205"/>
        <v>-7.0184051820741677</v>
      </c>
      <c r="AX226" s="44">
        <f t="shared" si="206"/>
        <v>82.205738633805225</v>
      </c>
    </row>
    <row r="227" spans="14:50" x14ac:dyDescent="0.3">
      <c r="N227" s="8">
        <v>9</v>
      </c>
      <c r="O227" s="35">
        <f t="shared" si="207"/>
        <v>1230.2687708123824</v>
      </c>
      <c r="P227" s="34" t="str">
        <f t="shared" si="172"/>
        <v>545.10556621881</v>
      </c>
      <c r="Q227" s="4" t="str">
        <f t="shared" si="173"/>
        <v>1+165.134307442528i</v>
      </c>
      <c r="R227" s="4">
        <f t="shared" si="182"/>
        <v>165.13733525318665</v>
      </c>
      <c r="S227" s="4">
        <f t="shared" si="183"/>
        <v>1.5647407239827653</v>
      </c>
      <c r="T227" s="4" t="str">
        <f t="shared" si="174"/>
        <v>1+0.00386500333232512i</v>
      </c>
      <c r="U227" s="4">
        <f t="shared" si="184"/>
        <v>1.0000074690974856</v>
      </c>
      <c r="V227" s="4">
        <f t="shared" si="185"/>
        <v>3.864984087034627E-3</v>
      </c>
      <c r="W227" t="str">
        <f t="shared" si="175"/>
        <v>1-0.00401496546161933i</v>
      </c>
      <c r="X227" s="4">
        <f t="shared" si="186"/>
        <v>1.0000080599413477</v>
      </c>
      <c r="Y227" s="4">
        <f t="shared" si="187"/>
        <v>-4.0149438881502911E-3</v>
      </c>
      <c r="Z227" t="str">
        <f t="shared" si="176"/>
        <v>0.9999031320801+0.0173865576814319i</v>
      </c>
      <c r="AA227" s="4">
        <f t="shared" si="188"/>
        <v>1.0000542814925617</v>
      </c>
      <c r="AB227" s="4">
        <f t="shared" si="189"/>
        <v>1.7386489911547551E-2</v>
      </c>
      <c r="AC227" s="48" t="str">
        <f t="shared" si="190"/>
        <v>-0.0378950862530939-3.30057717735831i</v>
      </c>
      <c r="AD227" s="20">
        <f t="shared" si="191"/>
        <v>10.372370301646431</v>
      </c>
      <c r="AE227" s="44">
        <f t="shared" si="192"/>
        <v>-90.657804072636324</v>
      </c>
      <c r="AF227" t="str">
        <f t="shared" si="177"/>
        <v>-0.979317078436135</v>
      </c>
      <c r="AG227" t="str">
        <f t="shared" si="193"/>
        <v>7730.00666465025i</v>
      </c>
      <c r="AH227">
        <f t="shared" si="194"/>
        <v>7730.0066646502501</v>
      </c>
      <c r="AI227">
        <f t="shared" si="195"/>
        <v>1.5707963267948966</v>
      </c>
      <c r="AJ227" t="str">
        <f t="shared" si="178"/>
        <v>0.0750844610729789+7.57478813082408i</v>
      </c>
      <c r="AK227">
        <f t="shared" si="196"/>
        <v>7.5751602559396716</v>
      </c>
      <c r="AL227">
        <f t="shared" si="197"/>
        <v>1.5608842341060309</v>
      </c>
      <c r="AM227" t="str">
        <f t="shared" si="179"/>
        <v>1+1075.39852718614i</v>
      </c>
      <c r="AN227">
        <f t="shared" si="198"/>
        <v>1075.3989921299531</v>
      </c>
      <c r="AO227">
        <f t="shared" si="199"/>
        <v>1.5698664392355504</v>
      </c>
      <c r="AP227" t="str">
        <f t="shared" si="180"/>
        <v>1+7.26620626477125i</v>
      </c>
      <c r="AQ227">
        <f t="shared" si="200"/>
        <v>7.3346951867273233</v>
      </c>
      <c r="AR227">
        <f t="shared" si="201"/>
        <v>1.434032057582729</v>
      </c>
      <c r="AS227" s="42" t="str">
        <f t="shared" si="202"/>
        <v>-0.130842249887742+0.0168108900193772i</v>
      </c>
      <c r="AT227">
        <f t="shared" si="203"/>
        <v>-17.593933393126953</v>
      </c>
      <c r="AU227" s="44">
        <f t="shared" si="204"/>
        <v>172.67862703059404</v>
      </c>
      <c r="AV227" s="42" t="str">
        <f t="shared" si="181"/>
        <v>0.0604439182740818+0.431217893686419i</v>
      </c>
      <c r="AW227" s="20">
        <f t="shared" si="205"/>
        <v>-7.2215630914805198</v>
      </c>
      <c r="AX227" s="44">
        <f t="shared" si="206"/>
        <v>82.020822957957733</v>
      </c>
    </row>
    <row r="228" spans="14:50" x14ac:dyDescent="0.3">
      <c r="N228" s="8">
        <v>10</v>
      </c>
      <c r="O228" s="35">
        <f t="shared" si="207"/>
        <v>1258.925411794168</v>
      </c>
      <c r="P228" s="34" t="str">
        <f t="shared" si="172"/>
        <v>545.10556621881</v>
      </c>
      <c r="Q228" s="4" t="str">
        <f t="shared" si="173"/>
        <v>1+168.980779591075i</v>
      </c>
      <c r="R228" s="4">
        <f t="shared" si="182"/>
        <v>168.98373848156947</v>
      </c>
      <c r="S228" s="4">
        <f t="shared" si="183"/>
        <v>1.5648785630759487</v>
      </c>
      <c r="T228" s="4" t="str">
        <f t="shared" si="174"/>
        <v>1+0.00395503082511007i</v>
      </c>
      <c r="U228" s="4">
        <f t="shared" si="184"/>
        <v>1.000007821103829</v>
      </c>
      <c r="V228" s="4">
        <f t="shared" si="185"/>
        <v>3.9550102034184818E-3</v>
      </c>
      <c r="W228" t="str">
        <f t="shared" si="175"/>
        <v>1-0.00410848602112432i</v>
      </c>
      <c r="X228" s="4">
        <f t="shared" si="186"/>
        <v>1.000008439793078</v>
      </c>
      <c r="Y228" s="4">
        <f t="shared" si="187"/>
        <v>-4.1084629047463007E-3</v>
      </c>
      <c r="Z228" t="str">
        <f t="shared" si="176"/>
        <v>0.999898566835682+0.0177915426352944i</v>
      </c>
      <c r="AA228" s="4">
        <f t="shared" si="188"/>
        <v>1.0000568398593124</v>
      </c>
      <c r="AB228" s="4">
        <f t="shared" si="189"/>
        <v>1.7791470017130346E-2</v>
      </c>
      <c r="AC228" s="48" t="str">
        <f t="shared" si="190"/>
        <v>-0.0387945449729909-3.22542292655033i</v>
      </c>
      <c r="AD228" s="20">
        <f t="shared" si="191"/>
        <v>10.172361605650629</v>
      </c>
      <c r="AE228" s="44">
        <f t="shared" si="192"/>
        <v>-90.689105450204721</v>
      </c>
      <c r="AF228" t="str">
        <f t="shared" si="177"/>
        <v>-0.979317078436135</v>
      </c>
      <c r="AG228" t="str">
        <f t="shared" si="193"/>
        <v>7910.06165022013i</v>
      </c>
      <c r="AH228">
        <f t="shared" si="194"/>
        <v>7910.0616502201301</v>
      </c>
      <c r="AI228">
        <f t="shared" si="195"/>
        <v>1.5707963267948966</v>
      </c>
      <c r="AJ228" t="str">
        <f t="shared" si="178"/>
        <v>0.0314945346536331+7.75122761228371i</v>
      </c>
      <c r="AK228">
        <f t="shared" si="196"/>
        <v>7.7512915958014679</v>
      </c>
      <c r="AL228">
        <f t="shared" si="197"/>
        <v>1.5667331818438226</v>
      </c>
      <c r="AM228" t="str">
        <f t="shared" si="179"/>
        <v>1+1100.44777677862i</v>
      </c>
      <c r="AN228">
        <f t="shared" si="198"/>
        <v>1100.4482311390245</v>
      </c>
      <c r="AO228">
        <f t="shared" si="199"/>
        <v>1.5698876060488114</v>
      </c>
      <c r="AP228" t="str">
        <f t="shared" si="180"/>
        <v>1+7.43545795120694i</v>
      </c>
      <c r="AQ228">
        <f t="shared" si="200"/>
        <v>7.5024019449884527</v>
      </c>
      <c r="AR228">
        <f t="shared" si="201"/>
        <v>1.4371078094138192</v>
      </c>
      <c r="AS228" s="42" t="str">
        <f t="shared" si="202"/>
        <v>-0.130746108020274+0.0171644246344991i</v>
      </c>
      <c r="AT228">
        <f t="shared" si="203"/>
        <v>-17.597213406695857</v>
      </c>
      <c r="AU228" s="44">
        <f t="shared" si="204"/>
        <v>172.52094737844271</v>
      </c>
      <c r="AV228" s="42" t="str">
        <f t="shared" si="181"/>
        <v>0.0604347645047947+0.421045608322399i</v>
      </c>
      <c r="AW228" s="20">
        <f t="shared" si="205"/>
        <v>-7.4248518010452322</v>
      </c>
      <c r="AX228" s="44">
        <f t="shared" si="206"/>
        <v>81.831841928238006</v>
      </c>
    </row>
    <row r="229" spans="14:50" x14ac:dyDescent="0.3">
      <c r="N229" s="8">
        <v>11</v>
      </c>
      <c r="O229" s="35">
        <f t="shared" si="207"/>
        <v>1288.2495516931347</v>
      </c>
      <c r="P229" s="34" t="str">
        <f t="shared" si="172"/>
        <v>545.10556621881</v>
      </c>
      <c r="Q229" s="4" t="str">
        <f t="shared" si="173"/>
        <v>1+172.916847585686i</v>
      </c>
      <c r="R229" s="4">
        <f t="shared" si="182"/>
        <v>172.91973912474933</v>
      </c>
      <c r="S229" s="4">
        <f t="shared" si="183"/>
        <v>1.5650132647856021</v>
      </c>
      <c r="T229" s="4" t="str">
        <f t="shared" si="174"/>
        <v>1+0.00404715532758949i</v>
      </c>
      <c r="U229" s="4">
        <f t="shared" si="184"/>
        <v>1.0000081896995872</v>
      </c>
      <c r="V229" s="4">
        <f t="shared" si="185"/>
        <v>4.0471332310586207E-3</v>
      </c>
      <c r="W229" t="str">
        <f t="shared" si="175"/>
        <v>1-0.00420418495429996i</v>
      </c>
      <c r="X229" s="4">
        <f t="shared" si="186"/>
        <v>1.0000088375465139</v>
      </c>
      <c r="Y229" s="4">
        <f t="shared" si="187"/>
        <v>-4.2041601846664672E-3</v>
      </c>
      <c r="Z229" t="str">
        <f t="shared" si="176"/>
        <v>0.999893786437924+0.018205960900561i</v>
      </c>
      <c r="AA229" s="4">
        <f t="shared" si="188"/>
        <v>1.0000595188134964</v>
      </c>
      <c r="AB229" s="4">
        <f t="shared" si="189"/>
        <v>1.8205883087197807E-2</v>
      </c>
      <c r="AC229" s="48" t="str">
        <f t="shared" si="190"/>
        <v>-0.0396535005260528-3.15197835843908i</v>
      </c>
      <c r="AD229" s="20">
        <f t="shared" si="191"/>
        <v>9.9723518393585593</v>
      </c>
      <c r="AE229" s="44">
        <f t="shared" si="192"/>
        <v>-90.720772199121541</v>
      </c>
      <c r="AF229" t="str">
        <f t="shared" si="177"/>
        <v>-0.979317078436135</v>
      </c>
      <c r="AG229" t="str">
        <f t="shared" si="193"/>
        <v>8094.31065517899i</v>
      </c>
      <c r="AH229">
        <f t="shared" si="194"/>
        <v>8094.3106551789897</v>
      </c>
      <c r="AI229">
        <f t="shared" si="195"/>
        <v>1.5707963267948966</v>
      </c>
      <c r="AJ229" t="str">
        <f t="shared" si="178"/>
        <v>-0.0141497217075+7.931776897223i</v>
      </c>
      <c r="AK229">
        <f t="shared" si="196"/>
        <v>7.9317895182578395</v>
      </c>
      <c r="AL229">
        <f t="shared" si="197"/>
        <v>1.5725802532568796</v>
      </c>
      <c r="AM229" t="str">
        <f t="shared" si="179"/>
        <v>1+1126.0804983485i</v>
      </c>
      <c r="AN229">
        <f t="shared" si="198"/>
        <v>1126.080942366403</v>
      </c>
      <c r="AO229">
        <f t="shared" si="199"/>
        <v>1.5699082910473658</v>
      </c>
      <c r="AP229" t="str">
        <f t="shared" si="180"/>
        <v>1+7.60865201586827i</v>
      </c>
      <c r="AQ229">
        <f t="shared" si="200"/>
        <v>7.6740853199958803</v>
      </c>
      <c r="AR229">
        <f t="shared" si="201"/>
        <v>1.4401160094240153</v>
      </c>
      <c r="AS229" s="42" t="str">
        <f t="shared" si="202"/>
        <v>-0.130645819972066+0.0175259281497551i</v>
      </c>
      <c r="AT229">
        <f t="shared" si="203"/>
        <v>-17.600629783308158</v>
      </c>
      <c r="AU229" s="44">
        <f t="shared" si="204"/>
        <v>172.35947719159475</v>
      </c>
      <c r="AV229" s="42" t="str">
        <f t="shared" si="181"/>
        <v>0.0604219103305753+0.411097832771374i</v>
      </c>
      <c r="AW229" s="20">
        <f t="shared" si="205"/>
        <v>-7.6282779439496071</v>
      </c>
      <c r="AX229" s="44">
        <f t="shared" si="206"/>
        <v>81.638704992473194</v>
      </c>
    </row>
    <row r="230" spans="14:50" x14ac:dyDescent="0.3">
      <c r="N230" s="8">
        <v>12</v>
      </c>
      <c r="O230" s="35">
        <f t="shared" si="207"/>
        <v>1318.2567385564089</v>
      </c>
      <c r="P230" s="34" t="str">
        <f t="shared" si="172"/>
        <v>545.10556621881</v>
      </c>
      <c r="Q230" s="4" t="str">
        <f t="shared" si="173"/>
        <v>1+176.944598381711i</v>
      </c>
      <c r="R230" s="4">
        <f t="shared" si="182"/>
        <v>176.94742410237282</v>
      </c>
      <c r="S230" s="4">
        <f t="shared" si="183"/>
        <v>1.5651449005127911</v>
      </c>
      <c r="T230" s="4" t="str">
        <f t="shared" si="174"/>
        <v>1+0.00414142568539406i</v>
      </c>
      <c r="U230" s="4">
        <f t="shared" si="184"/>
        <v>1.0000085756665829</v>
      </c>
      <c r="V230" s="4">
        <f t="shared" si="185"/>
        <v>4.1414020085456206E-3</v>
      </c>
      <c r="W230" t="str">
        <f t="shared" si="175"/>
        <v>1-0.00430211300198733i</v>
      </c>
      <c r="X230" s="4">
        <f t="shared" si="186"/>
        <v>1.0000092540453223</v>
      </c>
      <c r="Y230" s="4">
        <f t="shared" si="187"/>
        <v>-4.3020864608601245E-3</v>
      </c>
      <c r="Z230" t="str">
        <f t="shared" si="176"/>
        <v>0.99988878074696+0.0186300322072815i</v>
      </c>
      <c r="AA230" s="4">
        <f t="shared" si="188"/>
        <v>1.0000623240397004</v>
      </c>
      <c r="AB230" s="4">
        <f t="shared" si="189"/>
        <v>1.862994882696712E-2</v>
      </c>
      <c r="AC230" s="48" t="str">
        <f t="shared" si="190"/>
        <v>-0.0404737744976241-3.08020456374784i</v>
      </c>
      <c r="AD230" s="20">
        <f t="shared" si="191"/>
        <v>9.7723409820424081</v>
      </c>
      <c r="AE230" s="44">
        <f t="shared" si="192"/>
        <v>-90.752821107086945</v>
      </c>
      <c r="AF230" t="str">
        <f t="shared" si="177"/>
        <v>-0.979317078436135</v>
      </c>
      <c r="AG230" t="str">
        <f t="shared" si="193"/>
        <v>8282.85137078811i</v>
      </c>
      <c r="AH230">
        <f t="shared" si="194"/>
        <v>8282.8513707881102</v>
      </c>
      <c r="AI230">
        <f t="shared" si="195"/>
        <v>1.5707963267948966</v>
      </c>
      <c r="AJ230" t="str">
        <f t="shared" si="178"/>
        <v>-0.0619451255978001+8.11653171526269i</v>
      </c>
      <c r="AK230">
        <f t="shared" si="196"/>
        <v>8.1167680934871136</v>
      </c>
      <c r="AL230">
        <f t="shared" si="197"/>
        <v>1.5784281485024585</v>
      </c>
      <c r="AM230" t="str">
        <f t="shared" si="179"/>
        <v>1+1152.31028270404i</v>
      </c>
      <c r="AN230">
        <f t="shared" si="198"/>
        <v>1152.3107166148652</v>
      </c>
      <c r="AO230">
        <f t="shared" si="199"/>
        <v>1.5699285051986029</v>
      </c>
      <c r="AP230" t="str">
        <f t="shared" si="180"/>
        <v>1+7.78588028854084i</v>
      </c>
      <c r="AQ230">
        <f t="shared" si="200"/>
        <v>7.8498364229765185</v>
      </c>
      <c r="AR230">
        <f t="shared" si="201"/>
        <v>1.443058034709483</v>
      </c>
      <c r="AS230" s="42" t="str">
        <f t="shared" si="202"/>
        <v>-0.130541193442745+0.0178955181504593i</v>
      </c>
      <c r="AT230">
        <f t="shared" si="203"/>
        <v>-17.604189401562433</v>
      </c>
      <c r="AU230" s="44">
        <f t="shared" si="204"/>
        <v>172.19414129261889</v>
      </c>
      <c r="AV230" s="42" t="str">
        <f t="shared" si="181"/>
        <v>0.0604053515037294+0.401369280633293i</v>
      </c>
      <c r="AW230" s="20">
        <f t="shared" si="205"/>
        <v>-7.8318484195200266</v>
      </c>
      <c r="AX230" s="44">
        <f t="shared" si="206"/>
        <v>81.441320185531936</v>
      </c>
    </row>
    <row r="231" spans="14:50" x14ac:dyDescent="0.3">
      <c r="N231" s="8">
        <v>13</v>
      </c>
      <c r="O231" s="35">
        <f t="shared" si="207"/>
        <v>1348.9628825916541</v>
      </c>
      <c r="P231" s="34" t="str">
        <f t="shared" si="172"/>
        <v>545.10556621881</v>
      </c>
      <c r="Q231" s="4" t="str">
        <f t="shared" si="173"/>
        <v>1+181.066167545938i</v>
      </c>
      <c r="R231" s="4">
        <f t="shared" si="182"/>
        <v>181.06892894633711</v>
      </c>
      <c r="S231" s="4">
        <f t="shared" si="183"/>
        <v>1.5652735400342626</v>
      </c>
      <c r="T231" s="4" t="str">
        <f t="shared" si="174"/>
        <v>1+0.00423789188191525i</v>
      </c>
      <c r="U231" s="4">
        <f t="shared" si="184"/>
        <v>1.0000089798234828</v>
      </c>
      <c r="V231" s="4">
        <f t="shared" si="185"/>
        <v>4.2378665117273643E-3</v>
      </c>
      <c r="W231" t="str">
        <f t="shared" si="175"/>
        <v>1-0.00440232208693355i</v>
      </c>
      <c r="X231" s="4">
        <f t="shared" si="186"/>
        <v>1.0000096901729287</v>
      </c>
      <c r="Y231" s="4">
        <f t="shared" si="187"/>
        <v>-4.4022936476182497E-3</v>
      </c>
      <c r="Z231" t="str">
        <f t="shared" si="176"/>
        <v>0.999883539145049+0.0190639814036759i</v>
      </c>
      <c r="AA231" s="4">
        <f t="shared" si="188"/>
        <v>1.000065261490563</v>
      </c>
      <c r="AB231" s="4">
        <f t="shared" si="189"/>
        <v>1.9063892058047021E-2</v>
      </c>
      <c r="AC231" s="48" t="str">
        <f t="shared" si="190"/>
        <v>-0.0412571064571861-3.0100635169314i</v>
      </c>
      <c r="AD231" s="20">
        <f t="shared" si="191"/>
        <v>9.572329010658768</v>
      </c>
      <c r="AE231" s="44">
        <f t="shared" si="192"/>
        <v>-90.785269164407964</v>
      </c>
      <c r="AF231" t="str">
        <f t="shared" si="177"/>
        <v>-0.979317078436135</v>
      </c>
      <c r="AG231" t="str">
        <f t="shared" si="193"/>
        <v>8475.7837638305i</v>
      </c>
      <c r="AH231">
        <f t="shared" si="194"/>
        <v>8475.7837638305009</v>
      </c>
      <c r="AI231">
        <f t="shared" si="195"/>
        <v>1.5707963267948966</v>
      </c>
      <c r="AJ231" t="str">
        <f t="shared" si="178"/>
        <v>-0.11199305747695+8.30559002585279i</v>
      </c>
      <c r="AK231">
        <f t="shared" si="196"/>
        <v>8.3063450519749296</v>
      </c>
      <c r="AL231">
        <f t="shared" si="197"/>
        <v>1.5842795676422736</v>
      </c>
      <c r="AM231" t="str">
        <f t="shared" si="179"/>
        <v>1+1179.1510372241i</v>
      </c>
      <c r="AN231">
        <f t="shared" si="198"/>
        <v>1179.1514612579128</v>
      </c>
      <c r="AO231">
        <f t="shared" si="199"/>
        <v>1.5699482592202672</v>
      </c>
      <c r="AP231" t="str">
        <f t="shared" si="180"/>
        <v>1+7.96723673800069i</v>
      </c>
      <c r="AQ231">
        <f t="shared" si="200"/>
        <v>8.0297485165693629</v>
      </c>
      <c r="AR231">
        <f t="shared" si="201"/>
        <v>1.4459352413448585</v>
      </c>
      <c r="AS231" s="42" t="str">
        <f t="shared" si="202"/>
        <v>-0.130432028737127+0.0182733112547743i</v>
      </c>
      <c r="AT231">
        <f t="shared" si="203"/>
        <v>-17.607899415574582</v>
      </c>
      <c r="AU231" s="44">
        <f t="shared" si="204"/>
        <v>172.02486329080926</v>
      </c>
      <c r="AV231" s="42" t="str">
        <f t="shared" si="181"/>
        <v>0.0603850756365625+0.39185478719321i</v>
      </c>
      <c r="AW231" s="20">
        <f t="shared" si="205"/>
        <v>-8.0355704049158252</v>
      </c>
      <c r="AX231" s="44">
        <f t="shared" si="206"/>
        <v>81.239594126401272</v>
      </c>
    </row>
    <row r="232" spans="14:50" x14ac:dyDescent="0.3">
      <c r="N232" s="8">
        <v>14</v>
      </c>
      <c r="O232" s="35">
        <f t="shared" si="207"/>
        <v>1380.3842646028863</v>
      </c>
      <c r="P232" s="34" t="str">
        <f t="shared" si="172"/>
        <v>545.10556621881</v>
      </c>
      <c r="Q232" s="4" t="str">
        <f t="shared" si="173"/>
        <v>1+185.283740388891i</v>
      </c>
      <c r="R232" s="4">
        <f t="shared" si="182"/>
        <v>185.28643893306918</v>
      </c>
      <c r="S232" s="4">
        <f t="shared" si="183"/>
        <v>1.5653992515393533</v>
      </c>
      <c r="T232" s="4" t="str">
        <f t="shared" si="174"/>
        <v>1+0.00433660506480738i</v>
      </c>
      <c r="U232" s="4">
        <f t="shared" si="184"/>
        <v>1.0000094030275355</v>
      </c>
      <c r="V232" s="4">
        <f t="shared" si="185"/>
        <v>4.3365778801750894E-3</v>
      </c>
      <c r="W232" t="str">
        <f t="shared" si="175"/>
        <v>1-0.00450486534132189i</v>
      </c>
      <c r="X232" s="4">
        <f t="shared" si="186"/>
        <v>1.0000101468543925</v>
      </c>
      <c r="Y232" s="4">
        <f t="shared" si="187"/>
        <v>-4.5048348680632186E-3</v>
      </c>
      <c r="Z232" t="str">
        <f t="shared" si="176"/>
        <v>0.99987805051405+0.0195080385753522i</v>
      </c>
      <c r="AA232" s="4">
        <f t="shared" si="188"/>
        <v>1.0000683373994173</v>
      </c>
      <c r="AB232" s="4">
        <f t="shared" si="189"/>
        <v>1.9507942837528165E-2</v>
      </c>
      <c r="AC232" s="48" t="str">
        <f t="shared" si="190"/>
        <v>-0.0420051576453229-2.9415180561573i</v>
      </c>
      <c r="AD232" s="20">
        <f t="shared" si="191"/>
        <v>9.3723158998005864</v>
      </c>
      <c r="AE232" s="44">
        <f t="shared" si="192"/>
        <v>-90.818133572995279</v>
      </c>
      <c r="AF232" t="str">
        <f t="shared" si="177"/>
        <v>-0.979317078436135</v>
      </c>
      <c r="AG232" t="str">
        <f t="shared" si="193"/>
        <v>8673.21012961475i</v>
      </c>
      <c r="AH232">
        <f t="shared" si="194"/>
        <v>8673.2101296147503</v>
      </c>
      <c r="AI232">
        <f t="shared" si="195"/>
        <v>1.5707963267948966</v>
      </c>
      <c r="AJ232" t="str">
        <f t="shared" si="178"/>
        <v>-0.16439967571852+8.49905207021209i</v>
      </c>
      <c r="AK232">
        <f t="shared" si="196"/>
        <v>8.5006419372629001</v>
      </c>
      <c r="AL232">
        <f t="shared" si="197"/>
        <v>1.5901372103270899</v>
      </c>
      <c r="AM232" t="str">
        <f t="shared" si="179"/>
        <v>1+1206.616993232i</v>
      </c>
      <c r="AN232">
        <f t="shared" si="198"/>
        <v>1206.6174076136278</v>
      </c>
      <c r="AO232">
        <f t="shared" si="199"/>
        <v>1.5699675635861405</v>
      </c>
      <c r="AP232" t="str">
        <f t="shared" si="180"/>
        <v>1+8.15281752183789i</v>
      </c>
      <c r="AQ232">
        <f t="shared" si="200"/>
        <v>8.2139170646158188</v>
      </c>
      <c r="AR232">
        <f t="shared" si="201"/>
        <v>1.4487489642141564</v>
      </c>
      <c r="AS232" s="42" t="str">
        <f t="shared" si="202"/>
        <v>-0.130318118514577+0.018659422853242i</v>
      </c>
      <c r="AT232">
        <f t="shared" si="203"/>
        <v>-17.611767266983417</v>
      </c>
      <c r="AU232" s="44">
        <f t="shared" si="204"/>
        <v>171.85156559089447</v>
      </c>
      <c r="AV232" s="42" t="str">
        <f t="shared" si="181"/>
        <v>0.0603610623525322+0.382549306656554i</v>
      </c>
      <c r="AW232" s="20">
        <f t="shared" si="205"/>
        <v>-8.2394513671828307</v>
      </c>
      <c r="AX232" s="44">
        <f t="shared" si="206"/>
        <v>81.033432017899173</v>
      </c>
    </row>
    <row r="233" spans="14:50" x14ac:dyDescent="0.3">
      <c r="N233" s="8">
        <v>15</v>
      </c>
      <c r="O233" s="35">
        <f t="shared" si="207"/>
        <v>1412.5375446227545</v>
      </c>
      <c r="P233" s="34" t="str">
        <f t="shared" si="172"/>
        <v>545.10556621881</v>
      </c>
      <c r="Q233" s="4" t="str">
        <f t="shared" si="173"/>
        <v>1+189.599553123518i</v>
      </c>
      <c r="R233" s="4">
        <f t="shared" si="182"/>
        <v>189.60219024219558</v>
      </c>
      <c r="S233" s="4">
        <f t="shared" si="183"/>
        <v>1.5655221016660654</v>
      </c>
      <c r="T233" s="4" t="str">
        <f t="shared" si="174"/>
        <v>1+0.00443761757310661i</v>
      </c>
      <c r="U233" s="4">
        <f t="shared" si="184"/>
        <v>1.0000098461763889</v>
      </c>
      <c r="V233" s="4">
        <f t="shared" si="185"/>
        <v>4.4375884442637943E-3</v>
      </c>
      <c r="W233" t="str">
        <f t="shared" si="175"/>
        <v>1-0.00460979713494313i</v>
      </c>
      <c r="X233" s="4">
        <f t="shared" si="186"/>
        <v>1.0000106250583667</v>
      </c>
      <c r="Y233" s="4">
        <f t="shared" si="187"/>
        <v>-4.6097644822769073E-3</v>
      </c>
      <c r="Z233" t="str">
        <f t="shared" si="176"/>
        <v>0.999872303211842+0.0199624391673005i</v>
      </c>
      <c r="AA233" s="4">
        <f t="shared" si="188"/>
        <v>1.0000715582935362</v>
      </c>
      <c r="AB233" s="4">
        <f t="shared" si="189"/>
        <v>1.9962336579840465E-2</v>
      </c>
      <c r="AC233" s="48" t="str">
        <f t="shared" si="190"/>
        <v>-0.042719514494787-2.87453186373489i</v>
      </c>
      <c r="AD233" s="20">
        <f t="shared" si="191"/>
        <v>9.1723016216423296</v>
      </c>
      <c r="AE233" s="44">
        <f t="shared" si="192"/>
        <v>-90.851431755472035</v>
      </c>
      <c r="AF233" t="str">
        <f t="shared" si="177"/>
        <v>-0.979317078436135</v>
      </c>
      <c r="AG233" t="str">
        <f t="shared" si="193"/>
        <v>8875.23514621322i</v>
      </c>
      <c r="AH233">
        <f t="shared" si="194"/>
        <v>8875.2351462132192</v>
      </c>
      <c r="AI233">
        <f t="shared" si="195"/>
        <v>1.5707963267948966</v>
      </c>
      <c r="AJ233" t="str">
        <f t="shared" si="178"/>
        <v>-0.21927614178607+8.69702042447726i</v>
      </c>
      <c r="AK233">
        <f t="shared" si="196"/>
        <v>8.6997842668730136</v>
      </c>
      <c r="AL233">
        <f t="shared" si="197"/>
        <v>1.5960037754728429</v>
      </c>
      <c r="AM233" t="str">
        <f t="shared" si="179"/>
        <v>1+1234.72271354118i</v>
      </c>
      <c r="AN233">
        <f t="shared" si="198"/>
        <v>1234.7231184903337</v>
      </c>
      <c r="AO233">
        <f t="shared" si="199"/>
        <v>1.5699864285315959</v>
      </c>
      <c r="AP233" t="str">
        <f t="shared" si="180"/>
        <v>1+8.34272103744045i</v>
      </c>
      <c r="AQ233">
        <f t="shared" si="200"/>
        <v>8.4024397830958257</v>
      </c>
      <c r="AR233">
        <f t="shared" si="201"/>
        <v>1.4515005168843935</v>
      </c>
      <c r="AS233" s="42" t="str">
        <f t="shared" si="202"/>
        <v>-0.130199247536808+0.0190539668278456i</v>
      </c>
      <c r="AT233">
        <f t="shared" si="203"/>
        <v>-17.61580069732047</v>
      </c>
      <c r="AU233" s="44">
        <f t="shared" si="204"/>
        <v>171.67416940467217</v>
      </c>
      <c r="AV233" s="42" t="str">
        <f t="shared" si="181"/>
        <v>0.0603332834195488+0.373447909466776i</v>
      </c>
      <c r="AW233" s="20">
        <f t="shared" si="205"/>
        <v>-8.4434990756781332</v>
      </c>
      <c r="AX233" s="44">
        <f t="shared" si="206"/>
        <v>80.82273764920015</v>
      </c>
    </row>
    <row r="234" spans="14:50" x14ac:dyDescent="0.3">
      <c r="N234" s="8">
        <v>16</v>
      </c>
      <c r="O234" s="35">
        <f t="shared" si="207"/>
        <v>1445.4397707459289</v>
      </c>
      <c r="P234" s="34" t="str">
        <f t="shared" si="172"/>
        <v>545.10556621881</v>
      </c>
      <c r="Q234" s="4" t="str">
        <f t="shared" si="173"/>
        <v>1+194.015894050859i</v>
      </c>
      <c r="R234" s="4">
        <f t="shared" si="182"/>
        <v>194.01847114219342</v>
      </c>
      <c r="S234" s="4">
        <f t="shared" si="183"/>
        <v>1.5656421555363207</v>
      </c>
      <c r="T234" s="4" t="str">
        <f t="shared" si="174"/>
        <v>1+0.00454098296498192i</v>
      </c>
      <c r="U234" s="4">
        <f t="shared" si="184"/>
        <v>1.000010310209994</v>
      </c>
      <c r="V234" s="4">
        <f t="shared" si="185"/>
        <v>4.5409517528818832E-3</v>
      </c>
      <c r="W234" t="str">
        <f t="shared" si="175"/>
        <v>1-0.00471717310402321i</v>
      </c>
      <c r="X234" s="4">
        <f t="shared" si="186"/>
        <v>1.0000111257991551</v>
      </c>
      <c r="Y234" s="4">
        <f t="shared" si="187"/>
        <v>-4.7171381160820086E-3</v>
      </c>
      <c r="Z234" t="str">
        <f t="shared" si="176"/>
        <v>0.999866285047625+0.0204274241087294i</v>
      </c>
      <c r="AA234" s="4">
        <f t="shared" si="188"/>
        <v>1.0000749310080002</v>
      </c>
      <c r="AB234" s="4">
        <f t="shared" si="189"/>
        <v>2.0427314181443085E-2</v>
      </c>
      <c r="AC234" s="48" t="str">
        <f t="shared" si="190"/>
        <v>-0.0434016919931263-2.80906944698355i</v>
      </c>
      <c r="AD234" s="20">
        <f t="shared" si="191"/>
        <v>8.9722861458812826</v>
      </c>
      <c r="AE234" s="44">
        <f t="shared" si="192"/>
        <v>-90.8851813643995</v>
      </c>
      <c r="AF234" t="str">
        <f t="shared" si="177"/>
        <v>-0.979317078436135</v>
      </c>
      <c r="AG234" t="str">
        <f t="shared" si="193"/>
        <v>9081.96592996385i</v>
      </c>
      <c r="AH234">
        <f t="shared" si="194"/>
        <v>9081.9659299638497</v>
      </c>
      <c r="AI234">
        <f t="shared" si="195"/>
        <v>1.5707963267948966</v>
      </c>
      <c r="AJ234" t="str">
        <f t="shared" si="178"/>
        <v>-0.27673885602156+8.89960005409018i</v>
      </c>
      <c r="AK234">
        <f t="shared" si="196"/>
        <v>8.9039017019054114</v>
      </c>
      <c r="AL234">
        <f t="shared" si="197"/>
        <v>1.6018819609218036</v>
      </c>
      <c r="AM234" t="str">
        <f t="shared" si="179"/>
        <v>1+1263.48310017657i</v>
      </c>
      <c r="AN234">
        <f t="shared" si="198"/>
        <v>1263.4834959079587</v>
      </c>
      <c r="AO234">
        <f t="shared" si="199"/>
        <v>1.5700048640590232</v>
      </c>
      <c r="AP234" t="str">
        <f t="shared" si="180"/>
        <v>1+8.53704797416604i</v>
      </c>
      <c r="AQ234">
        <f t="shared" si="200"/>
        <v>8.5954166922385138</v>
      </c>
      <c r="AR234">
        <f t="shared" si="201"/>
        <v>1.4541911915188175</v>
      </c>
      <c r="AS234" s="42" t="str">
        <f t="shared" si="202"/>
        <v>-0.130075192414835+0.0194570552495612i</v>
      </c>
      <c r="AT234">
        <f t="shared" si="203"/>
        <v>-17.620007760746855</v>
      </c>
      <c r="AU234" s="44">
        <f t="shared" si="204"/>
        <v>171.49259476576162</v>
      </c>
      <c r="AV234" s="42" t="str">
        <f t="shared" si="181"/>
        <v>0.0603017028669486+0.364545779703985i</v>
      </c>
      <c r="AW234" s="20">
        <f t="shared" si="205"/>
        <v>-8.6477216148655671</v>
      </c>
      <c r="AX234" s="44">
        <f t="shared" si="206"/>
        <v>80.607413401362109</v>
      </c>
    </row>
    <row r="235" spans="14:50" x14ac:dyDescent="0.3">
      <c r="N235" s="8">
        <v>17</v>
      </c>
      <c r="O235" s="35">
        <f t="shared" si="207"/>
        <v>1479.1083881682086</v>
      </c>
      <c r="P235" s="34" t="str">
        <f t="shared" si="172"/>
        <v>545.10556621881</v>
      </c>
      <c r="Q235" s="4" t="str">
        <f t="shared" si="173"/>
        <v>1+198.535104773329i</v>
      </c>
      <c r="R235" s="4">
        <f t="shared" si="182"/>
        <v>198.53762320365564</v>
      </c>
      <c r="S235" s="4">
        <f t="shared" si="183"/>
        <v>1.5657594767904197</v>
      </c>
      <c r="T235" s="4" t="str">
        <f t="shared" si="174"/>
        <v>1+0.00464675604613228i</v>
      </c>
      <c r="U235" s="4">
        <f t="shared" si="184"/>
        <v>1.0000107961125981</v>
      </c>
      <c r="V235" s="4">
        <f t="shared" si="185"/>
        <v>4.6467226017840348E-3</v>
      </c>
      <c r="W235" t="str">
        <f t="shared" si="175"/>
        <v>1-0.0048270501807222i</v>
      </c>
      <c r="X235" s="4">
        <f t="shared" si="186"/>
        <v>1.0000116501388607</v>
      </c>
      <c r="Y235" s="4">
        <f t="shared" si="187"/>
        <v>-4.8270126904913406E-3</v>
      </c>
      <c r="Z235" t="str">
        <f t="shared" si="176"/>
        <v>0.999859983256067+0.0209032399408098i</v>
      </c>
      <c r="AA235" s="4">
        <f t="shared" si="188"/>
        <v>1.0000784627002253</v>
      </c>
      <c r="AB235" s="4">
        <f t="shared" si="189"/>
        <v>2.0903122148411127E-2</v>
      </c>
      <c r="AC235" s="48" t="str">
        <f t="shared" si="190"/>
        <v>-0.0440531368939781-2.7450961195299i</v>
      </c>
      <c r="AD235" s="20">
        <f t="shared" si="191"/>
        <v>8.7722694396731633</v>
      </c>
      <c r="AE235" s="44">
        <f t="shared" si="192"/>
        <v>-90.91940029162437</v>
      </c>
      <c r="AF235" t="str">
        <f t="shared" si="177"/>
        <v>-0.979317078436135</v>
      </c>
      <c r="AG235" t="str">
        <f t="shared" si="193"/>
        <v>9293.51209226457i</v>
      </c>
      <c r="AH235">
        <f t="shared" si="194"/>
        <v>9293.5120922645692</v>
      </c>
      <c r="AI235">
        <f t="shared" si="195"/>
        <v>1.5707963267948966</v>
      </c>
      <c r="AJ235" t="str">
        <f t="shared" si="178"/>
        <v>-0.33690970454602+9.1068983694519i</v>
      </c>
      <c r="AK235">
        <f t="shared" si="196"/>
        <v>9.1131282258367765</v>
      </c>
      <c r="AL235">
        <f t="shared" si="197"/>
        <v>1.6077744630822399</v>
      </c>
      <c r="AM235" t="str">
        <f t="shared" si="179"/>
        <v>1+1292.91340227585i</v>
      </c>
      <c r="AN235">
        <f t="shared" si="198"/>
        <v>1292.9137889992953</v>
      </c>
      <c r="AO235">
        <f t="shared" si="199"/>
        <v>1.5700228799431331</v>
      </c>
      <c r="AP235" t="str">
        <f t="shared" si="180"/>
        <v>1+8.73590136672872i</v>
      </c>
      <c r="AQ235">
        <f t="shared" si="200"/>
        <v>8.7929501698356454</v>
      </c>
      <c r="AR235">
        <f t="shared" si="201"/>
        <v>1.4568222588267892</v>
      </c>
      <c r="AS235" s="42" t="str">
        <f t="shared" si="202"/>
        <v>-0.129945721355954+0.0198687980533277i</v>
      </c>
      <c r="AT235">
        <f t="shared" si="203"/>
        <v>-17.624396837154958</v>
      </c>
      <c r="AU235" s="44">
        <f t="shared" si="204"/>
        <v>171.30676054768222</v>
      </c>
      <c r="AV235" s="42" t="str">
        <f t="shared" si="181"/>
        <v>0.0602662770875937+0.355838212563181i</v>
      </c>
      <c r="AW235" s="20">
        <f t="shared" si="205"/>
        <v>-8.8521273974817944</v>
      </c>
      <c r="AX235" s="44">
        <f t="shared" si="206"/>
        <v>80.387360256057832</v>
      </c>
    </row>
    <row r="236" spans="14:50" x14ac:dyDescent="0.3">
      <c r="N236" s="8">
        <v>18</v>
      </c>
      <c r="O236" s="35">
        <f t="shared" si="207"/>
        <v>1513.5612484362093</v>
      </c>
      <c r="P236" s="34" t="str">
        <f t="shared" si="172"/>
        <v>545.10556621881</v>
      </c>
      <c r="Q236" s="4" t="str">
        <f t="shared" si="173"/>
        <v>1+203.159581436273i</v>
      </c>
      <c r="R236" s="4">
        <f t="shared" si="182"/>
        <v>203.16204254082905</v>
      </c>
      <c r="S236" s="4">
        <f t="shared" si="183"/>
        <v>1.5658741276207182</v>
      </c>
      <c r="T236" s="4" t="str">
        <f t="shared" si="174"/>
        <v>1+0.00475499289884539i</v>
      </c>
      <c r="U236" s="4">
        <f t="shared" si="184"/>
        <v>1.0000113049148336</v>
      </c>
      <c r="V236" s="4">
        <f t="shared" si="185"/>
        <v>4.7549570626024742E-3</v>
      </c>
      <c r="W236" t="str">
        <f t="shared" si="175"/>
        <v>1-0.00493948662332058i</v>
      </c>
      <c r="X236" s="4">
        <f t="shared" si="186"/>
        <v>1.0000121991896409</v>
      </c>
      <c r="Y236" s="4">
        <f t="shared" si="187"/>
        <v>-4.9394464518409242E-3</v>
      </c>
      <c r="Z236" t="str">
        <f t="shared" si="176"/>
        <v>0.999853384470223+0.0213901389473938i</v>
      </c>
      <c r="AA236" s="4">
        <f t="shared" si="188"/>
        <v>1.0000821608651704</v>
      </c>
      <c r="AB236" s="4">
        <f t="shared" si="189"/>
        <v>2.1390012726986291E-2</v>
      </c>
      <c r="AC236" s="48" t="str">
        <f t="shared" si="190"/>
        <v>-0.0446752307838177-2.68257798302468i</v>
      </c>
      <c r="AD236" s="20">
        <f t="shared" si="191"/>
        <v>8.572251467561923</v>
      </c>
      <c r="AE236" s="44">
        <f t="shared" si="192"/>
        <v>-90.954106677752534</v>
      </c>
      <c r="AF236" t="str">
        <f t="shared" si="177"/>
        <v>-0.979317078436135</v>
      </c>
      <c r="AG236" t="str">
        <f t="shared" si="193"/>
        <v>9509.98579769078i</v>
      </c>
      <c r="AH236">
        <f t="shared" si="194"/>
        <v>9509.9857976907806</v>
      </c>
      <c r="AI236">
        <f t="shared" si="195"/>
        <v>1.5707963267948966</v>
      </c>
      <c r="AJ236" t="str">
        <f t="shared" si="178"/>
        <v>-0.39991631779643+9.31902528287315i</v>
      </c>
      <c r="AK236">
        <f t="shared" si="196"/>
        <v>9.3276023330794313</v>
      </c>
      <c r="AL236">
        <f t="shared" si="197"/>
        <v>1.6136839765400419</v>
      </c>
      <c r="AM236" t="str">
        <f t="shared" si="179"/>
        <v>1+1323.02922417474i</v>
      </c>
      <c r="AN236">
        <f t="shared" si="198"/>
        <v>1323.0296020952874</v>
      </c>
      <c r="AO236">
        <f t="shared" si="199"/>
        <v>1.5700404857361385</v>
      </c>
      <c r="AP236" t="str">
        <f t="shared" si="180"/>
        <v>1+8.93938664982936i</v>
      </c>
      <c r="AQ236">
        <f t="shared" si="200"/>
        <v>8.9951450057877</v>
      </c>
      <c r="AR236">
        <f t="shared" si="201"/>
        <v>1.459394968047532</v>
      </c>
      <c r="AS236" s="42" t="str">
        <f t="shared" si="202"/>
        <v>-0.129810593911648+0.0202893026893457i</v>
      </c>
      <c r="AT236">
        <f t="shared" si="203"/>
        <v>-17.628976645635767</v>
      </c>
      <c r="AU236" s="44">
        <f t="shared" si="204"/>
        <v>171.11658448547149</v>
      </c>
      <c r="AV236" s="42" t="str">
        <f t="shared" si="181"/>
        <v>0.0602269549265495+0.347320611910655i</v>
      </c>
      <c r="AW236" s="20">
        <f t="shared" si="205"/>
        <v>-9.0567251780738509</v>
      </c>
      <c r="AX236" s="44">
        <f t="shared" si="206"/>
        <v>80.162477807718957</v>
      </c>
    </row>
    <row r="237" spans="14:50" x14ac:dyDescent="0.3">
      <c r="N237" s="8">
        <v>19</v>
      </c>
      <c r="O237" s="35">
        <f t="shared" si="207"/>
        <v>1548.8166189124822</v>
      </c>
      <c r="P237" s="34" t="str">
        <f t="shared" si="172"/>
        <v>545.10556621881</v>
      </c>
      <c r="Q237" s="4" t="str">
        <f t="shared" si="173"/>
        <v>1+207.89177599843i</v>
      </c>
      <c r="R237" s="4">
        <f t="shared" si="182"/>
        <v>207.89418108206252</v>
      </c>
      <c r="S237" s="4">
        <f t="shared" si="183"/>
        <v>1.5659861688045407</v>
      </c>
      <c r="T237" s="4" t="str">
        <f t="shared" si="174"/>
        <v>1+0.00486575091173323i</v>
      </c>
      <c r="U237" s="4">
        <f t="shared" si="184"/>
        <v>1.000011837695902</v>
      </c>
      <c r="V237" s="4">
        <f t="shared" si="185"/>
        <v>4.8657125125316685E-3</v>
      </c>
      <c r="W237" t="str">
        <f t="shared" si="175"/>
        <v>1-0.00505454204710847i</v>
      </c>
      <c r="X237" s="4">
        <f t="shared" si="186"/>
        <v>1.000012774116064</v>
      </c>
      <c r="Y237" s="4">
        <f t="shared" si="187"/>
        <v>-5.0544990026221955E-3</v>
      </c>
      <c r="Z237" t="str">
        <f t="shared" si="176"/>
        <v>0.999846474693183+0.0218883792887797i</v>
      </c>
      <c r="AA237" s="4">
        <f t="shared" si="188"/>
        <v>1.0000860333512689</v>
      </c>
      <c r="AB237" s="4">
        <f t="shared" si="189"/>
        <v>2.1888244037161456E-2</v>
      </c>
      <c r="AC237" s="48" t="str">
        <f t="shared" si="190"/>
        <v>-0.0452692930106637-2.62148190927051i</v>
      </c>
      <c r="AD237" s="20">
        <f t="shared" si="191"/>
        <v>8.3722321914048088</v>
      </c>
      <c r="AE237" s="44">
        <f t="shared" si="192"/>
        <v>-90.989318921754474</v>
      </c>
      <c r="AF237" t="str">
        <f t="shared" si="177"/>
        <v>-0.979317078436135</v>
      </c>
      <c r="AG237" t="str">
        <f t="shared" si="193"/>
        <v>9731.50182346647i</v>
      </c>
      <c r="AH237">
        <f t="shared" si="194"/>
        <v>9731.5018234664694</v>
      </c>
      <c r="AI237">
        <f t="shared" si="195"/>
        <v>1.5707963267948966</v>
      </c>
      <c r="AJ237" t="str">
        <f t="shared" si="178"/>
        <v>-0.46589234124694+9.53609326685127i</v>
      </c>
      <c r="AK237">
        <f t="shared" si="196"/>
        <v>9.5474672278944563</v>
      </c>
      <c r="AL237">
        <f t="shared" si="197"/>
        <v>1.6196131936356772</v>
      </c>
      <c r="AM237" t="str">
        <f t="shared" si="179"/>
        <v>1+1353.84653368066i</v>
      </c>
      <c r="AN237">
        <f t="shared" si="198"/>
        <v>1353.8469029986879</v>
      </c>
      <c r="AO237">
        <f t="shared" si="199"/>
        <v>1.5700576907728208</v>
      </c>
      <c r="AP237" t="str">
        <f t="shared" si="180"/>
        <v>1+9.1476117140585i</v>
      </c>
      <c r="AQ237">
        <f t="shared" si="200"/>
        <v>9.2021084579122583</v>
      </c>
      <c r="AR237">
        <f t="shared" si="201"/>
        <v>1.4619105469651223</v>
      </c>
      <c r="AS237" s="42" t="str">
        <f t="shared" si="202"/>
        <v>-0.129669560727486+0.0207186737495903i</v>
      </c>
      <c r="AT237">
        <f t="shared" si="203"/>
        <v>-17.633756258307596</v>
      </c>
      <c r="AU237" s="44">
        <f t="shared" si="204"/>
        <v>170.92198320107303</v>
      </c>
      <c r="AV237" s="42" t="str">
        <f t="shared" si="181"/>
        <v>0.0601836777577654+0.338988487917396i</v>
      </c>
      <c r="AW237" s="20">
        <f t="shared" si="205"/>
        <v>-9.2615240669027816</v>
      </c>
      <c r="AX237" s="44">
        <f t="shared" si="206"/>
        <v>79.932664279318573</v>
      </c>
    </row>
    <row r="238" spans="14:50" x14ac:dyDescent="0.3">
      <c r="N238" s="8">
        <v>20</v>
      </c>
      <c r="O238" s="35">
        <f t="shared" si="207"/>
        <v>1584.8931924611156</v>
      </c>
      <c r="P238" s="34" t="str">
        <f t="shared" si="172"/>
        <v>545.10556621881</v>
      </c>
      <c r="Q238" s="4" t="str">
        <f t="shared" si="173"/>
        <v>1+212.734197531993i</v>
      </c>
      <c r="R238" s="4">
        <f t="shared" si="182"/>
        <v>212.73654786985009</v>
      </c>
      <c r="S238" s="4">
        <f t="shared" si="183"/>
        <v>1.5660956597363473</v>
      </c>
      <c r="T238" s="4" t="str">
        <f t="shared" si="174"/>
        <v>1+0.00497908881016032i</v>
      </c>
      <c r="U238" s="4">
        <f t="shared" si="184"/>
        <v>1.0000123955858644</v>
      </c>
      <c r="V238" s="4">
        <f t="shared" si="185"/>
        <v>4.9790476647020871E-3</v>
      </c>
      <c r="W238" t="str">
        <f t="shared" si="175"/>
        <v>1-0.00517227745599452i</v>
      </c>
      <c r="X238" s="4">
        <f t="shared" si="186"/>
        <v>1.0000133761375805</v>
      </c>
      <c r="Y238" s="4">
        <f t="shared" si="187"/>
        <v>-5.1722313330298132E-3</v>
      </c>
      <c r="Z238" t="str">
        <f t="shared" si="176"/>
        <v>0.999839239268383+0.0223982251385915i</v>
      </c>
      <c r="AA238" s="4">
        <f t="shared" si="188"/>
        <v>1.0000900883771113</v>
      </c>
      <c r="AB238" s="4">
        <f t="shared" si="189"/>
        <v>2.2398080209366782E-2</v>
      </c>
      <c r="AC238" s="48" t="str">
        <f t="shared" si="190"/>
        <v>-0.0458365834809216-2.56177552275103i</v>
      </c>
      <c r="AD238" s="20">
        <f t="shared" si="191"/>
        <v>8.1722115702910312</v>
      </c>
      <c r="AE238" s="44">
        <f t="shared" si="192"/>
        <v>-91.025055690707191</v>
      </c>
      <c r="AF238" t="str">
        <f t="shared" si="177"/>
        <v>-0.979317078436135</v>
      </c>
      <c r="AG238" t="str">
        <f t="shared" si="193"/>
        <v>9958.17762032063i</v>
      </c>
      <c r="AH238">
        <f t="shared" si="194"/>
        <v>9958.17762032063</v>
      </c>
      <c r="AI238">
        <f t="shared" si="195"/>
        <v>1.5707963267948966</v>
      </c>
      <c r="AJ238" t="str">
        <f t="shared" si="178"/>
        <v>-0.53497771888884+9.75821741370459i</v>
      </c>
      <c r="AK238">
        <f t="shared" si="196"/>
        <v>9.7728710342884924</v>
      </c>
      <c r="AL238">
        <f t="shared" si="197"/>
        <v>1.6255648039998321</v>
      </c>
      <c r="AM238" t="str">
        <f t="shared" si="179"/>
        <v>1+1385.38167053901i</v>
      </c>
      <c r="AN238">
        <f t="shared" si="198"/>
        <v>1385.3820314503353</v>
      </c>
      <c r="AO238">
        <f t="shared" si="199"/>
        <v>1.5700745041754773</v>
      </c>
      <c r="AP238" t="str">
        <f t="shared" si="180"/>
        <v>1+9.36068696310141i</v>
      </c>
      <c r="AQ238">
        <f t="shared" si="200"/>
        <v>9.4139503090454362</v>
      </c>
      <c r="AR238">
        <f t="shared" si="201"/>
        <v>1.4643702019522398</v>
      </c>
      <c r="AS238" s="42" t="str">
        <f t="shared" si="202"/>
        <v>-0.129522363296137+0.0211570125684099i</v>
      </c>
      <c r="AT238">
        <f t="shared" si="203"/>
        <v>-17.638745114504374</v>
      </c>
      <c r="AU238" s="44">
        <f t="shared" si="204"/>
        <v>170.7228722327323</v>
      </c>
      <c r="AV238" s="42" t="str">
        <f t="shared" si="181"/>
        <v>0.060136379550158+0.330837454768111i</v>
      </c>
      <c r="AW238" s="20">
        <f t="shared" si="205"/>
        <v>-9.4665335442133518</v>
      </c>
      <c r="AX238" s="44">
        <f t="shared" si="206"/>
        <v>79.697816542025109</v>
      </c>
    </row>
    <row r="239" spans="14:50" x14ac:dyDescent="0.3">
      <c r="N239" s="8">
        <v>21</v>
      </c>
      <c r="O239" s="35">
        <f t="shared" si="207"/>
        <v>1621.8100973589308</v>
      </c>
      <c r="P239" s="34" t="str">
        <f t="shared" si="172"/>
        <v>545.10556621881</v>
      </c>
      <c r="Q239" s="4" t="str">
        <f t="shared" si="173"/>
        <v>1+217.689413552958i</v>
      </c>
      <c r="R239" s="4">
        <f t="shared" si="182"/>
        <v>217.69171039116483</v>
      </c>
      <c r="S239" s="4">
        <f t="shared" si="183"/>
        <v>1.5662026584591728</v>
      </c>
      <c r="T239" s="4" t="str">
        <f t="shared" si="174"/>
        <v>1+0.00509506668738055i</v>
      </c>
      <c r="U239" s="4">
        <f t="shared" si="184"/>
        <v>1.0000129797680373</v>
      </c>
      <c r="V239" s="4">
        <f t="shared" si="185"/>
        <v>5.095022599258636E-3</v>
      </c>
      <c r="W239" t="str">
        <f t="shared" si="175"/>
        <v>1-0.0052927552748509i</v>
      </c>
      <c r="X239" s="4">
        <f t="shared" si="186"/>
        <v>1.0000140065311083</v>
      </c>
      <c r="Y239" s="4">
        <f t="shared" si="187"/>
        <v>-5.2927058532411878E-3</v>
      </c>
      <c r="Z239" t="str">
        <f t="shared" si="176"/>
        <v>0.999831662848519+0.0229199468238472i</v>
      </c>
      <c r="AA239" s="4">
        <f t="shared" si="188"/>
        <v>1.0000943345489177</v>
      </c>
      <c r="AB239" s="4">
        <f t="shared" si="189"/>
        <v>2.2919791524330699E-2</v>
      </c>
      <c r="AC239" s="48" t="str">
        <f t="shared" si="190"/>
        <v>-0.0463783053302921-2.50342718355292i</v>
      </c>
      <c r="AD239" s="20">
        <f t="shared" si="191"/>
        <v>7.9721895604546935</v>
      </c>
      <c r="AE239" s="44">
        <f t="shared" si="192"/>
        <v>-91.061335929677611</v>
      </c>
      <c r="AF239" t="str">
        <f t="shared" si="177"/>
        <v>-0.979317078436135</v>
      </c>
      <c r="AG239" t="str">
        <f t="shared" si="193"/>
        <v>10190.1333747611i</v>
      </c>
      <c r="AH239">
        <f t="shared" si="194"/>
        <v>10190.133374761101</v>
      </c>
      <c r="AI239">
        <f t="shared" si="195"/>
        <v>1.5707963267948966</v>
      </c>
      <c r="AJ239" t="str">
        <f t="shared" si="178"/>
        <v>-0.60731899007054+9.98551549659593i</v>
      </c>
      <c r="AK239">
        <f t="shared" si="196"/>
        <v>10.003967017561473</v>
      </c>
      <c r="AL239">
        <f t="shared" si="197"/>
        <v>1.6315414940410151</v>
      </c>
      <c r="AM239" t="str">
        <f t="shared" si="179"/>
        <v>1+1417.65135509676i</v>
      </c>
      <c r="AN239">
        <f t="shared" si="198"/>
        <v>1417.6517077927429</v>
      </c>
      <c r="AO239">
        <f t="shared" si="199"/>
        <v>1.5700909348587584</v>
      </c>
      <c r="AP239" t="str">
        <f t="shared" si="180"/>
        <v>1+9.57872537227546i</v>
      </c>
      <c r="AQ239">
        <f t="shared" si="200"/>
        <v>9.6307829254673596</v>
      </c>
      <c r="AR239">
        <f t="shared" si="201"/>
        <v>1.4667751180403417</v>
      </c>
      <c r="AS239" s="42" t="str">
        <f t="shared" si="202"/>
        <v>-0.129368733714808+0.0216044167960774i</v>
      </c>
      <c r="AT239">
        <f t="shared" si="203"/>
        <v>-17.643953035315498</v>
      </c>
      <c r="AU239" s="44">
        <f t="shared" si="204"/>
        <v>170.51916606865245</v>
      </c>
      <c r="AV239" s="42" t="str">
        <f t="shared" si="181"/>
        <v>0.0600849869245261+0.322863228444818i</v>
      </c>
      <c r="AW239" s="20">
        <f t="shared" si="205"/>
        <v>-9.671763474860807</v>
      </c>
      <c r="AX239" s="44">
        <f t="shared" si="206"/>
        <v>79.457830138974813</v>
      </c>
    </row>
    <row r="240" spans="14:50" x14ac:dyDescent="0.3">
      <c r="N240" s="8">
        <v>22</v>
      </c>
      <c r="O240" s="35">
        <f t="shared" si="207"/>
        <v>1659.5869074375626</v>
      </c>
      <c r="P240" s="34" t="str">
        <f t="shared" si="172"/>
        <v>545.10556621881</v>
      </c>
      <c r="Q240" s="4" t="str">
        <f t="shared" si="173"/>
        <v>1+222.76005138245i</v>
      </c>
      <c r="R240" s="4">
        <f t="shared" si="182"/>
        <v>222.76229593876911</v>
      </c>
      <c r="S240" s="4">
        <f t="shared" si="183"/>
        <v>1.5663072216953504</v>
      </c>
      <c r="T240" s="4" t="str">
        <f t="shared" si="174"/>
        <v>1+0.00521374603639965i</v>
      </c>
      <c r="U240" s="4">
        <f t="shared" si="184"/>
        <v>1.0000135914815018</v>
      </c>
      <c r="V240" s="4">
        <f t="shared" si="185"/>
        <v>5.2136987951605651E-3</v>
      </c>
      <c r="W240" t="str">
        <f t="shared" si="175"/>
        <v>1-0.00541603938261194i</v>
      </c>
      <c r="X240" s="4">
        <f t="shared" si="186"/>
        <v>1.0000146666337419</v>
      </c>
      <c r="Y240" s="4">
        <f t="shared" si="187"/>
        <v>-5.4159864264449837E-3</v>
      </c>
      <c r="Z240" t="str">
        <f t="shared" si="176"/>
        <v>0.999823729362986+0.0234538209682904i</v>
      </c>
      <c r="AA240" s="4">
        <f t="shared" si="188"/>
        <v>1.0000987808788302</v>
      </c>
      <c r="AB240" s="4">
        <f t="shared" si="189"/>
        <v>2.3453654556189443E-2</v>
      </c>
      <c r="AC240" s="48" t="str">
        <f t="shared" si="190"/>
        <v>-0.0468956074743997-2.44640597067218i</v>
      </c>
      <c r="AD240" s="20">
        <f t="shared" si="191"/>
        <v>7.7721661151820172</v>
      </c>
      <c r="AE240" s="44">
        <f t="shared" si="192"/>
        <v>-91.098178871753078</v>
      </c>
      <c r="AF240" t="str">
        <f t="shared" si="177"/>
        <v>-0.979317078436135</v>
      </c>
      <c r="AG240" t="str">
        <f t="shared" si="193"/>
        <v>10427.4920727993i</v>
      </c>
      <c r="AH240">
        <f t="shared" si="194"/>
        <v>10427.492072799299</v>
      </c>
      <c r="AI240">
        <f t="shared" si="195"/>
        <v>1.5707963267948966</v>
      </c>
      <c r="AJ240" t="str">
        <f t="shared" si="178"/>
        <v>-0.68306960032721+10.2181080319775i</v>
      </c>
      <c r="AK240">
        <f t="shared" si="196"/>
        <v>10.24091381821243</v>
      </c>
      <c r="AL240">
        <f t="shared" si="197"/>
        <v>1.6375459463783317</v>
      </c>
      <c r="AM240" t="str">
        <f t="shared" si="179"/>
        <v>1+1450.67269716784i</v>
      </c>
      <c r="AN240">
        <f t="shared" si="198"/>
        <v>1450.6730418354839</v>
      </c>
      <c r="AO240">
        <f t="shared" si="199"/>
        <v>1.5701069915343944</v>
      </c>
      <c r="AP240" t="str">
        <f t="shared" si="180"/>
        <v>1+9.80184254843136i</v>
      </c>
      <c r="AQ240">
        <f t="shared" si="200"/>
        <v>9.8527213166840042</v>
      </c>
      <c r="AR240">
        <f t="shared" si="201"/>
        <v>1.4691264590140729</v>
      </c>
      <c r="AS240" s="42" t="str">
        <f t="shared" si="202"/>
        <v>-0.129208394448513+0.0220609799441518i</v>
      </c>
      <c r="AT240">
        <f t="shared" si="203"/>
        <v>-17.649390238469866</v>
      </c>
      <c r="AU240" s="44">
        <f t="shared" si="204"/>
        <v>170.31077818517474</v>
      </c>
      <c r="AV240" s="42" t="str">
        <f t="shared" si="181"/>
        <v>0.0600294192027071+0.315061624583847i</v>
      </c>
      <c r="AW240" s="20">
        <f t="shared" si="205"/>
        <v>-9.8772241232878439</v>
      </c>
      <c r="AX240" s="44">
        <f t="shared" si="206"/>
        <v>79.212599313421649</v>
      </c>
    </row>
    <row r="241" spans="14:50" x14ac:dyDescent="0.3">
      <c r="N241" s="8">
        <v>23</v>
      </c>
      <c r="O241" s="35">
        <f t="shared" si="207"/>
        <v>1698.2436524617447</v>
      </c>
      <c r="P241" s="34" t="str">
        <f t="shared" si="172"/>
        <v>545.10556621881</v>
      </c>
      <c r="Q241" s="4" t="str">
        <f t="shared" si="173"/>
        <v>1+227.948799539761i</v>
      </c>
      <c r="R241" s="4">
        <f t="shared" si="182"/>
        <v>227.950993004238</v>
      </c>
      <c r="S241" s="4">
        <f t="shared" si="183"/>
        <v>1.5664094048765411</v>
      </c>
      <c r="T241" s="4" t="str">
        <f t="shared" si="174"/>
        <v>1+0.0053351897825793i</v>
      </c>
      <c r="U241" s="4">
        <f t="shared" si="184"/>
        <v>1.0000142320237329</v>
      </c>
      <c r="V241" s="4">
        <f t="shared" si="185"/>
        <v>5.3351391627185262E-3</v>
      </c>
      <c r="W241" t="str">
        <f t="shared" si="175"/>
        <v>1-0.00554219514614336i</v>
      </c>
      <c r="X241" s="4">
        <f t="shared" si="186"/>
        <v>1.0000153578455873</v>
      </c>
      <c r="Y241" s="4">
        <f t="shared" si="187"/>
        <v>-5.5421384026352015E-3</v>
      </c>
      <c r="Z241" t="str">
        <f t="shared" si="176"/>
        <v>0.9998154219838+0.0240001306390589i</v>
      </c>
      <c r="AA241" s="4">
        <f t="shared" si="188"/>
        <v>1.000103436804082</v>
      </c>
      <c r="AB241" s="4">
        <f t="shared" si="189"/>
        <v>2.3999952318917276E-2</v>
      </c>
      <c r="AC241" s="48" t="str">
        <f t="shared" si="190"/>
        <v>-0.0473895870445273-2.39068166569603i</v>
      </c>
      <c r="AD241" s="20">
        <f t="shared" si="191"/>
        <v>7.5721411847119811</v>
      </c>
      <c r="AE241" s="44">
        <f t="shared" si="192"/>
        <v>-91.135604048223612</v>
      </c>
      <c r="AF241" t="str">
        <f t="shared" si="177"/>
        <v>-0.979317078436135</v>
      </c>
      <c r="AG241" t="str">
        <f t="shared" si="193"/>
        <v>10670.3795651586i</v>
      </c>
      <c r="AH241">
        <f t="shared" si="194"/>
        <v>10670.379565158601</v>
      </c>
      <c r="AI241">
        <f t="shared" si="195"/>
        <v>1.5707963267948966</v>
      </c>
      <c r="AJ241" t="str">
        <f t="shared" si="178"/>
        <v>-0.76239022685923+10.4561183434902i</v>
      </c>
      <c r="AK241">
        <f t="shared" si="196"/>
        <v>10.483875698952307</v>
      </c>
      <c r="AL241">
        <f t="shared" si="197"/>
        <v>1.6435808392125486</v>
      </c>
      <c r="AM241" t="str">
        <f t="shared" si="179"/>
        <v>1+1484.46320510486i</v>
      </c>
      <c r="AN241">
        <f t="shared" si="198"/>
        <v>1484.4635419269123</v>
      </c>
      <c r="AO241">
        <f t="shared" si="199"/>
        <v>1.5701226827158143</v>
      </c>
      <c r="AP241" t="str">
        <f t="shared" si="180"/>
        <v>1+10.0301567912491i</v>
      </c>
      <c r="AQ241">
        <f t="shared" si="200"/>
        <v>10.079883196597095</v>
      </c>
      <c r="AR241">
        <f t="shared" si="201"/>
        <v>1.4714253675278346</v>
      </c>
      <c r="AS241" s="42" t="str">
        <f t="shared" si="202"/>
        <v>-0.129041058100689+0.0225267909015154i</v>
      </c>
      <c r="AT241">
        <f t="shared" si="203"/>
        <v>-17.655067353556483</v>
      </c>
      <c r="AU241" s="44">
        <f t="shared" si="204"/>
        <v>170.09762108975659</v>
      </c>
      <c r="AV241" s="42" t="str">
        <f t="shared" si="181"/>
        <v>0.0599695884504015+0.307428556405072i</v>
      </c>
      <c r="AW241" s="20">
        <f t="shared" si="205"/>
        <v>-10.082926168844503</v>
      </c>
      <c r="AX241" s="44">
        <f t="shared" si="206"/>
        <v>78.962017041532974</v>
      </c>
    </row>
    <row r="242" spans="14:50" x14ac:dyDescent="0.3">
      <c r="N242" s="8">
        <v>24</v>
      </c>
      <c r="O242" s="35">
        <f t="shared" si="207"/>
        <v>1737.8008287493772</v>
      </c>
      <c r="P242" s="34" t="str">
        <f t="shared" si="172"/>
        <v>545.10556621881</v>
      </c>
      <c r="Q242" s="4" t="str">
        <f t="shared" si="173"/>
        <v>1+233.258409167848i</v>
      </c>
      <c r="R242" s="4">
        <f t="shared" si="182"/>
        <v>233.26055270344187</v>
      </c>
      <c r="S242" s="4">
        <f t="shared" si="183"/>
        <v>1.5665092621730796</v>
      </c>
      <c r="T242" s="4" t="str">
        <f t="shared" si="174"/>
        <v>1+0.0054594623170013i</v>
      </c>
      <c r="U242" s="4">
        <f t="shared" si="184"/>
        <v>1.0000149027533494</v>
      </c>
      <c r="V242" s="4">
        <f t="shared" si="185"/>
        <v>5.459408076886909E-3</v>
      </c>
      <c r="W242" t="str">
        <f t="shared" si="175"/>
        <v>1-0.00567128945490093i</v>
      </c>
      <c r="X242" s="4">
        <f t="shared" si="186"/>
        <v>1.000016081632731</v>
      </c>
      <c r="Y242" s="4">
        <f t="shared" si="187"/>
        <v>-5.671228653189299E-3</v>
      </c>
      <c r="Z242" t="str">
        <f t="shared" si="176"/>
        <v>0.999806723089894+0.0245591654967717i</v>
      </c>
      <c r="AA242" s="4">
        <f t="shared" si="188"/>
        <v>1.0001083122070578</v>
      </c>
      <c r="AB242" s="4">
        <f t="shared" si="189"/>
        <v>2.4558974416158359E-2</v>
      </c>
      <c r="AC242" s="48" t="str">
        <f t="shared" si="190"/>
        <v>-0.0478612917136278-2.33622473685214i</v>
      </c>
      <c r="AD242" s="20">
        <f t="shared" si="191"/>
        <v>7.3721147161301239</v>
      </c>
      <c r="AE242" s="44">
        <f t="shared" si="192"/>
        <v>-91.173631298921819</v>
      </c>
      <c r="AF242" t="str">
        <f t="shared" si="177"/>
        <v>-0.979317078436135</v>
      </c>
      <c r="AG242" t="str">
        <f t="shared" si="193"/>
        <v>10918.9246340026i</v>
      </c>
      <c r="AH242">
        <f t="shared" si="194"/>
        <v>10918.9246340026</v>
      </c>
      <c r="AI242">
        <f t="shared" si="195"/>
        <v>1.5707963267948966</v>
      </c>
      <c r="AJ242" t="str">
        <f t="shared" si="178"/>
        <v>-0.84544911935022+10.6996726273518i</v>
      </c>
      <c r="AK242">
        <f t="shared" si="196"/>
        <v>10.733022805617784</v>
      </c>
      <c r="AL242">
        <f t="shared" si="197"/>
        <v>1.6496488456285359</v>
      </c>
      <c r="AM242" t="str">
        <f t="shared" si="179"/>
        <v>1+1519.04079508244i</v>
      </c>
      <c r="AN242">
        <f t="shared" si="198"/>
        <v>1519.041124237488</v>
      </c>
      <c r="AO242">
        <f t="shared" si="199"/>
        <v>1.5701380167226591</v>
      </c>
      <c r="AP242" t="str">
        <f t="shared" si="180"/>
        <v>1+10.2637891559625i</v>
      </c>
      <c r="AQ242">
        <f t="shared" si="200"/>
        <v>10.312389046096612</v>
      </c>
      <c r="AR242">
        <f t="shared" si="201"/>
        <v>1.4736729652425924</v>
      </c>
      <c r="AS242" s="42" t="str">
        <f t="shared" si="202"/>
        <v>-0.128866427192923+0.0230019334199708i</v>
      </c>
      <c r="AT242">
        <f t="shared" si="203"/>
        <v>-17.66099543756523</v>
      </c>
      <c r="AU242" s="44">
        <f t="shared" si="204"/>
        <v>169.87960636903628</v>
      </c>
      <c r="AV242" s="42" t="str">
        <f t="shared" si="181"/>
        <v>0.0599053995151352+0.299960032712471i</v>
      </c>
      <c r="AW242" s="20">
        <f t="shared" si="205"/>
        <v>-10.288880721435111</v>
      </c>
      <c r="AX242" s="44">
        <f t="shared" si="206"/>
        <v>78.705975070114434</v>
      </c>
    </row>
    <row r="243" spans="14:50" x14ac:dyDescent="0.3">
      <c r="N243" s="8">
        <v>25</v>
      </c>
      <c r="O243" s="35">
        <f t="shared" si="207"/>
        <v>1778.2794100389244</v>
      </c>
      <c r="P243" s="34" t="str">
        <f t="shared" si="172"/>
        <v>545.10556621881</v>
      </c>
      <c r="Q243" s="4" t="str">
        <f t="shared" si="173"/>
        <v>1+238.691695492017i</v>
      </c>
      <c r="R243" s="4">
        <f t="shared" si="182"/>
        <v>238.69379023521697</v>
      </c>
      <c r="S243" s="4">
        <f t="shared" si="183"/>
        <v>1.5666068465226559</v>
      </c>
      <c r="T243" s="4" t="str">
        <f t="shared" si="174"/>
        <v>1+0.0055866295306083i</v>
      </c>
      <c r="U243" s="4">
        <f t="shared" si="184"/>
        <v>1.0000156050929967</v>
      </c>
      <c r="V243" s="4">
        <f t="shared" si="185"/>
        <v>5.5865714113275946E-3</v>
      </c>
      <c r="W243" t="str">
        <f t="shared" si="175"/>
        <v>1-0.00580339075639589i</v>
      </c>
      <c r="X243" s="4">
        <f t="shared" si="186"/>
        <v>1.0000168395303508</v>
      </c>
      <c r="Y243" s="4">
        <f t="shared" si="187"/>
        <v>-5.8033256062473377E-3</v>
      </c>
      <c r="Z243" t="str">
        <f t="shared" si="176"/>
        <v>0.999797614229749+0.0251312219491099i</v>
      </c>
      <c r="AA243" s="4">
        <f t="shared" si="188"/>
        <v>1.0001134174363193</v>
      </c>
      <c r="AB243" s="4">
        <f t="shared" si="189"/>
        <v>2.513101719453379E-2</v>
      </c>
      <c r="AC243" s="48" t="str">
        <f t="shared" si="190"/>
        <v>-0.0483117219175257-2.28300632341741i</v>
      </c>
      <c r="AD243" s="20">
        <f t="shared" si="191"/>
        <v>7.1720866532565131</v>
      </c>
      <c r="AE243" s="44">
        <f t="shared" si="192"/>
        <v>-91.212280782725429</v>
      </c>
      <c r="AF243" t="str">
        <f t="shared" si="177"/>
        <v>-0.979317078436135</v>
      </c>
      <c r="AG243" t="str">
        <f t="shared" si="193"/>
        <v>11173.2590612166i</v>
      </c>
      <c r="AH243">
        <f t="shared" si="194"/>
        <v>11173.2590612166</v>
      </c>
      <c r="AI243">
        <f t="shared" si="195"/>
        <v>1.5707963267948966</v>
      </c>
      <c r="AJ243" t="str">
        <f t="shared" si="178"/>
        <v>-0.93242245684702+10.9489000192673i</v>
      </c>
      <c r="AK243">
        <f t="shared" si="196"/>
        <v>10.988531442824565</v>
      </c>
      <c r="AL243">
        <f t="shared" si="197"/>
        <v>1.6557526328220171</v>
      </c>
      <c r="AM243" t="str">
        <f t="shared" si="179"/>
        <v>1+1554.42380059645i</v>
      </c>
      <c r="AN243">
        <f t="shared" si="198"/>
        <v>1554.4241222590158</v>
      </c>
      <c r="AO243">
        <f t="shared" si="199"/>
        <v>1.5701530016851932</v>
      </c>
      <c r="AP243" t="str">
        <f t="shared" si="180"/>
        <v>1+10.5028635175436i</v>
      </c>
      <c r="AQ243">
        <f t="shared" si="200"/>
        <v>10.550362177107871</v>
      </c>
      <c r="AR243">
        <f t="shared" si="201"/>
        <v>1.4758703529810815</v>
      </c>
      <c r="AS243" s="42" t="str">
        <f t="shared" si="202"/>
        <v>-0.128684193955595+0.0234864855682943i</v>
      </c>
      <c r="AT243">
        <f t="shared" si="203"/>
        <v>-17.667185990736705</v>
      </c>
      <c r="AU243" s="44">
        <f t="shared" si="204"/>
        <v>169.6566447422824</v>
      </c>
      <c r="AV243" s="42" t="str">
        <f t="shared" si="181"/>
        <v>0.0598367500608313+0.2926521559649i</v>
      </c>
      <c r="AW243" s="20">
        <f t="shared" si="205"/>
        <v>-10.495099337480205</v>
      </c>
      <c r="AX243" s="44">
        <f t="shared" si="206"/>
        <v>78.444363959556952</v>
      </c>
    </row>
    <row r="244" spans="14:50" x14ac:dyDescent="0.3">
      <c r="N244" s="8">
        <v>26</v>
      </c>
      <c r="O244" s="35">
        <f t="shared" si="207"/>
        <v>1819.7008586099832</v>
      </c>
      <c r="P244" s="34" t="str">
        <f t="shared" si="172"/>
        <v>545.10556621881</v>
      </c>
      <c r="Q244" s="4" t="str">
        <f t="shared" si="173"/>
        <v>1+244.251539312591i</v>
      </c>
      <c r="R244" s="4">
        <f t="shared" si="182"/>
        <v>244.25358637401865</v>
      </c>
      <c r="S244" s="4">
        <f t="shared" si="183"/>
        <v>1.5667022096583454</v>
      </c>
      <c r="T244" s="4" t="str">
        <f t="shared" si="174"/>
        <v>1+0.00571675884914015i</v>
      </c>
      <c r="U244" s="4">
        <f t="shared" si="184"/>
        <v>1.0000163405323632</v>
      </c>
      <c r="V244" s="4">
        <f t="shared" si="185"/>
        <v>5.7166965732638273E-3</v>
      </c>
      <c r="W244" t="str">
        <f t="shared" si="175"/>
        <v>1-0.00593856909248677i</v>
      </c>
      <c r="X244" s="4">
        <f t="shared" si="186"/>
        <v>1.0000176331459691</v>
      </c>
      <c r="Y244" s="4">
        <f t="shared" si="187"/>
        <v>-5.9384992829113392E-3</v>
      </c>
      <c r="Z244" t="str">
        <f t="shared" si="176"/>
        <v>0.999788076082251+0.0257166033079762i</v>
      </c>
      <c r="AA244" s="4">
        <f t="shared" si="188"/>
        <v>1.0001187633286104</v>
      </c>
      <c r="AB244" s="4">
        <f t="shared" si="189"/>
        <v>2.5716383900507782E-2</v>
      </c>
      <c r="AC244" s="48" t="str">
        <f t="shared" si="190"/>
        <v>-0.048741832976015-2.23099822047793i</v>
      </c>
      <c r="AD244" s="20">
        <f t="shared" si="191"/>
        <v>6.9720569365261307</v>
      </c>
      <c r="AE244" s="44">
        <f t="shared" si="192"/>
        <v>-91.251572988228048</v>
      </c>
      <c r="AF244" t="str">
        <f t="shared" si="177"/>
        <v>-0.979317078436135</v>
      </c>
      <c r="AG244" t="str">
        <f t="shared" si="193"/>
        <v>11433.5176982803i</v>
      </c>
      <c r="AH244">
        <f t="shared" si="194"/>
        <v>11433.5176982803</v>
      </c>
      <c r="AI244">
        <f t="shared" si="195"/>
        <v>1.5707963267948966</v>
      </c>
      <c r="AJ244" t="str">
        <f t="shared" si="178"/>
        <v>-1.02349472145915+11.2039326628989i</v>
      </c>
      <c r="AK244">
        <f t="shared" si="196"/>
        <v>11.25058436525088</v>
      </c>
      <c r="AL244">
        <f t="shared" si="197"/>
        <v>1.6618948612435598</v>
      </c>
      <c r="AM244" t="str">
        <f t="shared" si="179"/>
        <v>1+1590.63098218476i</v>
      </c>
      <c r="AN244">
        <f t="shared" si="198"/>
        <v>1590.6312965253935</v>
      </c>
      <c r="AO244">
        <f t="shared" si="199"/>
        <v>1.5701676455486155</v>
      </c>
      <c r="AP244" t="str">
        <f t="shared" si="180"/>
        <v>1+10.7475066363835i</v>
      </c>
      <c r="AQ244">
        <f t="shared" si="200"/>
        <v>10.793928798130334</v>
      </c>
      <c r="AR244">
        <f t="shared" si="201"/>
        <v>1.4780186108997344</v>
      </c>
      <c r="AS244" s="42" t="str">
        <f t="shared" si="202"/>
        <v>-0.1284940401315+0.0239805191536915i</v>
      </c>
      <c r="AT244">
        <f t="shared" si="203"/>
        <v>-17.673650972701115</v>
      </c>
      <c r="AU244" s="44">
        <f t="shared" si="204"/>
        <v>169.42864612053691</v>
      </c>
      <c r="AV244" s="42" t="str">
        <f t="shared" si="181"/>
        <v>0.0597635306005256+0.285501120416129i</v>
      </c>
      <c r="AW244" s="20">
        <f t="shared" si="205"/>
        <v>-10.701594036174981</v>
      </c>
      <c r="AX244" s="44">
        <f t="shared" si="206"/>
        <v>78.177073132308834</v>
      </c>
    </row>
    <row r="245" spans="14:50" x14ac:dyDescent="0.3">
      <c r="N245" s="8">
        <v>27</v>
      </c>
      <c r="O245" s="35">
        <f t="shared" si="207"/>
        <v>1862.0871366628687</v>
      </c>
      <c r="P245" s="34" t="str">
        <f t="shared" si="172"/>
        <v>545.10556621881</v>
      </c>
      <c r="Q245" s="4" t="str">
        <f t="shared" si="173"/>
        <v>1+249.940888532361i</v>
      </c>
      <c r="R245" s="4">
        <f t="shared" si="182"/>
        <v>249.94288899735898</v>
      </c>
      <c r="S245" s="4">
        <f t="shared" si="183"/>
        <v>1.5667954021360029</v>
      </c>
      <c r="T245" s="4" t="str">
        <f t="shared" si="174"/>
        <v>1+0.0058499192688841i</v>
      </c>
      <c r="U245" s="4">
        <f t="shared" si="184"/>
        <v>1.0000171106313394</v>
      </c>
      <c r="V245" s="4">
        <f t="shared" si="185"/>
        <v>5.8498525391420348E-3</v>
      </c>
      <c r="W245" t="str">
        <f t="shared" si="175"/>
        <v>1-0.00607689613651679i</v>
      </c>
      <c r="X245" s="4">
        <f t="shared" si="186"/>
        <v>1.0000184641628642</v>
      </c>
      <c r="Y245" s="4">
        <f t="shared" si="187"/>
        <v>-6.0768213342836186E-3</v>
      </c>
      <c r="Z245" t="str">
        <f t="shared" si="176"/>
        <v>0.99977808841571+0.0263156199503161i</v>
      </c>
      <c r="AA245" s="4">
        <f t="shared" si="188"/>
        <v>1.0001243612319124</v>
      </c>
      <c r="AB245" s="4">
        <f t="shared" si="189"/>
        <v>2.6315384840894258E-2</v>
      </c>
      <c r="AC245" s="48" t="str">
        <f t="shared" si="190"/>
        <v>-0.0491525371183509-2.18017286403248i</v>
      </c>
      <c r="AD245" s="20">
        <f t="shared" si="191"/>
        <v>6.7720255028618794</v>
      </c>
      <c r="AE245" s="44">
        <f t="shared" si="192"/>
        <v>-91.291528744584141</v>
      </c>
      <c r="AF245" t="str">
        <f t="shared" si="177"/>
        <v>-0.979317078436135</v>
      </c>
      <c r="AG245" t="str">
        <f t="shared" si="193"/>
        <v>11699.8385377682i</v>
      </c>
      <c r="AH245">
        <f t="shared" si="194"/>
        <v>11699.838537768201</v>
      </c>
      <c r="AI245">
        <f t="shared" si="195"/>
        <v>1.5707963267948966</v>
      </c>
      <c r="AJ245" t="str">
        <f t="shared" si="178"/>
        <v>-1.11885908967017+11.4649057799299i</v>
      </c>
      <c r="AK245">
        <f t="shared" si="196"/>
        <v>11.519371085489329</v>
      </c>
      <c r="AL245">
        <f t="shared" si="197"/>
        <v>1.6680781836526011</v>
      </c>
      <c r="AM245" t="str">
        <f t="shared" si="179"/>
        <v>1+1627.68153737431i</v>
      </c>
      <c r="AN245">
        <f t="shared" si="198"/>
        <v>1627.6818445596784</v>
      </c>
      <c r="AO245">
        <f t="shared" si="199"/>
        <v>1.570181956077271</v>
      </c>
      <c r="AP245" t="str">
        <f t="shared" si="180"/>
        <v>1+10.9978482255021i</v>
      </c>
      <c r="AQ245">
        <f t="shared" si="200"/>
        <v>11.043218081301287</v>
      </c>
      <c r="AR245">
        <f t="shared" si="201"/>
        <v>1.4801187986757109</v>
      </c>
      <c r="AS245" s="42" t="str">
        <f t="shared" si="202"/>
        <v>-0.12829563679465+0.0244840991096395i</v>
      </c>
      <c r="AT245">
        <f t="shared" si="203"/>
        <v>-17.680402818885732</v>
      </c>
      <c r="AU245" s="44">
        <f t="shared" si="204"/>
        <v>169.19551967177316</v>
      </c>
      <c r="AV245" s="42" t="str">
        <f t="shared" si="181"/>
        <v>0.0596856245287893+0.278503210323167i</v>
      </c>
      <c r="AW245" s="20">
        <f t="shared" si="205"/>
        <v>-10.908377316023849</v>
      </c>
      <c r="AX245" s="44">
        <f t="shared" si="206"/>
        <v>77.903990927189014</v>
      </c>
    </row>
    <row r="246" spans="14:50" x14ac:dyDescent="0.3">
      <c r="N246" s="8">
        <v>28</v>
      </c>
      <c r="O246" s="35">
        <f t="shared" si="207"/>
        <v>1905.4607179632501</v>
      </c>
      <c r="P246" s="34" t="str">
        <f t="shared" si="172"/>
        <v>545.10556621881</v>
      </c>
      <c r="Q246" s="4" t="str">
        <f t="shared" si="173"/>
        <v>1+255.762759719592i</v>
      </c>
      <c r="R246" s="4">
        <f t="shared" si="182"/>
        <v>255.76471464879936</v>
      </c>
      <c r="S246" s="4">
        <f t="shared" si="183"/>
        <v>1.5668864733610353</v>
      </c>
      <c r="T246" s="4" t="str">
        <f t="shared" si="174"/>
        <v>1+0.0059861813932573i</v>
      </c>
      <c r="U246" s="4">
        <f t="shared" si="184"/>
        <v>1.0000179170233265</v>
      </c>
      <c r="V246" s="4">
        <f t="shared" si="185"/>
        <v>5.9861098911196328E-3</v>
      </c>
      <c r="W246" t="str">
        <f t="shared" si="175"/>
        <v>1-0.00621844523131567i</v>
      </c>
      <c r="X246" s="4">
        <f t="shared" si="186"/>
        <v>1.000019334343639</v>
      </c>
      <c r="Y246" s="4">
        <f t="shared" si="187"/>
        <v>-6.2183650793624472E-3</v>
      </c>
      <c r="Z246" t="str">
        <f t="shared" si="176"/>
        <v>0.999767630044947+0.0269285894826823i</v>
      </c>
      <c r="AA246" s="4">
        <f t="shared" si="188"/>
        <v>1.0001302230295896</v>
      </c>
      <c r="AB246" s="4">
        <f t="shared" si="189"/>
        <v>2.6928337547084038E-2</v>
      </c>
      <c r="AC246" s="48" t="str">
        <f t="shared" si="190"/>
        <v>-0.049544705417406-2.13050331643216i</v>
      </c>
      <c r="AD246" s="20">
        <f t="shared" si="191"/>
        <v>6.5719922855407917</v>
      </c>
      <c r="AE246" s="44">
        <f t="shared" si="192"/>
        <v>-91.33216923253292</v>
      </c>
      <c r="AF246" t="str">
        <f t="shared" si="177"/>
        <v>-0.979317078436135</v>
      </c>
      <c r="AG246" t="str">
        <f t="shared" si="193"/>
        <v>11972.3627865146i</v>
      </c>
      <c r="AH246">
        <f t="shared" si="194"/>
        <v>11972.362786514601</v>
      </c>
      <c r="AI246">
        <f t="shared" si="195"/>
        <v>1.5707963267948966</v>
      </c>
      <c r="AJ246" t="str">
        <f t="shared" si="178"/>
        <v>-1.21871784209082+11.7319577417613i</v>
      </c>
      <c r="AK246">
        <f t="shared" si="196"/>
        <v>11.795088199462667</v>
      </c>
      <c r="AL246">
        <f t="shared" si="197"/>
        <v>1.6743052440742276</v>
      </c>
      <c r="AM246" t="str">
        <f t="shared" si="179"/>
        <v>1+1665.59511085991i</v>
      </c>
      <c r="AN246">
        <f t="shared" si="198"/>
        <v>1665.5954110528869</v>
      </c>
      <c r="AO246">
        <f t="shared" si="199"/>
        <v>1.5701959408587676</v>
      </c>
      <c r="AP246" t="str">
        <f t="shared" si="180"/>
        <v>1+11.2540210193238i</v>
      </c>
      <c r="AQ246">
        <f t="shared" si="200"/>
        <v>11.298362231021889</v>
      </c>
      <c r="AR246">
        <f t="shared" si="201"/>
        <v>1.4821719557075559</v>
      </c>
      <c r="AS246" s="42" t="str">
        <f t="shared" si="202"/>
        <v>-0.128088644186656+0.0249972828491656i</v>
      </c>
      <c r="AT246">
        <f t="shared" si="203"/>
        <v>-17.687454457166243</v>
      </c>
      <c r="AU246" s="44">
        <f t="shared" si="204"/>
        <v>168.95717389240048</v>
      </c>
      <c r="AV246" s="42" t="str">
        <f t="shared" si="181"/>
        <v>0.0596029081554829+0.271654798221972i</v>
      </c>
      <c r="AW246" s="20">
        <f t="shared" si="205"/>
        <v>-11.115462171625449</v>
      </c>
      <c r="AX246" s="44">
        <f t="shared" si="206"/>
        <v>77.625004659867571</v>
      </c>
    </row>
    <row r="247" spans="14:50" x14ac:dyDescent="0.3">
      <c r="N247" s="8">
        <v>29</v>
      </c>
      <c r="O247" s="35">
        <f t="shared" si="207"/>
        <v>1949.8445997580463</v>
      </c>
      <c r="P247" s="34" t="str">
        <f t="shared" si="172"/>
        <v>545.10556621881</v>
      </c>
      <c r="Q247" s="4" t="str">
        <f t="shared" si="173"/>
        <v>1+261.720239707443i</v>
      </c>
      <c r="R247" s="4">
        <f t="shared" si="182"/>
        <v>261.7221501373574</v>
      </c>
      <c r="S247" s="4">
        <f t="shared" si="183"/>
        <v>1.566975471614565</v>
      </c>
      <c r="T247" s="4" t="str">
        <f t="shared" si="174"/>
        <v>1+0.0061256174702416i</v>
      </c>
      <c r="U247" s="4">
        <f t="shared" si="184"/>
        <v>1.0000187614187004</v>
      </c>
      <c r="V247" s="4">
        <f t="shared" si="185"/>
        <v>6.1255408543983555E-3</v>
      </c>
      <c r="W247" t="str">
        <f t="shared" si="175"/>
        <v>1-0.00636329142808696i</v>
      </c>
      <c r="X247" s="4">
        <f t="shared" si="186"/>
        <v>1.0000202455339586</v>
      </c>
      <c r="Y247" s="4">
        <f t="shared" si="187"/>
        <v>-6.3632055438156369E-3</v>
      </c>
      <c r="Z247" t="str">
        <f t="shared" si="176"/>
        <v>0.999756678786355+0.0275558369096339i</v>
      </c>
      <c r="AA247" s="4">
        <f t="shared" si="188"/>
        <v>1.0001363611656728</v>
      </c>
      <c r="AB247" s="4">
        <f t="shared" si="189"/>
        <v>2.7555566943082505E-2</v>
      </c>
      <c r="AC247" s="48" t="str">
        <f t="shared" si="190"/>
        <v>-0.0499191696366088-2.08196325214842i</v>
      </c>
      <c r="AD247" s="20">
        <f t="shared" si="191"/>
        <v>6.3719572140521041</v>
      </c>
      <c r="AE247" s="44">
        <f t="shared" si="192"/>
        <v>-91.373515995608017</v>
      </c>
      <c r="AF247" t="str">
        <f t="shared" si="177"/>
        <v>-0.979317078436135</v>
      </c>
      <c r="AG247" t="str">
        <f t="shared" si="193"/>
        <v>12251.2349404832i</v>
      </c>
      <c r="AH247">
        <f t="shared" si="194"/>
        <v>12251.2349404832</v>
      </c>
      <c r="AI247">
        <f t="shared" si="195"/>
        <v>1.5707963267948966</v>
      </c>
      <c r="AJ247" t="str">
        <f t="shared" si="178"/>
        <v>-1.32328279252314+12.0052301428783i</v>
      </c>
      <c r="AK247">
        <f t="shared" si="196"/>
        <v>12.07793973045327</v>
      </c>
      <c r="AL247">
        <f t="shared" si="197"/>
        <v>1.6805786766513875</v>
      </c>
      <c r="AM247" t="str">
        <f t="shared" si="179"/>
        <v>1+1704.39180492002i</v>
      </c>
      <c r="AN247">
        <f t="shared" si="198"/>
        <v>1704.3920982797717</v>
      </c>
      <c r="AO247">
        <f t="shared" si="199"/>
        <v>1.5702096073080001</v>
      </c>
      <c r="AP247" t="str">
        <f t="shared" si="180"/>
        <v>1+11.5161608440542i</v>
      </c>
      <c r="AQ247">
        <f t="shared" si="200"/>
        <v>11.559496554181205</v>
      </c>
      <c r="AR247">
        <f t="shared" si="201"/>
        <v>1.4841791013280732</v>
      </c>
      <c r="AS247" s="42" t="str">
        <f t="shared" si="202"/>
        <v>-0.127872711573249+0.0255201195826859i</v>
      </c>
      <c r="AT247">
        <f t="shared" si="203"/>
        <v>-17.694819324735946</v>
      </c>
      <c r="AU247" s="44">
        <f t="shared" si="204"/>
        <v>168.71351668545509</v>
      </c>
      <c r="AV247" s="42" t="str">
        <f t="shared" si="181"/>
        <v>0.0595152507425035+0.264952343269484i</v>
      </c>
      <c r="AW247" s="20">
        <f t="shared" si="205"/>
        <v>-11.322862110683829</v>
      </c>
      <c r="AX247" s="44">
        <f t="shared" si="206"/>
        <v>77.340000689847074</v>
      </c>
    </row>
    <row r="248" spans="14:50" x14ac:dyDescent="0.3">
      <c r="N248" s="8">
        <v>30</v>
      </c>
      <c r="O248" s="35">
        <f t="shared" si="207"/>
        <v>1995.2623149688804</v>
      </c>
      <c r="P248" s="34" t="str">
        <f t="shared" si="172"/>
        <v>545.10556621881</v>
      </c>
      <c r="Q248" s="4" t="str">
        <f t="shared" si="173"/>
        <v>1+267.816487230666i</v>
      </c>
      <c r="R248" s="4">
        <f t="shared" si="182"/>
        <v>267.81835417419296</v>
      </c>
      <c r="S248" s="4">
        <f t="shared" si="183"/>
        <v>1.5670624440790015</v>
      </c>
      <c r="T248" s="4" t="str">
        <f t="shared" si="174"/>
        <v>1+0.0062683014306908i</v>
      </c>
      <c r="U248" s="4">
        <f t="shared" si="184"/>
        <v>1.000019645608438</v>
      </c>
      <c r="V248" s="4">
        <f t="shared" si="185"/>
        <v>6.2682193354227818E-3</v>
      </c>
      <c r="W248" t="str">
        <f t="shared" si="175"/>
        <v>1-0.00651151152620158i</v>
      </c>
      <c r="X248" s="4">
        <f t="shared" si="186"/>
        <v>1.000021199666465</v>
      </c>
      <c r="Y248" s="4">
        <f t="shared" si="187"/>
        <v>-6.511419499652206E-3</v>
      </c>
      <c r="Z248" t="str">
        <f t="shared" si="176"/>
        <v>0.999745211410846+0.0281976948060597i</v>
      </c>
      <c r="AA248" s="4">
        <f t="shared" si="188"/>
        <v>1.0001427886713441</v>
      </c>
      <c r="AB248" s="4">
        <f t="shared" si="189"/>
        <v>2.8197405517445304E-2</v>
      </c>
      <c r="AC248" s="48" t="str">
        <f t="shared" si="190"/>
        <v>-0.0502767239935646-2.03452694386219i</v>
      </c>
      <c r="AD248" s="20">
        <f t="shared" si="191"/>
        <v>6.1719202139468976</v>
      </c>
      <c r="AE248" s="44">
        <f t="shared" si="192"/>
        <v>-91.415590951538121</v>
      </c>
      <c r="AF248" t="str">
        <f t="shared" si="177"/>
        <v>-0.979317078436135</v>
      </c>
      <c r="AG248" t="str">
        <f t="shared" si="193"/>
        <v>12536.6028613816i</v>
      </c>
      <c r="AH248">
        <f t="shared" si="194"/>
        <v>12536.6028613816</v>
      </c>
      <c r="AI248">
        <f t="shared" si="195"/>
        <v>1.5707963267948966</v>
      </c>
      <c r="AJ248" t="str">
        <f t="shared" si="178"/>
        <v>-1.43277573724641+12.2848678759251i</v>
      </c>
      <c r="AK248">
        <f t="shared" si="196"/>
        <v>12.368137492855523</v>
      </c>
      <c r="AL248">
        <f t="shared" si="197"/>
        <v>1.6869011043852082</v>
      </c>
      <c r="AM248" t="str">
        <f t="shared" si="179"/>
        <v>1+1744.09219007541i</v>
      </c>
      <c r="AN248">
        <f t="shared" si="198"/>
        <v>1744.0924767574795</v>
      </c>
      <c r="AO248">
        <f t="shared" si="199"/>
        <v>1.57022296267108</v>
      </c>
      <c r="AP248" t="str">
        <f t="shared" si="180"/>
        <v>1+11.7844066896987i</v>
      </c>
      <c r="AQ248">
        <f t="shared" si="200"/>
        <v>11.826759532019558</v>
      </c>
      <c r="AR248">
        <f t="shared" si="201"/>
        <v>1.4861412350281495</v>
      </c>
      <c r="AS248" s="42" t="str">
        <f t="shared" si="202"/>
        <v>-0.12764747712381+0.0260526495996503i</v>
      </c>
      <c r="AT248">
        <f t="shared" si="203"/>
        <v>-17.702511385155283</v>
      </c>
      <c r="AU248" s="44">
        <f t="shared" si="204"/>
        <v>168.46445544582383</v>
      </c>
      <c r="AV248" s="42" t="str">
        <f t="shared" si="181"/>
        <v>0.0594225145453177+0.258392389651201i</v>
      </c>
      <c r="AW248" s="20">
        <f t="shared" si="205"/>
        <v>-11.530591171208393</v>
      </c>
      <c r="AX248" s="44">
        <f t="shared" si="206"/>
        <v>77.048864494285695</v>
      </c>
    </row>
    <row r="249" spans="14:50" x14ac:dyDescent="0.3">
      <c r="N249" s="8">
        <v>31</v>
      </c>
      <c r="O249" s="35">
        <f t="shared" si="207"/>
        <v>2041.7379446695318</v>
      </c>
      <c r="P249" s="34" t="str">
        <f t="shared" si="172"/>
        <v>545.10556621881</v>
      </c>
      <c r="Q249" s="4" t="str">
        <f t="shared" si="173"/>
        <v>1+274.054734600388i</v>
      </c>
      <c r="R249" s="4">
        <f t="shared" si="182"/>
        <v>274.05655904737819</v>
      </c>
      <c r="S249" s="4">
        <f t="shared" si="183"/>
        <v>1.5671474368630309</v>
      </c>
      <c r="T249" s="4" t="str">
        <f t="shared" si="174"/>
        <v>1+0.0064143089275293i</v>
      </c>
      <c r="U249" s="4">
        <f t="shared" si="184"/>
        <v>1.0000205714679162</v>
      </c>
      <c r="V249" s="4">
        <f t="shared" si="185"/>
        <v>6.4142209609624823E-3</v>
      </c>
      <c r="W249" t="str">
        <f t="shared" si="175"/>
        <v>1-0.00666318411391742i</v>
      </c>
      <c r="X249" s="4">
        <f t="shared" si="186"/>
        <v>1.0000221987648754</v>
      </c>
      <c r="Y249" s="4">
        <f t="shared" si="187"/>
        <v>-6.6630855058113919E-3</v>
      </c>
      <c r="Z249" t="str">
        <f t="shared" si="176"/>
        <v>0.999733203594579+0.0288545034935122i</v>
      </c>
      <c r="AA249" s="4">
        <f t="shared" si="188"/>
        <v>1.0001495191926739</v>
      </c>
      <c r="AB249" s="4">
        <f t="shared" si="189"/>
        <v>2.8854193499196743E-2</v>
      </c>
      <c r="AC249" s="48" t="str">
        <f t="shared" si="190"/>
        <v>-0.0506181268440879-1.98816924886722i</v>
      </c>
      <c r="AD249" s="20">
        <f t="shared" si="191"/>
        <v>5.971881206680024</v>
      </c>
      <c r="AE249" s="44">
        <f t="shared" si="192"/>
        <v>-91.458416403844396</v>
      </c>
      <c r="AF249" t="str">
        <f t="shared" si="177"/>
        <v>-0.979317078436135</v>
      </c>
      <c r="AG249" t="str">
        <f t="shared" si="193"/>
        <v>12828.6178550586i</v>
      </c>
      <c r="AH249">
        <f t="shared" si="194"/>
        <v>12828.617855058599</v>
      </c>
      <c r="AI249">
        <f t="shared" si="195"/>
        <v>1.5707963267948966</v>
      </c>
      <c r="AJ249" t="str">
        <f t="shared" si="178"/>
        <v>-1.54742892547627+12.5710192085291i</v>
      </c>
      <c r="AK249">
        <f t="shared" si="196"/>
        <v>12.665901476823837</v>
      </c>
      <c r="AL249">
        <f t="shared" si="197"/>
        <v>1.6932751377558417</v>
      </c>
      <c r="AM249" t="str">
        <f t="shared" si="179"/>
        <v>1+1784.71731599575i</v>
      </c>
      <c r="AN249">
        <f t="shared" si="198"/>
        <v>1784.7175961521402</v>
      </c>
      <c r="AO249">
        <f t="shared" si="199"/>
        <v>1.5702360140291789</v>
      </c>
      <c r="AP249" t="str">
        <f t="shared" si="180"/>
        <v>1+12.0589007837551i</v>
      </c>
      <c r="AQ249">
        <f t="shared" si="200"/>
        <v>12.100292893663747</v>
      </c>
      <c r="AR249">
        <f t="shared" si="201"/>
        <v>1.4880593366902626</v>
      </c>
      <c r="AS249" s="42" t="str">
        <f t="shared" si="202"/>
        <v>-0.127412567816798+0.0265949035133011i</v>
      </c>
      <c r="AT249">
        <f t="shared" si="203"/>
        <v>-17.71054514555312</v>
      </c>
      <c r="AU249" s="44">
        <f t="shared" si="204"/>
        <v>168.20989715286302</v>
      </c>
      <c r="AV249" s="42" t="str">
        <f t="shared" si="181"/>
        <v>0.0593245548610177+0.251971565053124i</v>
      </c>
      <c r="AW249" s="20">
        <f t="shared" si="205"/>
        <v>-11.738663938873113</v>
      </c>
      <c r="AX249" s="44">
        <f t="shared" si="206"/>
        <v>76.751480749018583</v>
      </c>
    </row>
    <row r="250" spans="14:50" x14ac:dyDescent="0.3">
      <c r="N250" s="8">
        <v>32</v>
      </c>
      <c r="O250" s="35">
        <f t="shared" si="207"/>
        <v>2089.2961308540398</v>
      </c>
      <c r="P250" s="34" t="str">
        <f t="shared" si="172"/>
        <v>545.10556621881</v>
      </c>
      <c r="Q250" s="4" t="str">
        <f t="shared" si="173"/>
        <v>1+280.438289417941i</v>
      </c>
      <c r="R250" s="4">
        <f t="shared" si="182"/>
        <v>280.4400723357146</v>
      </c>
      <c r="S250" s="4">
        <f t="shared" si="183"/>
        <v>1.5672304950260374</v>
      </c>
      <c r="T250" s="4" t="str">
        <f t="shared" si="174"/>
        <v>1+0.00656371737586465i</v>
      </c>
      <c r="U250" s="4">
        <f t="shared" si="184"/>
        <v>1.0000215409608886</v>
      </c>
      <c r="V250" s="4">
        <f t="shared" si="185"/>
        <v>6.5636231180997463E-3</v>
      </c>
      <c r="W250" t="str">
        <f t="shared" si="175"/>
        <v>1-0.00681838961004818i</v>
      </c>
      <c r="X250" s="4">
        <f t="shared" si="186"/>
        <v>1.0000232449482733</v>
      </c>
      <c r="Y250" s="4">
        <f t="shared" si="187"/>
        <v>-6.8182839496915646E-3</v>
      </c>
      <c r="Z250" t="str">
        <f t="shared" si="176"/>
        <v>0.999720629867366+0.0295266112206518i</v>
      </c>
      <c r="AA250" s="4">
        <f t="shared" si="188"/>
        <v>1.0001565670196733</v>
      </c>
      <c r="AB250" s="4">
        <f t="shared" si="189"/>
        <v>2.952627903782843E-2</v>
      </c>
      <c r="AC250" s="48" t="str">
        <f t="shared" si="190"/>
        <v>-0.0509441022902301-1.94286559578033i</v>
      </c>
      <c r="AD250" s="20">
        <f t="shared" si="191"/>
        <v>5.7718401094427376</v>
      </c>
      <c r="AE250" s="44">
        <f t="shared" si="192"/>
        <v>-91.502015053641358</v>
      </c>
      <c r="AF250" t="str">
        <f t="shared" si="177"/>
        <v>-0.979317078436135</v>
      </c>
      <c r="AG250" t="str">
        <f t="shared" si="193"/>
        <v>13127.4347517293i</v>
      </c>
      <c r="AH250">
        <f t="shared" si="194"/>
        <v>13127.434751729301</v>
      </c>
      <c r="AI250">
        <f t="shared" si="195"/>
        <v>1.5707963267948966</v>
      </c>
      <c r="AJ250" t="str">
        <f t="shared" si="178"/>
        <v>-1.66748555199686+12.8638358619145i</v>
      </c>
      <c r="AK250">
        <f t="shared" si="196"/>
        <v>12.971460255052083</v>
      </c>
      <c r="AL250">
        <f t="shared" si="197"/>
        <v>1.6997033732165396</v>
      </c>
      <c r="AM250" t="str">
        <f t="shared" si="179"/>
        <v>1+1826.28872266058i</v>
      </c>
      <c r="AN250">
        <f t="shared" si="198"/>
        <v>1826.288996439833</v>
      </c>
      <c r="AO250">
        <f t="shared" si="199"/>
        <v>1.5702487683022817</v>
      </c>
      <c r="AP250" t="str">
        <f t="shared" si="180"/>
        <v>1+12.3397886666256i</v>
      </c>
      <c r="AQ250">
        <f t="shared" si="200"/>
        <v>12.380241691379922</v>
      </c>
      <c r="AR250">
        <f t="shared" si="201"/>
        <v>1.489934366830592</v>
      </c>
      <c r="AS250" s="42" t="str">
        <f t="shared" si="202"/>
        <v>-0.127167599374417+0.0271469014680632i</v>
      </c>
      <c r="AT250">
        <f t="shared" si="203"/>
        <v>-17.718935673930119</v>
      </c>
      <c r="AU250" s="44">
        <f t="shared" si="204"/>
        <v>167.94974847076898</v>
      </c>
      <c r="AV250" s="42" t="str">
        <f t="shared" si="181"/>
        <v>0.0592212200848718+0.245686579197279i</v>
      </c>
      <c r="AW250" s="20">
        <f t="shared" si="205"/>
        <v>-11.947095564487389</v>
      </c>
      <c r="AX250" s="44">
        <f t="shared" si="206"/>
        <v>76.447733417127594</v>
      </c>
    </row>
    <row r="251" spans="14:50" x14ac:dyDescent="0.3">
      <c r="N251" s="8">
        <v>33</v>
      </c>
      <c r="O251" s="35">
        <f t="shared" si="207"/>
        <v>2137.9620895022344</v>
      </c>
      <c r="P251" s="34" t="str">
        <f t="shared" si="172"/>
        <v>545.10556621881</v>
      </c>
      <c r="Q251" s="4" t="str">
        <f t="shared" si="173"/>
        <v>1+286.97053632858i</v>
      </c>
      <c r="R251" s="4">
        <f t="shared" si="182"/>
        <v>286.97227866243952</v>
      </c>
      <c r="S251" s="4">
        <f t="shared" si="183"/>
        <v>1.5673116626019721</v>
      </c>
      <c r="T251" s="4" t="str">
        <f t="shared" si="174"/>
        <v>1+0.0067166059940337i</v>
      </c>
      <c r="U251" s="4">
        <f t="shared" si="184"/>
        <v>1.0000225561436498</v>
      </c>
      <c r="V251" s="4">
        <f t="shared" si="185"/>
        <v>6.716504995141973E-3</v>
      </c>
      <c r="W251" t="str">
        <f t="shared" si="175"/>
        <v>1-0.00697721030660219i</v>
      </c>
      <c r="X251" s="4">
        <f t="shared" si="186"/>
        <v>1.0000243404356028</v>
      </c>
      <c r="Y251" s="4">
        <f t="shared" si="187"/>
        <v>-6.9770970896391102E-3</v>
      </c>
      <c r="Z251" t="str">
        <f t="shared" si="176"/>
        <v>0.999707463558646+0.0302143743478912i</v>
      </c>
      <c r="AA251" s="4">
        <f t="shared" si="188"/>
        <v>1.0001639471167194</v>
      </c>
      <c r="AB251" s="4">
        <f t="shared" si="189"/>
        <v>3.021401838746593E-2</v>
      </c>
      <c r="AC251" s="48" t="str">
        <f t="shared" si="190"/>
        <v>-0.0512553417156926-1.89859197155198i</v>
      </c>
      <c r="AD251" s="20">
        <f t="shared" si="191"/>
        <v>5.571796834986797</v>
      </c>
      <c r="AE251" s="44">
        <f t="shared" si="192"/>
        <v>-91.546410011646671</v>
      </c>
      <c r="AF251" t="str">
        <f t="shared" si="177"/>
        <v>-0.979317078436135</v>
      </c>
      <c r="AG251" t="str">
        <f t="shared" si="193"/>
        <v>13433.2119880674i</v>
      </c>
      <c r="AH251">
        <f t="shared" si="194"/>
        <v>13433.2119880674</v>
      </c>
      <c r="AI251">
        <f t="shared" si="195"/>
        <v>1.5707963267948966</v>
      </c>
      <c r="AJ251" t="str">
        <f t="shared" si="178"/>
        <v>-1.79320027300922+13.163473091347i</v>
      </c>
      <c r="AK251">
        <f t="shared" si="196"/>
        <v>13.285051412988093</v>
      </c>
      <c r="AL251">
        <f t="shared" si="197"/>
        <v>1.706188391553358</v>
      </c>
      <c r="AM251" t="str">
        <f t="shared" si="179"/>
        <v>1+1868.82845177994i</v>
      </c>
      <c r="AN251">
        <f t="shared" si="198"/>
        <v>1868.8287193272174</v>
      </c>
      <c r="AO251">
        <f t="shared" si="199"/>
        <v>1.5702612322528557</v>
      </c>
      <c r="AP251" t="str">
        <f t="shared" si="180"/>
        <v>1+12.6272192687834i</v>
      </c>
      <c r="AQ251">
        <f t="shared" si="200"/>
        <v>12.666754377579712</v>
      </c>
      <c r="AR251">
        <f t="shared" si="201"/>
        <v>1.4917672668486479</v>
      </c>
      <c r="AS251" s="42" t="str">
        <f t="shared" si="202"/>
        <v>-0.126912176229849+0.0277086523091757i</v>
      </c>
      <c r="AT251">
        <f t="shared" si="203"/>
        <v>-17.727698616525746</v>
      </c>
      <c r="AU251" s="44">
        <f t="shared" si="204"/>
        <v>167.68391585707241</v>
      </c>
      <c r="AV251" s="42" t="str">
        <f t="shared" si="181"/>
        <v>0.0591123517772693+0.239534222439593i</v>
      </c>
      <c r="AW251" s="20">
        <f t="shared" si="205"/>
        <v>-12.155901781538958</v>
      </c>
      <c r="AX251" s="44">
        <f t="shared" si="206"/>
        <v>76.137505845425721</v>
      </c>
    </row>
    <row r="252" spans="14:50" x14ac:dyDescent="0.3">
      <c r="N252" s="8">
        <v>34</v>
      </c>
      <c r="O252" s="35">
        <f t="shared" si="207"/>
        <v>2187.7616239495528</v>
      </c>
      <c r="P252" s="34" t="str">
        <f t="shared" si="172"/>
        <v>545.10556621881</v>
      </c>
      <c r="Q252" s="4" t="str">
        <f t="shared" si="173"/>
        <v>1+293.654938816086i</v>
      </c>
      <c r="R252" s="4">
        <f t="shared" si="182"/>
        <v>293.65664148981745</v>
      </c>
      <c r="S252" s="4">
        <f t="shared" si="183"/>
        <v>1.5673909826226775</v>
      </c>
      <c r="T252" s="4" t="str">
        <f t="shared" si="174"/>
        <v>1+0.0068730558456056i</v>
      </c>
      <c r="U252" s="4">
        <f t="shared" si="184"/>
        <v>1.0000236191693959</v>
      </c>
      <c r="V252" s="4">
        <f t="shared" si="185"/>
        <v>6.8729476234813567E-3</v>
      </c>
      <c r="W252" t="str">
        <f t="shared" si="175"/>
        <v>1-0.00713973041241508i</v>
      </c>
      <c r="X252" s="4">
        <f t="shared" si="186"/>
        <v>1.0000254875503733</v>
      </c>
      <c r="Y252" s="4">
        <f t="shared" si="187"/>
        <v>-7.1396090984204496E-3</v>
      </c>
      <c r="Z252" t="str">
        <f t="shared" si="176"/>
        <v>0.999693676740913+0.0309181575363445i</v>
      </c>
      <c r="AA252" s="4">
        <f t="shared" si="188"/>
        <v>1.0001716751544243</v>
      </c>
      <c r="AB252" s="4">
        <f t="shared" si="189"/>
        <v>3.0917776095305646E-2</v>
      </c>
      <c r="AC252" s="48" t="str">
        <f t="shared" si="190"/>
        <v>-0.051552505251888-1.85532490877015i</v>
      </c>
      <c r="AD252" s="20">
        <f t="shared" si="191"/>
        <v>5.3717512914382928</v>
      </c>
      <c r="AE252" s="44">
        <f t="shared" si="192"/>
        <v>-91.5916248104066</v>
      </c>
      <c r="AF252" t="str">
        <f t="shared" si="177"/>
        <v>-0.979317078436135</v>
      </c>
      <c r="AG252" t="str">
        <f t="shared" si="193"/>
        <v>13746.1116912112i</v>
      </c>
      <c r="AH252">
        <f t="shared" si="194"/>
        <v>13746.111691211199</v>
      </c>
      <c r="AI252">
        <f t="shared" si="195"/>
        <v>1.5707963267948966</v>
      </c>
      <c r="AJ252" t="str">
        <f t="shared" si="178"/>
        <v>-1.92483974629152+13.4700897684517i</v>
      </c>
      <c r="AK252">
        <f t="shared" si="196"/>
        <v>13.606922003857111</v>
      </c>
      <c r="AL252">
        <f t="shared" si="197"/>
        <v>1.7127327561031573</v>
      </c>
      <c r="AM252" t="str">
        <f t="shared" si="179"/>
        <v>1+1912.3590584813i</v>
      </c>
      <c r="AN252">
        <f t="shared" si="198"/>
        <v>1912.3593199384586</v>
      </c>
      <c r="AO252">
        <f t="shared" si="199"/>
        <v>1.5702734124894377</v>
      </c>
      <c r="AP252" t="str">
        <f t="shared" si="180"/>
        <v>1+12.9213449897386i</v>
      </c>
      <c r="AQ252">
        <f t="shared" si="200"/>
        <v>12.959982883624608</v>
      </c>
      <c r="AR252">
        <f t="shared" si="201"/>
        <v>1.4935589592834595</v>
      </c>
      <c r="AS252" s="42" t="str">
        <f t="shared" si="202"/>
        <v>-0.126645891530815+0.0282801527144232i</v>
      </c>
      <c r="AT252">
        <f t="shared" si="203"/>
        <v>-17.736850215190717</v>
      </c>
      <c r="AU252" s="44">
        <f t="shared" si="204"/>
        <v>167.41230567962364</v>
      </c>
      <c r="AV252" s="42" t="str">
        <f t="shared" si="181"/>
        <v>0.0589977847431655+0.233511364429189i</v>
      </c>
      <c r="AW252" s="20">
        <f t="shared" si="205"/>
        <v>-12.365098923752429</v>
      </c>
      <c r="AX252" s="44">
        <f t="shared" si="206"/>
        <v>75.820680869217028</v>
      </c>
    </row>
    <row r="253" spans="14:50" x14ac:dyDescent="0.3">
      <c r="N253" s="8">
        <v>35</v>
      </c>
      <c r="O253" s="35">
        <f t="shared" si="207"/>
        <v>2238.7211385683418</v>
      </c>
      <c r="P253" s="34" t="str">
        <f t="shared" si="172"/>
        <v>545.10556621881</v>
      </c>
      <c r="Q253" s="4" t="str">
        <f t="shared" si="173"/>
        <v>1+300.495041039135i</v>
      </c>
      <c r="R253" s="4">
        <f t="shared" si="182"/>
        <v>300.49670495549771</v>
      </c>
      <c r="S253" s="4">
        <f t="shared" si="183"/>
        <v>1.567468497140684</v>
      </c>
      <c r="T253" s="4" t="str">
        <f t="shared" si="174"/>
        <v>1+0.0070331498823625i</v>
      </c>
      <c r="U253" s="4">
        <f t="shared" si="184"/>
        <v>1.0000247322927907</v>
      </c>
      <c r="V253" s="4">
        <f t="shared" si="185"/>
        <v>7.0330339204220131E-3</v>
      </c>
      <c r="W253" t="str">
        <f t="shared" si="175"/>
        <v>1-0.00730603609779814i</v>
      </c>
      <c r="X253" s="4">
        <f t="shared" si="186"/>
        <v>1.0000266887255871</v>
      </c>
      <c r="Y253" s="4">
        <f t="shared" si="187"/>
        <v>-7.3059061076982644E-3</v>
      </c>
      <c r="Z253" t="str">
        <f t="shared" si="176"/>
        <v>0.999679240170478+0.0316383339411737i</v>
      </c>
      <c r="AA253" s="4">
        <f t="shared" si="188"/>
        <v>1.000179767543014</v>
      </c>
      <c r="AB253" s="4">
        <f t="shared" si="189"/>
        <v>3.1637925194412005E-2</v>
      </c>
      <c r="AC253" s="48" t="str">
        <f t="shared" si="190"/>
        <v>-0.0518362231777482-1.81304147325134i</v>
      </c>
      <c r="AD253" s="20">
        <f t="shared" si="191"/>
        <v>5.171703382102435</v>
      </c>
      <c r="AE253" s="44">
        <f t="shared" si="192"/>
        <v>-91.637683416742988</v>
      </c>
      <c r="AF253" t="str">
        <f t="shared" si="177"/>
        <v>-0.979317078436135</v>
      </c>
      <c r="AG253" t="str">
        <f t="shared" si="193"/>
        <v>14066.299764725i</v>
      </c>
      <c r="AH253">
        <f t="shared" si="194"/>
        <v>14066.299764724999</v>
      </c>
      <c r="AI253">
        <f t="shared" si="195"/>
        <v>1.5707963267948966</v>
      </c>
      <c r="AJ253" t="str">
        <f t="shared" si="178"/>
        <v>-2.06268319681582+13.7838484654493i</v>
      </c>
      <c r="AK253">
        <f t="shared" si="196"/>
        <v>13.937329029943124</v>
      </c>
      <c r="AL253">
        <f t="shared" si="197"/>
        <v>1.7193390108224171</v>
      </c>
      <c r="AM253" t="str">
        <f t="shared" si="179"/>
        <v>1+1956.90362326854i</v>
      </c>
      <c r="AN253">
        <f t="shared" si="198"/>
        <v>1956.9038787742081</v>
      </c>
      <c r="AO253">
        <f t="shared" si="199"/>
        <v>1.5702853154701357</v>
      </c>
      <c r="AP253" t="str">
        <f t="shared" si="180"/>
        <v>1+13.2223217788415i</v>
      </c>
      <c r="AQ253">
        <f t="shared" si="200"/>
        <v>13.260082700467077</v>
      </c>
      <c r="AR253">
        <f t="shared" si="201"/>
        <v>1.4953103480753944</v>
      </c>
      <c r="AS253" s="42" t="str">
        <f t="shared" si="202"/>
        <v>-0.126368327183283+0.0288613862879897i</v>
      </c>
      <c r="AT253">
        <f t="shared" si="203"/>
        <v>-17.74640732471255</v>
      </c>
      <c r="AU253" s="44">
        <f t="shared" si="204"/>
        <v>167.13482434244372</v>
      </c>
      <c r="AV253" s="42" t="str">
        <f t="shared" si="181"/>
        <v>0.0588773471261242+0.227614952827843i</v>
      </c>
      <c r="AW253" s="20">
        <f t="shared" si="205"/>
        <v>-12.574703942610126</v>
      </c>
      <c r="AX253" s="44">
        <f t="shared" si="206"/>
        <v>75.497140925700705</v>
      </c>
    </row>
    <row r="254" spans="14:50" x14ac:dyDescent="0.3">
      <c r="N254" s="8">
        <v>36</v>
      </c>
      <c r="O254" s="35">
        <f t="shared" si="207"/>
        <v>2290.8676527677749</v>
      </c>
      <c r="P254" s="34" t="str">
        <f t="shared" si="172"/>
        <v>545.10556621881</v>
      </c>
      <c r="Q254" s="4" t="str">
        <f t="shared" si="173"/>
        <v>1+307.494469710464i</v>
      </c>
      <c r="R254" s="4">
        <f t="shared" si="182"/>
        <v>307.49609575166875</v>
      </c>
      <c r="S254" s="4">
        <f t="shared" si="183"/>
        <v>1.5675442472514867</v>
      </c>
      <c r="T254" s="4" t="str">
        <f t="shared" si="174"/>
        <v>1+0.00719697298828175i</v>
      </c>
      <c r="U254" s="4">
        <f t="shared" si="184"/>
        <v>1.0000258978747472</v>
      </c>
      <c r="V254" s="4">
        <f t="shared" si="185"/>
        <v>7.1968487329976388E-3</v>
      </c>
      <c r="W254" t="str">
        <f t="shared" si="175"/>
        <v>1-0.00747621554022706i</v>
      </c>
      <c r="X254" s="4">
        <f t="shared" si="186"/>
        <v>1.0000279465088984</v>
      </c>
      <c r="Y254" s="4">
        <f t="shared" si="187"/>
        <v>-7.4760762535357808E-3</v>
      </c>
      <c r="Z254" t="str">
        <f t="shared" si="176"/>
        <v>0.99966412322544+0.0323752854094414i</v>
      </c>
      <c r="AA254" s="4">
        <f t="shared" si="188"/>
        <v>1.0001882414672902</v>
      </c>
      <c r="AB254" s="4">
        <f t="shared" si="189"/>
        <v>3.2374847400981205E-2</v>
      </c>
      <c r="AC254" s="48" t="str">
        <f t="shared" si="190"/>
        <v>-0.0521070972562532-1.77171925191199i</v>
      </c>
      <c r="AD254" s="20">
        <f t="shared" si="191"/>
        <v>4.9716530052576564</v>
      </c>
      <c r="AE254" s="44">
        <f t="shared" si="192"/>
        <v>-91.684610244428811</v>
      </c>
      <c r="AF254" t="str">
        <f t="shared" si="177"/>
        <v>-0.979317078436135</v>
      </c>
      <c r="AG254" t="str">
        <f t="shared" si="193"/>
        <v>14393.9459765635i</v>
      </c>
      <c r="AH254">
        <f t="shared" si="194"/>
        <v>14393.9459765635</v>
      </c>
      <c r="AI254">
        <f t="shared" si="195"/>
        <v>1.5707963267948966</v>
      </c>
      <c r="AJ254" t="str">
        <f t="shared" si="178"/>
        <v>-2.20702300902163+14.1049155413541i</v>
      </c>
      <c r="AK254">
        <f t="shared" si="196"/>
        <v>14.276539951650866</v>
      </c>
      <c r="AL254">
        <f t="shared" si="197"/>
        <v>1.7260096781996077</v>
      </c>
      <c r="AM254" t="str">
        <f t="shared" si="179"/>
        <v>1+2002.48576425951i</v>
      </c>
      <c r="AN254">
        <f t="shared" si="198"/>
        <v>2002.4860139491595</v>
      </c>
      <c r="AO254">
        <f t="shared" si="199"/>
        <v>1.570296947506054</v>
      </c>
      <c r="AP254" t="str">
        <f t="shared" si="180"/>
        <v>1+13.5303092179697i</v>
      </c>
      <c r="AQ254">
        <f t="shared" si="200"/>
        <v>13.567212961175033</v>
      </c>
      <c r="AR254">
        <f t="shared" si="201"/>
        <v>1.4970223188327858</v>
      </c>
      <c r="AS254" s="42" t="str">
        <f t="shared" si="202"/>
        <v>-0.126079053939472+0.029452322616742i</v>
      </c>
      <c r="AT254">
        <f t="shared" si="203"/>
        <v>-17.75638743002872</v>
      </c>
      <c r="AU254" s="44">
        <f t="shared" si="204"/>
        <v>166.85137842080866</v>
      </c>
      <c r="AV254" s="42" t="str">
        <f t="shared" si="181"/>
        <v>0.0587508605192052+0.2218420120884i</v>
      </c>
      <c r="AW254" s="20">
        <f t="shared" si="205"/>
        <v>-12.784734424771049</v>
      </c>
      <c r="AX254" s="44">
        <f t="shared" si="206"/>
        <v>75.166768176379847</v>
      </c>
    </row>
    <row r="255" spans="14:50" x14ac:dyDescent="0.3">
      <c r="N255" s="8">
        <v>37</v>
      </c>
      <c r="O255" s="35">
        <f t="shared" si="207"/>
        <v>2344.2288153199238</v>
      </c>
      <c r="P255" s="34" t="str">
        <f t="shared" si="172"/>
        <v>545.10556621881</v>
      </c>
      <c r="Q255" s="4" t="str">
        <f t="shared" si="173"/>
        <v>1+314.656936019805i</v>
      </c>
      <c r="R255" s="4">
        <f t="shared" si="182"/>
        <v>314.65852504798221</v>
      </c>
      <c r="S255" s="4">
        <f t="shared" si="183"/>
        <v>1.5676182731153181</v>
      </c>
      <c r="T255" s="4" t="str">
        <f t="shared" si="174"/>
        <v>1+0.0073646120245426i</v>
      </c>
      <c r="U255" s="4">
        <f t="shared" si="184"/>
        <v>1.0000271183874325</v>
      </c>
      <c r="V255" s="4">
        <f t="shared" si="185"/>
        <v>7.3644788828018956E-3</v>
      </c>
      <c r="W255" t="str">
        <f t="shared" si="175"/>
        <v>1-0.00765035897109483i</v>
      </c>
      <c r="X255" s="4">
        <f t="shared" si="186"/>
        <v>1.000029263568015</v>
      </c>
      <c r="Y255" s="4">
        <f t="shared" si="187"/>
        <v>-7.6502097229520392E-3</v>
      </c>
      <c r="Z255" t="str">
        <f t="shared" si="176"/>
        <v>0.999648293840731+0.0331294026825708i</v>
      </c>
      <c r="AA255" s="4">
        <f t="shared" si="188"/>
        <v>1.0001971149232476</v>
      </c>
      <c r="AB255" s="4">
        <f t="shared" si="189"/>
        <v>3.3128933316169611E-2</v>
      </c>
      <c r="AC255" s="48" t="str">
        <f t="shared" si="190"/>
        <v>-0.0523657020105029-1.73133634091407i</v>
      </c>
      <c r="AD255" s="20">
        <f t="shared" si="191"/>
        <v>4.7716000539386787</v>
      </c>
      <c r="AE255" s="44">
        <f t="shared" si="192"/>
        <v>-91.732430167098315</v>
      </c>
      <c r="AF255" t="str">
        <f t="shared" si="177"/>
        <v>-0.979317078436135</v>
      </c>
      <c r="AG255" t="str">
        <f t="shared" si="193"/>
        <v>14729.2240490852i</v>
      </c>
      <c r="AH255">
        <f t="shared" si="194"/>
        <v>14729.2240490852</v>
      </c>
      <c r="AI255">
        <f t="shared" si="195"/>
        <v>1.5707963267948966</v>
      </c>
      <c r="AJ255" t="str">
        <f t="shared" si="178"/>
        <v>-2.35816534700265+14.4334612301795i</v>
      </c>
      <c r="AK255">
        <f t="shared" si="196"/>
        <v>14.624833225951631</v>
      </c>
      <c r="AL255">
        <f t="shared" si="197"/>
        <v>1.7327472570039548</v>
      </c>
      <c r="AM255" t="str">
        <f t="shared" si="179"/>
        <v>1+2049.12964970873i</v>
      </c>
      <c r="AN255">
        <f t="shared" si="198"/>
        <v>2049.1298937147499</v>
      </c>
      <c r="AO255">
        <f t="shared" si="199"/>
        <v>1.5703083147646393</v>
      </c>
      <c r="AP255" t="str">
        <f t="shared" si="180"/>
        <v>1+13.8454706061401i</v>
      </c>
      <c r="AQ255">
        <f t="shared" si="200"/>
        <v>13.881536525381096</v>
      </c>
      <c r="AR255">
        <f t="shared" si="201"/>
        <v>1.498695739102565</v>
      </c>
      <c r="AS255" s="42" t="str">
        <f t="shared" si="202"/>
        <v>-0.125777631534483+0.0300529162895084i</v>
      </c>
      <c r="AT255">
        <f t="shared" si="203"/>
        <v>-17.766808663258363</v>
      </c>
      <c r="AU255" s="44">
        <f t="shared" si="204"/>
        <v>166.56187480593439</v>
      </c>
      <c r="AV255" s="42" t="str">
        <f t="shared" si="181"/>
        <v>0.0586181400949959+0.216189642290787i</v>
      </c>
      <c r="AW255" s="20">
        <f t="shared" si="205"/>
        <v>-12.995208609319686</v>
      </c>
      <c r="AX255" s="44">
        <f t="shared" si="206"/>
        <v>74.829444638836108</v>
      </c>
    </row>
    <row r="256" spans="14:50" x14ac:dyDescent="0.3">
      <c r="N256" s="8">
        <v>38</v>
      </c>
      <c r="O256" s="35">
        <f t="shared" si="207"/>
        <v>2398.8329190194918</v>
      </c>
      <c r="P256" s="34" t="str">
        <f t="shared" si="172"/>
        <v>545.10556621881</v>
      </c>
      <c r="Q256" s="4" t="str">
        <f t="shared" si="173"/>
        <v>1+321.986237601599i</v>
      </c>
      <c r="R256" s="4">
        <f t="shared" si="182"/>
        <v>321.98779045925539</v>
      </c>
      <c r="S256" s="4">
        <f t="shared" si="183"/>
        <v>1.5676906139784235</v>
      </c>
      <c r="T256" s="4" t="str">
        <f t="shared" si="174"/>
        <v>1+0.007536155875581i</v>
      </c>
      <c r="U256" s="4">
        <f t="shared" si="184"/>
        <v>1.0000283964195122</v>
      </c>
      <c r="V256" s="4">
        <f t="shared" si="185"/>
        <v>7.536013211854293E-3</v>
      </c>
      <c r="W256" t="str">
        <f t="shared" si="175"/>
        <v>1-0.00782855872355352i</v>
      </c>
      <c r="X256" s="4">
        <f t="shared" si="186"/>
        <v>1.0000306426963568</v>
      </c>
      <c r="Y256" s="4">
        <f t="shared" si="187"/>
        <v>-7.8283988015519085E-3</v>
      </c>
      <c r="Z256" t="str">
        <f t="shared" si="176"/>
        <v>0.999631718440104+0.0339010856035218i</v>
      </c>
      <c r="AA256" s="4">
        <f t="shared" si="188"/>
        <v>1.0002064067564316</v>
      </c>
      <c r="AB256" s="4">
        <f t="shared" si="189"/>
        <v>3.3900582632592526E-2</v>
      </c>
      <c r="AC256" s="48" t="str">
        <f t="shared" si="190"/>
        <v>-0.0526125859420431-1.69187133407891i</v>
      </c>
      <c r="AD256" s="20">
        <f t="shared" si="191"/>
        <v>4.571544415709095</v>
      </c>
      <c r="AE256" s="44">
        <f t="shared" si="192"/>
        <v>-91.781168531398563</v>
      </c>
      <c r="AF256" t="str">
        <f t="shared" si="177"/>
        <v>-0.979317078436135</v>
      </c>
      <c r="AG256" t="str">
        <f t="shared" si="193"/>
        <v>15072.311751162i</v>
      </c>
      <c r="AH256">
        <f t="shared" si="194"/>
        <v>15072.311751162</v>
      </c>
      <c r="AI256">
        <f t="shared" si="195"/>
        <v>1.5707963267948966</v>
      </c>
      <c r="AJ256" t="str">
        <f t="shared" si="178"/>
        <v>-2.51643080392171+14.7696597311987i</v>
      </c>
      <c r="AK256">
        <f t="shared" si="196"/>
        <v>14.982498875899125</v>
      </c>
      <c r="AL256">
        <f t="shared" si="197"/>
        <v>1.7395542198635594</v>
      </c>
      <c r="AM256" t="str">
        <f t="shared" si="179"/>
        <v>1+2096.86001082166i</v>
      </c>
      <c r="AN256">
        <f t="shared" si="198"/>
        <v>2096.8602492734253</v>
      </c>
      <c r="AO256">
        <f t="shared" si="199"/>
        <v>1.5703194232729512</v>
      </c>
      <c r="AP256" t="str">
        <f t="shared" si="180"/>
        <v>1+14.1679730460923i</v>
      </c>
      <c r="AQ256">
        <f t="shared" si="200"/>
        <v>14.203220065703338</v>
      </c>
      <c r="AR256">
        <f t="shared" si="201"/>
        <v>1.5003314586441934</v>
      </c>
      <c r="AS256" s="42" t="str">
        <f t="shared" si="202"/>
        <v>-0.125463608876113+0.0306631058802358i</v>
      </c>
      <c r="AT256">
        <f t="shared" si="203"/>
        <v>-17.77768982047635</v>
      </c>
      <c r="AU256" s="44">
        <f t="shared" si="204"/>
        <v>166.26622085962208</v>
      </c>
      <c r="AV256" s="42" t="str">
        <f t="shared" si="181"/>
        <v>0.0584789947571908+0.21065501803421i</v>
      </c>
      <c r="AW256" s="20">
        <f t="shared" si="205"/>
        <v>-13.206145404767254</v>
      </c>
      <c r="AX256" s="44">
        <f t="shared" si="206"/>
        <v>74.485052328223517</v>
      </c>
    </row>
    <row r="257" spans="14:50" x14ac:dyDescent="0.3">
      <c r="N257" s="8">
        <v>39</v>
      </c>
      <c r="O257" s="35">
        <f t="shared" si="207"/>
        <v>2454.7089156850338</v>
      </c>
      <c r="P257" s="34" t="str">
        <f t="shared" si="172"/>
        <v>545.10556621881</v>
      </c>
      <c r="Q257" s="4" t="str">
        <f t="shared" si="173"/>
        <v>1+329.486260548561i</v>
      </c>
      <c r="R257" s="4">
        <f t="shared" si="182"/>
        <v>329.48777805902637</v>
      </c>
      <c r="S257" s="4">
        <f t="shared" si="183"/>
        <v>1.5677613081938562</v>
      </c>
      <c r="T257" s="4" t="str">
        <f t="shared" si="174"/>
        <v>1+0.00771169549621745i</v>
      </c>
      <c r="U257" s="4">
        <f t="shared" si="184"/>
        <v>1.0000297346816376</v>
      </c>
      <c r="V257" s="4">
        <f t="shared" si="185"/>
        <v>7.7115426295256131E-3</v>
      </c>
      <c r="W257" t="str">
        <f t="shared" si="175"/>
        <v>1-0.00801090928147066i</v>
      </c>
      <c r="X257" s="4">
        <f t="shared" si="186"/>
        <v>1.000032086818976</v>
      </c>
      <c r="Y257" s="4">
        <f t="shared" si="187"/>
        <v>-8.0107379222555501E-3</v>
      </c>
      <c r="Z257" t="str">
        <f t="shared" si="176"/>
        <v>0.999614361864912+0.0346907433287937i</v>
      </c>
      <c r="AA257" s="4">
        <f t="shared" si="188"/>
        <v>1.000216136702113</v>
      </c>
      <c r="AB257" s="4">
        <f t="shared" si="189"/>
        <v>3.4690204345600578E-2</v>
      </c>
      <c r="AC257" s="48" t="str">
        <f t="shared" si="190"/>
        <v>-0.0528482726940245-1.65330331156298i</v>
      </c>
      <c r="AD257" s="20">
        <f t="shared" si="191"/>
        <v>4.3714859724217012</v>
      </c>
      <c r="AE257" s="44">
        <f t="shared" si="192"/>
        <v>-91.830851170389593</v>
      </c>
      <c r="AF257" t="str">
        <f t="shared" si="177"/>
        <v>-0.979317078436135</v>
      </c>
      <c r="AG257" t="str">
        <f t="shared" si="193"/>
        <v>15423.3909924349i</v>
      </c>
      <c r="AH257">
        <f t="shared" si="194"/>
        <v>15423.390992434901</v>
      </c>
      <c r="AI257">
        <f t="shared" si="195"/>
        <v>1.5707963267948966</v>
      </c>
      <c r="AJ257" t="str">
        <f t="shared" si="178"/>
        <v>-2.68215508203198+15.1136893013068i</v>
      </c>
      <c r="AK257">
        <f t="shared" si="196"/>
        <v>15.349839092984187</v>
      </c>
      <c r="AL257">
        <f t="shared" si="197"/>
        <v>1.7464330106661683</v>
      </c>
      <c r="AM257" t="str">
        <f t="shared" si="179"/>
        <v>1+2145.70215486754i</v>
      </c>
      <c r="AN257">
        <f t="shared" si="198"/>
        <v>2145.7023878914811</v>
      </c>
      <c r="AO257">
        <f t="shared" si="199"/>
        <v>1.5703302789208562</v>
      </c>
      <c r="AP257" t="str">
        <f t="shared" si="180"/>
        <v>1+14.4979875328888i</v>
      </c>
      <c r="AQ257">
        <f t="shared" si="200"/>
        <v>14.532434156183166</v>
      </c>
      <c r="AR257">
        <f t="shared" si="201"/>
        <v>1.5019303097062102</v>
      </c>
      <c r="AS257" s="42" t="str">
        <f t="shared" si="202"/>
        <v>-0.125136524292625+0.0312828128962639i</v>
      </c>
      <c r="AT257">
        <f t="shared" si="203"/>
        <v>-17.789050378145735</v>
      </c>
      <c r="AU257" s="44">
        <f t="shared" si="204"/>
        <v>165.96432457921162</v>
      </c>
      <c r="AV257" s="42" t="str">
        <f t="shared" si="181"/>
        <v>0.0583332273161973+0.2052353873839i</v>
      </c>
      <c r="AW257" s="20">
        <f t="shared" si="205"/>
        <v>-13.417564405724045</v>
      </c>
      <c r="AX257" s="44">
        <f t="shared" si="206"/>
        <v>74.133473408821999</v>
      </c>
    </row>
    <row r="258" spans="14:50" x14ac:dyDescent="0.3">
      <c r="N258" s="8">
        <v>40</v>
      </c>
      <c r="O258" s="35">
        <f t="shared" si="207"/>
        <v>2511.8864315095811</v>
      </c>
      <c r="P258" s="34" t="str">
        <f t="shared" si="172"/>
        <v>545.10556621881</v>
      </c>
      <c r="Q258" s="4" t="str">
        <f t="shared" si="173"/>
        <v>1+337.160981472135i</v>
      </c>
      <c r="R258" s="4">
        <f t="shared" si="182"/>
        <v>337.16246443999864</v>
      </c>
      <c r="S258" s="4">
        <f t="shared" si="183"/>
        <v>1.5678303932417965</v>
      </c>
      <c r="T258" s="4" t="str">
        <f t="shared" si="174"/>
        <v>1+0.0078913239598824i</v>
      </c>
      <c r="U258" s="4">
        <f t="shared" si="184"/>
        <v>1.0000311360121943</v>
      </c>
      <c r="V258" s="4">
        <f t="shared" si="185"/>
        <v>7.8911601605464073E-3</v>
      </c>
      <c r="W258" t="str">
        <f t="shared" si="175"/>
        <v>1-0.00819750732952581i</v>
      </c>
      <c r="X258" s="4">
        <f t="shared" si="186"/>
        <v>1.0000335989987625</v>
      </c>
      <c r="Y258" s="4">
        <f t="shared" si="187"/>
        <v>-8.1973237151518746E-3</v>
      </c>
      <c r="Z258" t="str">
        <f t="shared" si="176"/>
        <v>0.999596187299533+0.0354987945453651i</v>
      </c>
      <c r="AA258" s="4">
        <f t="shared" si="188"/>
        <v>1.0002263254273691</v>
      </c>
      <c r="AB258" s="4">
        <f t="shared" si="189"/>
        <v>3.5498216969440555E-2</v>
      </c>
      <c r="AC258" s="48" t="str">
        <f t="shared" si="190"/>
        <v>-0.0530732621616568-1.61561182878987i</v>
      </c>
      <c r="AD258" s="20">
        <f t="shared" si="191"/>
        <v>4.1714245999665991</v>
      </c>
      <c r="AE258" s="44">
        <f t="shared" si="192"/>
        <v>-91.881504417199366</v>
      </c>
      <c r="AF258" t="str">
        <f t="shared" si="177"/>
        <v>-0.979317078436135</v>
      </c>
      <c r="AG258" t="str">
        <f t="shared" si="193"/>
        <v>15782.6479197648i</v>
      </c>
      <c r="AH258">
        <f t="shared" si="194"/>
        <v>15782.6479197648</v>
      </c>
      <c r="AI258">
        <f t="shared" si="195"/>
        <v>1.5707963267948966</v>
      </c>
      <c r="AJ258" t="str">
        <f t="shared" si="178"/>
        <v>-2.85568970474642+15.4657323495359i</v>
      </c>
      <c r="AK258">
        <f t="shared" si="196"/>
        <v>15.727168874189527</v>
      </c>
      <c r="AL258">
        <f t="shared" si="197"/>
        <v>1.7533860417760672</v>
      </c>
      <c r="AM258" t="str">
        <f t="shared" si="179"/>
        <v>1+2195.68197859768i</v>
      </c>
      <c r="AN258">
        <f t="shared" si="198"/>
        <v>2195.6822063173495</v>
      </c>
      <c r="AO258">
        <f t="shared" si="199"/>
        <v>1.5703408874641529</v>
      </c>
      <c r="AP258" t="str">
        <f t="shared" si="180"/>
        <v>1+14.8356890445789i</v>
      </c>
      <c r="AQ258">
        <f t="shared" si="200"/>
        <v>14.869353362787448</v>
      </c>
      <c r="AR258">
        <f t="shared" si="201"/>
        <v>1.5034931073047859</v>
      </c>
      <c r="AS258" s="42" t="str">
        <f t="shared" si="202"/>
        <v>-0.124795905843421+0.0319119406933313i</v>
      </c>
      <c r="AT258">
        <f t="shared" si="203"/>
        <v>-17.800910509119092</v>
      </c>
      <c r="AU258" s="44">
        <f t="shared" si="204"/>
        <v>165.65609477318048</v>
      </c>
      <c r="AV258" s="42" t="str">
        <f t="shared" si="181"/>
        <v>0.0581806346913162+0.199928070870673i</v>
      </c>
      <c r="AW258" s="20">
        <f t="shared" si="205"/>
        <v>-13.629485909152507</v>
      </c>
      <c r="AX258" s="44">
        <f t="shared" si="206"/>
        <v>73.77459035598109</v>
      </c>
    </row>
    <row r="259" spans="14:50" x14ac:dyDescent="0.3">
      <c r="N259" s="8">
        <v>41</v>
      </c>
      <c r="O259" s="35">
        <f t="shared" si="207"/>
        <v>2570.3957827688669</v>
      </c>
      <c r="P259" s="34" t="str">
        <f t="shared" si="172"/>
        <v>545.10556621881</v>
      </c>
      <c r="Q259" s="4" t="str">
        <f t="shared" si="173"/>
        <v>1+345.014469610936i</v>
      </c>
      <c r="R259" s="4">
        <f t="shared" si="182"/>
        <v>345.01591882247322</v>
      </c>
      <c r="S259" s="4">
        <f t="shared" si="183"/>
        <v>1.5678979057494125</v>
      </c>
      <c r="T259" s="4" t="str">
        <f t="shared" si="174"/>
        <v>1+0.00807513650796485i</v>
      </c>
      <c r="U259" s="4">
        <f t="shared" si="184"/>
        <v>1.0000326033833207</v>
      </c>
      <c r="V259" s="4">
        <f t="shared" si="185"/>
        <v>8.074960994123196E-3</v>
      </c>
      <c r="W259" t="str">
        <f t="shared" si="175"/>
        <v>1-0.00838845180447386i</v>
      </c>
      <c r="X259" s="4">
        <f t="shared" si="186"/>
        <v>1.0000351824429359</v>
      </c>
      <c r="Y259" s="4">
        <f t="shared" si="187"/>
        <v>-8.3882550585013035E-3</v>
      </c>
      <c r="Z259" t="str">
        <f t="shared" si="176"/>
        <v>0.999577156193275+0.0363256676926862i</v>
      </c>
      <c r="AA259" s="4">
        <f t="shared" si="188"/>
        <v>1.0002369945751628</v>
      </c>
      <c r="AB259" s="4">
        <f t="shared" si="189"/>
        <v>3.6325048758412387E-2</v>
      </c>
      <c r="AC259" s="48" t="str">
        <f t="shared" si="190"/>
        <v>-0.0532880315523197-1.57877690563284i</v>
      </c>
      <c r="AD259" s="20">
        <f t="shared" si="191"/>
        <v>3.9713601680072848</v>
      </c>
      <c r="AE259" s="44">
        <f t="shared" si="192"/>
        <v>-91.933155118941201</v>
      </c>
      <c r="AF259" t="str">
        <f t="shared" si="177"/>
        <v>-0.979317078436135</v>
      </c>
      <c r="AG259" t="str">
        <f t="shared" si="193"/>
        <v>16150.2730159297i</v>
      </c>
      <c r="AH259">
        <f t="shared" si="194"/>
        <v>16150.273015929701</v>
      </c>
      <c r="AI259">
        <f t="shared" si="195"/>
        <v>1.5707963267948966</v>
      </c>
      <c r="AJ259" t="str">
        <f t="shared" si="178"/>
        <v>-3.0374027622659+15.8259755337699i</v>
      </c>
      <c r="AK259">
        <f t="shared" si="196"/>
        <v>16.114816695690461</v>
      </c>
      <c r="AL259">
        <f t="shared" si="197"/>
        <v>1.760415691061034</v>
      </c>
      <c r="AM259" t="str">
        <f t="shared" si="179"/>
        <v>1+2246.82598197614i</v>
      </c>
      <c r="AN259">
        <f t="shared" si="198"/>
        <v>2246.8262045122769</v>
      </c>
      <c r="AO259">
        <f t="shared" si="199"/>
        <v>1.5703512545276217</v>
      </c>
      <c r="AP259" t="str">
        <f t="shared" si="180"/>
        <v>1+15.181256634974i</v>
      </c>
      <c r="AQ259">
        <f t="shared" si="200"/>
        <v>15.21415633602278</v>
      </c>
      <c r="AR259">
        <f t="shared" si="201"/>
        <v>1.5050206495037048</v>
      </c>
      <c r="AS259" s="42" t="str">
        <f t="shared" si="202"/>
        <v>-0.124441271697766+0.0325503733593684i</v>
      </c>
      <c r="AT259">
        <f t="shared" si="203"/>
        <v>-17.813291098109865</v>
      </c>
      <c r="AU259" s="44">
        <f t="shared" si="204"/>
        <v>165.34144124770361</v>
      </c>
      <c r="AV259" s="42" t="str">
        <f t="shared" si="181"/>
        <v>0.0580210081421386+0.194730460541401i</v>
      </c>
      <c r="AW259" s="20">
        <f t="shared" si="205"/>
        <v>-13.841930930102569</v>
      </c>
      <c r="AX259" s="44">
        <f t="shared" si="206"/>
        <v>73.40828612876247</v>
      </c>
    </row>
    <row r="260" spans="14:50" x14ac:dyDescent="0.3">
      <c r="N260" s="8">
        <v>42</v>
      </c>
      <c r="O260" s="35">
        <f t="shared" si="207"/>
        <v>2630.2679918953822</v>
      </c>
      <c r="P260" s="34" t="str">
        <f t="shared" si="172"/>
        <v>545.10556621881</v>
      </c>
      <c r="Q260" s="4" t="str">
        <f t="shared" si="173"/>
        <v>1+353.050888988331i</v>
      </c>
      <c r="R260" s="4">
        <f t="shared" si="182"/>
        <v>353.05230521192016</v>
      </c>
      <c r="S260" s="4">
        <f t="shared" si="183"/>
        <v>1.5679638815102654</v>
      </c>
      <c r="T260" s="4" t="str">
        <f t="shared" si="174"/>
        <v>1+0.0082632306003109i</v>
      </c>
      <c r="U260" s="4">
        <f t="shared" si="184"/>
        <v>1.0000341399072104</v>
      </c>
      <c r="V260" s="4">
        <f t="shared" si="185"/>
        <v>8.2630425341879855E-3</v>
      </c>
      <c r="W260" t="str">
        <f t="shared" si="175"/>
        <v>1-0.00858384394760294i</v>
      </c>
      <c r="X260" s="4">
        <f t="shared" si="186"/>
        <v>1.0000368405098468</v>
      </c>
      <c r="Y260" s="4">
        <f t="shared" si="187"/>
        <v>-8.5836331309145659E-3</v>
      </c>
      <c r="Z260" t="str">
        <f t="shared" si="176"/>
        <v>0.999557228178612+0.0371718011898452i</v>
      </c>
      <c r="AA260" s="4">
        <f t="shared" si="188"/>
        <v>1.0002481668105208</v>
      </c>
      <c r="AB260" s="4">
        <f t="shared" si="189"/>
        <v>3.7171137933139253E-2</v>
      </c>
      <c r="AC260" s="48" t="str">
        <f t="shared" si="190"/>
        <v>-0.0534930363975628-1.54277901584193i</v>
      </c>
      <c r="AD260" s="20">
        <f t="shared" si="191"/>
        <v>3.7712925397020367</v>
      </c>
      <c r="AE260" s="44">
        <f t="shared" si="192"/>
        <v>-91.985830650900425</v>
      </c>
      <c r="AF260" t="str">
        <f t="shared" si="177"/>
        <v>-0.979317078436135</v>
      </c>
      <c r="AG260" t="str">
        <f t="shared" si="193"/>
        <v>16526.4612006218i</v>
      </c>
      <c r="AH260">
        <f t="shared" si="194"/>
        <v>16526.461200621801</v>
      </c>
      <c r="AI260">
        <f t="shared" si="195"/>
        <v>1.5707963267948966</v>
      </c>
      <c r="AJ260" t="str">
        <f t="shared" si="178"/>
        <v>-3.22767969234817+16.1946098597133i</v>
      </c>
      <c r="AK260">
        <f t="shared" si="196"/>
        <v>16.513125225247947</v>
      </c>
      <c r="AL260">
        <f t="shared" si="197"/>
        <v>1.7675242987236814</v>
      </c>
      <c r="AM260" t="str">
        <f t="shared" si="179"/>
        <v>1+2299.16128223051i</v>
      </c>
      <c r="AN260">
        <f t="shared" si="198"/>
        <v>2299.161499701107</v>
      </c>
      <c r="AO260">
        <f t="shared" si="199"/>
        <v>1.5703613856080079</v>
      </c>
      <c r="AP260" t="str">
        <f t="shared" si="180"/>
        <v>1+15.5348735285845i</v>
      </c>
      <c r="AQ260">
        <f t="shared" si="200"/>
        <v>15.567025905712224</v>
      </c>
      <c r="AR260">
        <f t="shared" si="201"/>
        <v>1.5065137176952563</v>
      </c>
      <c r="AS260" s="42" t="str">
        <f t="shared" si="202"/>
        <v>-0.124072130586863+0.0331979745695998i</v>
      </c>
      <c r="AT260">
        <f t="shared" si="203"/>
        <v>-17.826213756527491</v>
      </c>
      <c r="AU260" s="44">
        <f t="shared" si="204"/>
        <v>165.02027500446874</v>
      </c>
      <c r="AV260" s="42" t="str">
        <f t="shared" si="181"/>
        <v>0.0578541335318388+0.189640019058235i</v>
      </c>
      <c r="AW260" s="20">
        <f t="shared" si="205"/>
        <v>-14.054921216825454</v>
      </c>
      <c r="AX260" s="44">
        <f t="shared" si="206"/>
        <v>73.034444353568333</v>
      </c>
    </row>
    <row r="261" spans="14:50" x14ac:dyDescent="0.3">
      <c r="N261" s="8">
        <v>43</v>
      </c>
      <c r="O261" s="35">
        <f t="shared" si="207"/>
        <v>2691.5348039269184</v>
      </c>
      <c r="P261" s="34" t="str">
        <f t="shared" si="172"/>
        <v>545.10556621881</v>
      </c>
      <c r="Q261" s="4" t="str">
        <f t="shared" si="173"/>
        <v>1+361.274500620251i</v>
      </c>
      <c r="R261" s="4">
        <f t="shared" si="182"/>
        <v>361.27588460678049</v>
      </c>
      <c r="S261" s="4">
        <f t="shared" si="183"/>
        <v>1.568028355503279</v>
      </c>
      <c r="T261" s="4" t="str">
        <f t="shared" si="174"/>
        <v>1+0.00845570596689805i</v>
      </c>
      <c r="U261" s="4">
        <f t="shared" si="184"/>
        <v>1.0000357488427094</v>
      </c>
      <c r="V261" s="4">
        <f t="shared" si="185"/>
        <v>8.4555044508057495E-3</v>
      </c>
      <c r="W261" t="str">
        <f t="shared" si="175"/>
        <v>1-0.00878378735841367i</v>
      </c>
      <c r="X261" s="4">
        <f t="shared" si="186"/>
        <v>1.0000385767160973</v>
      </c>
      <c r="Y261" s="4">
        <f t="shared" si="187"/>
        <v>-8.783561464732836E-3</v>
      </c>
      <c r="Z261" t="str">
        <f t="shared" si="176"/>
        <v>0.999536360985552+0.038037643668022i</v>
      </c>
      <c r="AA261" s="4">
        <f t="shared" si="188"/>
        <v>1.0002598658688926</v>
      </c>
      <c r="AB261" s="4">
        <f t="shared" si="189"/>
        <v>3.8036932912060367E-2</v>
      </c>
      <c r="AC261" s="48" t="str">
        <f t="shared" si="190"/>
        <v>-0.053688711519158-1.50759907671064i</v>
      </c>
      <c r="AD261" s="20">
        <f t="shared" si="191"/>
        <v>3.5712215714128615</v>
      </c>
      <c r="AE261" s="44">
        <f t="shared" si="192"/>
        <v>-92.039558930997927</v>
      </c>
      <c r="AF261" t="str">
        <f t="shared" si="177"/>
        <v>-0.979317078436135</v>
      </c>
      <c r="AG261" t="str">
        <f t="shared" si="193"/>
        <v>16911.4119337961i</v>
      </c>
      <c r="AH261">
        <f t="shared" si="194"/>
        <v>16911.411933796098</v>
      </c>
      <c r="AI261">
        <f t="shared" si="195"/>
        <v>1.5707963267948966</v>
      </c>
      <c r="AJ261" t="str">
        <f t="shared" si="178"/>
        <v>-3.42692409787283+16.5718307821655i</v>
      </c>
      <c r="AK261">
        <f t="shared" si="196"/>
        <v>16.922452075432492</v>
      </c>
      <c r="AL261">
        <f t="shared" si="197"/>
        <v>1.7747141639319923</v>
      </c>
      <c r="AM261" t="str">
        <f t="shared" si="179"/>
        <v>1+2352.71562822971i</v>
      </c>
      <c r="AN261">
        <f t="shared" si="198"/>
        <v>2352.7158407500724</v>
      </c>
      <c r="AO261">
        <f t="shared" si="199"/>
        <v>1.5703712860769359</v>
      </c>
      <c r="AP261" t="str">
        <f t="shared" si="180"/>
        <v>1+15.8967272177684i</v>
      </c>
      <c r="AQ261">
        <f t="shared" si="200"/>
        <v>15.928149177984825</v>
      </c>
      <c r="AR261">
        <f t="shared" si="201"/>
        <v>1.5079730768815502</v>
      </c>
      <c r="AS261" s="42" t="str">
        <f t="shared" si="202"/>
        <v>-0.123687982334704+0.0338545864159808i</v>
      </c>
      <c r="AT261">
        <f t="shared" si="203"/>
        <v>-17.839700836562649</v>
      </c>
      <c r="AU261" s="44">
        <f t="shared" si="204"/>
        <v>164.69250845001756</v>
      </c>
      <c r="AV261" s="42" t="str">
        <f t="shared" si="181"/>
        <v>0.0576797916251079+0.184654278844314i</v>
      </c>
      <c r="AW261" s="20">
        <f t="shared" si="205"/>
        <v>-14.268479265149773</v>
      </c>
      <c r="AX261" s="44">
        <f t="shared" si="206"/>
        <v>72.652949519019629</v>
      </c>
    </row>
    <row r="262" spans="14:50" x14ac:dyDescent="0.3">
      <c r="N262" s="8">
        <v>44</v>
      </c>
      <c r="O262" s="35">
        <f t="shared" si="207"/>
        <v>2754.228703338169</v>
      </c>
      <c r="P262" s="34" t="str">
        <f t="shared" si="172"/>
        <v>545.10556621881</v>
      </c>
      <c r="Q262" s="4" t="str">
        <f t="shared" si="173"/>
        <v>1+369.689664774432i</v>
      </c>
      <c r="R262" s="4">
        <f t="shared" si="182"/>
        <v>369.69101725769849</v>
      </c>
      <c r="S262" s="4">
        <f t="shared" si="183"/>
        <v>1.568091361911272</v>
      </c>
      <c r="T262" s="4" t="str">
        <f t="shared" si="174"/>
        <v>1+0.00865266466071335i</v>
      </c>
      <c r="U262" s="4">
        <f t="shared" si="184"/>
        <v>1.0000374336022282</v>
      </c>
      <c r="V262" s="4">
        <f t="shared" si="185"/>
        <v>8.6524487327666669E-3</v>
      </c>
      <c r="W262" t="str">
        <f t="shared" si="175"/>
        <v>1-0.008988388049549i</v>
      </c>
      <c r="X262" s="4">
        <f t="shared" si="186"/>
        <v>1.0000403947439971</v>
      </c>
      <c r="Y262" s="4">
        <f t="shared" si="187"/>
        <v>-8.9881460006371056E-3</v>
      </c>
      <c r="Z262" t="str">
        <f t="shared" si="176"/>
        <v>0.999514510351981+0.0389236542083594i</v>
      </c>
      <c r="AA262" s="4">
        <f t="shared" si="188"/>
        <v>1.0002721166068222</v>
      </c>
      <c r="AB262" s="4">
        <f t="shared" si="189"/>
        <v>3.8922892548271068E-2</v>
      </c>
      <c r="AC262" s="48" t="str">
        <f t="shared" si="190"/>
        <v>-0.0538754719512333-1.47321843897638i</v>
      </c>
      <c r="AD262" s="20">
        <f t="shared" si="191"/>
        <v>3.3711471123990355</v>
      </c>
      <c r="AE262" s="44">
        <f t="shared" si="192"/>
        <v>-92.094368434537387</v>
      </c>
      <c r="AF262" t="str">
        <f t="shared" si="177"/>
        <v>-0.979317078436135</v>
      </c>
      <c r="AG262" t="str">
        <f t="shared" si="193"/>
        <v>17305.3293214267i</v>
      </c>
      <c r="AH262">
        <f t="shared" si="194"/>
        <v>17305.3293214267</v>
      </c>
      <c r="AI262">
        <f t="shared" si="195"/>
        <v>1.5707963267948966</v>
      </c>
      <c r="AJ262" t="str">
        <f t="shared" si="178"/>
        <v>-3.63555860293714+16.9578383086524i</v>
      </c>
      <c r="AK262">
        <f t="shared" si="196"/>
        <v>17.343170599915954</v>
      </c>
      <c r="AL262">
        <f t="shared" si="197"/>
        <v>1.7819875412445689</v>
      </c>
      <c r="AM262" t="str">
        <f t="shared" si="179"/>
        <v>1+2407.51741519688i</v>
      </c>
      <c r="AN262">
        <f t="shared" si="198"/>
        <v>2407.5176228796886</v>
      </c>
      <c r="AO262">
        <f t="shared" si="199"/>
        <v>1.5703809611837578</v>
      </c>
      <c r="AP262" t="str">
        <f t="shared" si="180"/>
        <v>1+16.2670095621411i</v>
      </c>
      <c r="AQ262">
        <f t="shared" si="200"/>
        <v>16.29771763452754</v>
      </c>
      <c r="AR262">
        <f t="shared" si="201"/>
        <v>1.5093994759558036</v>
      </c>
      <c r="AS262" s="42" t="str">
        <f t="shared" si="202"/>
        <v>-0.123288318473238+0.0345200282145701i</v>
      </c>
      <c r="AT262">
        <f t="shared" si="203"/>
        <v>-17.853775444399155</v>
      </c>
      <c r="AU262" s="44">
        <f t="shared" si="204"/>
        <v>164.3580556168441</v>
      </c>
      <c r="AV262" s="42" t="str">
        <f t="shared" si="181"/>
        <v>0.0574977584235092+0.179770841273337i</v>
      </c>
      <c r="AW262" s="20">
        <f t="shared" si="205"/>
        <v>-14.4826283320001</v>
      </c>
      <c r="AX262" s="44">
        <f t="shared" si="206"/>
        <v>72.263687182306754</v>
      </c>
    </row>
    <row r="263" spans="14:50" x14ac:dyDescent="0.3">
      <c r="N263" s="8">
        <v>45</v>
      </c>
      <c r="O263" s="35">
        <f t="shared" si="207"/>
        <v>2818.3829312644561</v>
      </c>
      <c r="P263" s="34" t="str">
        <f t="shared" si="172"/>
        <v>545.10556621881</v>
      </c>
      <c r="Q263" s="4" t="str">
        <f t="shared" si="173"/>
        <v>1+378.300843282298i</v>
      </c>
      <c r="R263" s="4">
        <f t="shared" si="182"/>
        <v>378.30216497939551</v>
      </c>
      <c r="S263" s="4">
        <f t="shared" si="183"/>
        <v>1.5681529341390739</v>
      </c>
      <c r="T263" s="4" t="str">
        <f t="shared" si="174"/>
        <v>1+0.0088542111118633i</v>
      </c>
      <c r="U263" s="4">
        <f t="shared" si="184"/>
        <v>1.0000391977589744</v>
      </c>
      <c r="V263" s="4">
        <f t="shared" si="185"/>
        <v>8.8539797413896872E-3</v>
      </c>
      <c r="W263" t="str">
        <f t="shared" si="175"/>
        <v>1-0.00919775450300357i</v>
      </c>
      <c r="X263" s="4">
        <f t="shared" si="186"/>
        <v>1.0000422984493693</v>
      </c>
      <c r="Y263" s="4">
        <f t="shared" si="187"/>
        <v>-9.1974951435141398E-3</v>
      </c>
      <c r="Z263" t="str">
        <f t="shared" si="176"/>
        <v>0.999491629929776+0.0398303025853735i</v>
      </c>
      <c r="AA263" s="4">
        <f t="shared" si="188"/>
        <v>1.0002849450550191</v>
      </c>
      <c r="AB263" s="4">
        <f t="shared" si="189"/>
        <v>3.9829486371827379E-2</v>
      </c>
      <c r="AC263" s="48" t="str">
        <f t="shared" si="190"/>
        <v>-0.0540537138204552-1.43961887694958i</v>
      </c>
      <c r="AD263" s="20">
        <f t="shared" si="191"/>
        <v>3.171069004495501</v>
      </c>
      <c r="AE263" s="44">
        <f t="shared" si="192"/>
        <v>-92.150288209244465</v>
      </c>
      <c r="AF263" t="str">
        <f t="shared" si="177"/>
        <v>-0.979317078436135</v>
      </c>
      <c r="AG263" t="str">
        <f t="shared" si="193"/>
        <v>17708.4222237266i</v>
      </c>
      <c r="AH263">
        <f t="shared" si="194"/>
        <v>17708.4222237266</v>
      </c>
      <c r="AI263">
        <f t="shared" si="195"/>
        <v>1.5707963267948966</v>
      </c>
      <c r="AJ263" t="str">
        <f t="shared" si="178"/>
        <v>-3.85402574929841+17.3528371054741i</v>
      </c>
      <c r="AK263">
        <f t="shared" si="196"/>
        <v>17.775670735175478</v>
      </c>
      <c r="AL263">
        <f t="shared" si="197"/>
        <v>1.7893466368267059</v>
      </c>
      <c r="AM263" t="str">
        <f t="shared" si="179"/>
        <v>1+2463.59569976484i</v>
      </c>
      <c r="AN263">
        <f t="shared" si="198"/>
        <v>2463.5959027202111</v>
      </c>
      <c r="AO263">
        <f t="shared" si="199"/>
        <v>1.5703904160583362</v>
      </c>
      <c r="AP263" t="str">
        <f t="shared" si="180"/>
        <v>1+16.645916890303i</v>
      </c>
      <c r="AQ263">
        <f t="shared" si="200"/>
        <v>16.675927234156266</v>
      </c>
      <c r="AR263">
        <f t="shared" si="201"/>
        <v>1.5107936479832089</v>
      </c>
      <c r="AS263" s="42" t="str">
        <f t="shared" si="202"/>
        <v>-0.122872622947419+0.0351940952950164i</v>
      </c>
      <c r="AT263">
        <f t="shared" si="203"/>
        <v>-17.868461452423748</v>
      </c>
      <c r="AU263" s="44">
        <f t="shared" si="204"/>
        <v>164.01683239644896</v>
      </c>
      <c r="AV263" s="42" t="str">
        <f t="shared" si="181"/>
        <v>0.0573078055410365+0.174987375900166i</v>
      </c>
      <c r="AW263" s="20">
        <f t="shared" si="205"/>
        <v>-14.697392447928239</v>
      </c>
      <c r="AX263" s="44">
        <f t="shared" si="206"/>
        <v>71.866544187204497</v>
      </c>
    </row>
    <row r="264" spans="14:50" x14ac:dyDescent="0.3">
      <c r="N264" s="8">
        <v>46</v>
      </c>
      <c r="O264" s="35">
        <f t="shared" si="207"/>
        <v>2884.0315031266077</v>
      </c>
      <c r="P264" s="34" t="str">
        <f t="shared" si="172"/>
        <v>545.10556621881</v>
      </c>
      <c r="Q264" s="4" t="str">
        <f t="shared" si="173"/>
        <v>1+387.112601904675i</v>
      </c>
      <c r="R264" s="4">
        <f t="shared" si="182"/>
        <v>387.11389351637513</v>
      </c>
      <c r="S264" s="4">
        <f t="shared" si="183"/>
        <v>1.5682131048312262</v>
      </c>
      <c r="T264" s="4" t="str">
        <f t="shared" si="174"/>
        <v>1+0.0090604521829441i</v>
      </c>
      <c r="U264" s="4">
        <f t="shared" si="184"/>
        <v>1.0000410450545314</v>
      </c>
      <c r="V264" s="4">
        <f t="shared" si="185"/>
        <v>9.0602042655645171E-3</v>
      </c>
      <c r="W264" t="str">
        <f t="shared" si="175"/>
        <v>1-0.0094119977276423i</v>
      </c>
      <c r="X264" s="4">
        <f t="shared" si="186"/>
        <v>1.0000442918697277</v>
      </c>
      <c r="Y264" s="4">
        <f t="shared" si="187"/>
        <v>-9.4117198196071467E-3</v>
      </c>
      <c r="Z264" t="str">
        <f t="shared" si="176"/>
        <v>0.999467671186494+0.0407580695160347i</v>
      </c>
      <c r="AA264" s="4">
        <f t="shared" si="188"/>
        <v>1.000298378473957</v>
      </c>
      <c r="AB264" s="4">
        <f t="shared" si="189"/>
        <v>4.0757194837640703E-2</v>
      </c>
      <c r="AC264" s="48" t="str">
        <f t="shared" si="190"/>
        <v>-0.0542238151861205-1.40678257886632i</v>
      </c>
      <c r="AD264" s="20">
        <f t="shared" si="191"/>
        <v>2.9709870817754238</v>
      </c>
      <c r="AE264" s="44">
        <f t="shared" si="192"/>
        <v>-92.207347890605234</v>
      </c>
      <c r="AF264" t="str">
        <f t="shared" si="177"/>
        <v>-0.979317078436135</v>
      </c>
      <c r="AG264" t="str">
        <f t="shared" si="193"/>
        <v>18120.9043658882i</v>
      </c>
      <c r="AH264">
        <f t="shared" si="194"/>
        <v>18120.9043658882</v>
      </c>
      <c r="AI264">
        <f t="shared" si="195"/>
        <v>1.5707963267948966</v>
      </c>
      <c r="AJ264" t="str">
        <f t="shared" si="178"/>
        <v>-4.08278893506453+17.7570366062211i</v>
      </c>
      <c r="AK264">
        <f t="shared" si="196"/>
        <v>18.220359890050513</v>
      </c>
      <c r="AL264">
        <f t="shared" si="197"/>
        <v>1.7967936044543176</v>
      </c>
      <c r="AM264" t="str">
        <f t="shared" si="179"/>
        <v>1+2520.98021538237i</v>
      </c>
      <c r="AN264">
        <f t="shared" si="198"/>
        <v>2520.9804137179131</v>
      </c>
      <c r="AO264">
        <f t="shared" si="199"/>
        <v>1.5703996557137636</v>
      </c>
      <c r="AP264" t="str">
        <f t="shared" si="180"/>
        <v>1+17.0336501039349i</v>
      </c>
      <c r="AQ264">
        <f t="shared" si="200"/>
        <v>17.062978516756136</v>
      </c>
      <c r="AR264">
        <f t="shared" si="201"/>
        <v>1.5121563104809936</v>
      </c>
      <c r="AS264" s="42" t="str">
        <f t="shared" si="202"/>
        <v>-0.122440372915782+0.0358765577770057i</v>
      </c>
      <c r="AT264">
        <f t="shared" si="203"/>
        <v>-17.883783510291579</v>
      </c>
      <c r="AU264" s="44">
        <f t="shared" si="204"/>
        <v>163.66875678450018</v>
      </c>
      <c r="AV264" s="42" t="str">
        <f t="shared" si="181"/>
        <v>0.0571097006226876+0.170301619729403i</v>
      </c>
      <c r="AW264" s="20">
        <f t="shared" si="205"/>
        <v>-14.912796428516167</v>
      </c>
      <c r="AX264" s="44">
        <f t="shared" si="206"/>
        <v>71.461408893894941</v>
      </c>
    </row>
    <row r="265" spans="14:50" x14ac:dyDescent="0.3">
      <c r="N265" s="8">
        <v>47</v>
      </c>
      <c r="O265" s="35">
        <f t="shared" si="207"/>
        <v>2951.2092266663876</v>
      </c>
      <c r="P265" s="34" t="str">
        <f t="shared" si="172"/>
        <v>545.10556621881</v>
      </c>
      <c r="Q265" s="4" t="str">
        <f t="shared" si="173"/>
        <v>1+396.129612752623i</v>
      </c>
      <c r="R265" s="4">
        <f t="shared" si="182"/>
        <v>396.13087496374618</v>
      </c>
      <c r="S265" s="4">
        <f t="shared" si="183"/>
        <v>1.5682719058892827</v>
      </c>
      <c r="T265" s="4" t="str">
        <f t="shared" si="174"/>
        <v>1+0.00927149722570155i</v>
      </c>
      <c r="U265" s="4">
        <f t="shared" si="184"/>
        <v>1.0000429794067884</v>
      </c>
      <c r="V265" s="4">
        <f t="shared" si="185"/>
        <v>9.2712315780598357E-3</v>
      </c>
      <c r="W265" t="str">
        <f t="shared" si="175"/>
        <v>1-0.00963123131805874i</v>
      </c>
      <c r="X265" s="4">
        <f t="shared" si="186"/>
        <v>1.0000463792328345</v>
      </c>
      <c r="Y265" s="4">
        <f t="shared" si="187"/>
        <v>-9.6309335349798689E-3</v>
      </c>
      <c r="Z265" t="str">
        <f t="shared" si="176"/>
        <v>0.999442583302428+0.0417074469146501i</v>
      </c>
      <c r="AA265" s="4">
        <f t="shared" si="188"/>
        <v>1.0003124454121168</v>
      </c>
      <c r="AB265" s="4">
        <f t="shared" si="189"/>
        <v>4.1706509579087406E-2</v>
      </c>
      <c r="AC265" s="48" t="str">
        <f t="shared" si="190"/>
        <v>-0.0543861368419381-1.37469213745947i</v>
      </c>
      <c r="AD265" s="20">
        <f t="shared" si="191"/>
        <v>2.7709011701964235</v>
      </c>
      <c r="AE265" s="44">
        <f t="shared" si="192"/>
        <v>-92.265577717511491</v>
      </c>
      <c r="AF265" t="str">
        <f t="shared" si="177"/>
        <v>-0.979317078436135</v>
      </c>
      <c r="AG265" t="str">
        <f t="shared" si="193"/>
        <v>18542.9944514031i</v>
      </c>
      <c r="AH265">
        <f t="shared" si="194"/>
        <v>18542.994451403101</v>
      </c>
      <c r="AI265">
        <f t="shared" si="195"/>
        <v>1.5707963267948966</v>
      </c>
      <c r="AJ265" t="str">
        <f t="shared" si="178"/>
        <v>-4.32233339762329+18.1706511228189i</v>
      </c>
      <c r="AK265">
        <f t="shared" si="196"/>
        <v>18.677663885706085</v>
      </c>
      <c r="AL265">
        <f t="shared" si="197"/>
        <v>1.8043305413035704</v>
      </c>
      <c r="AM265" t="str">
        <f t="shared" si="179"/>
        <v>1+2579.7013880792i</v>
      </c>
      <c r="AN265">
        <f t="shared" si="198"/>
        <v>2579.7015819000753</v>
      </c>
      <c r="AO265">
        <f t="shared" si="199"/>
        <v>1.5704086850490215</v>
      </c>
      <c r="AP265" t="str">
        <f t="shared" si="180"/>
        <v>1+17.430414784319i</v>
      </c>
      <c r="AQ265">
        <f t="shared" si="200"/>
        <v>17.459076709648947</v>
      </c>
      <c r="AR265">
        <f t="shared" si="201"/>
        <v>1.5134881656973411</v>
      </c>
      <c r="AS265" s="42" t="str">
        <f t="shared" si="202"/>
        <v>-0.121991039652079+0.0365671593391782i</v>
      </c>
      <c r="AT265">
        <f t="shared" si="203"/>
        <v>-17.899767054702373</v>
      </c>
      <c r="AU265" s="44">
        <f t="shared" si="204"/>
        <v>163.31374913820261</v>
      </c>
      <c r="AV265" s="42" t="str">
        <f t="shared" si="181"/>
        <v>0.0569032078088042+0.165711376518478i</v>
      </c>
      <c r="AW265" s="20">
        <f t="shared" si="205"/>
        <v>-15.128865884505942</v>
      </c>
      <c r="AX265" s="44">
        <f t="shared" si="206"/>
        <v>71.048171420691133</v>
      </c>
    </row>
    <row r="266" spans="14:50" x14ac:dyDescent="0.3">
      <c r="N266" s="8">
        <v>48</v>
      </c>
      <c r="O266" s="35">
        <f t="shared" si="207"/>
        <v>3019.9517204020176</v>
      </c>
      <c r="P266" s="34" t="str">
        <f t="shared" si="172"/>
        <v>545.10556621881</v>
      </c>
      <c r="Q266" s="4" t="str">
        <f t="shared" si="173"/>
        <v>1+405.356656764648i</v>
      </c>
      <c r="R266" s="4">
        <f t="shared" si="182"/>
        <v>405.35789024442664</v>
      </c>
      <c r="S266" s="4">
        <f t="shared" si="183"/>
        <v>1.5683293684887154</v>
      </c>
      <c r="T266" s="4" t="str">
        <f t="shared" si="174"/>
        <v>1+0.00948745813901085i</v>
      </c>
      <c r="U266" s="4">
        <f t="shared" si="184"/>
        <v>1.0000450049182485</v>
      </c>
      <c r="V266" s="4">
        <f t="shared" si="185"/>
        <v>9.4871734931262081E-3</v>
      </c>
      <c r="W266" t="str">
        <f t="shared" si="175"/>
        <v>1-0.00985557151480444i</v>
      </c>
      <c r="X266" s="4">
        <f t="shared" si="186"/>
        <v>1.0000485649656639</v>
      </c>
      <c r="Y266" s="4">
        <f t="shared" si="187"/>
        <v>-9.8552524353235395E-3</v>
      </c>
      <c r="Z266" t="str">
        <f t="shared" si="176"/>
        <v>0.999416313062812+0.042678938153683i</v>
      </c>
      <c r="AA266" s="4">
        <f t="shared" si="188"/>
        <v>1.000327175767004</v>
      </c>
      <c r="AB266" s="4">
        <f t="shared" si="189"/>
        <v>4.2677933667462954E-2</v>
      </c>
      <c r="AC266" s="48" t="str">
        <f t="shared" si="190"/>
        <v>-0.054541023081202-1.34333054074325i</v>
      </c>
      <c r="AD266" s="20">
        <f t="shared" si="191"/>
        <v>2.57081108722867</v>
      </c>
      <c r="AE266" s="44">
        <f t="shared" si="192"/>
        <v>-92.325008548221518</v>
      </c>
      <c r="AF266" t="str">
        <f t="shared" si="177"/>
        <v>-0.979317078436135</v>
      </c>
      <c r="AG266" t="str">
        <f t="shared" si="193"/>
        <v>18974.9162780217i</v>
      </c>
      <c r="AH266">
        <f t="shared" si="194"/>
        <v>18974.916278021701</v>
      </c>
      <c r="AI266">
        <f t="shared" si="195"/>
        <v>1.5707963267948966</v>
      </c>
      <c r="AJ266" t="str">
        <f t="shared" si="178"/>
        <v>-4.57316724289609+18.593899959159i</v>
      </c>
      <c r="AK266">
        <f t="shared" si="196"/>
        <v>19.148027948661209</v>
      </c>
      <c r="AL266">
        <f t="shared" si="197"/>
        <v>1.8119594835252231</v>
      </c>
      <c r="AM266" t="str">
        <f t="shared" si="179"/>
        <v>1+2639.79035259838i</v>
      </c>
      <c r="AN266">
        <f t="shared" si="198"/>
        <v>2639.7905420073544</v>
      </c>
      <c r="AO266">
        <f t="shared" si="199"/>
        <v>1.5704175088515773</v>
      </c>
      <c r="AP266" t="str">
        <f t="shared" si="180"/>
        <v>1+17.8364213013404i</v>
      </c>
      <c r="AQ266">
        <f t="shared" si="200"/>
        <v>17.864431836442758</v>
      </c>
      <c r="AR266">
        <f t="shared" si="201"/>
        <v>1.5147899008888592</v>
      </c>
      <c r="AS266" s="42" t="str">
        <f t="shared" si="202"/>
        <v>-0.121524089553471+0.0372656159867717i</v>
      </c>
      <c r="AT266">
        <f t="shared" si="203"/>
        <v>-17.916438317729646</v>
      </c>
      <c r="AU266" s="44">
        <f t="shared" si="204"/>
        <v>162.95173244591618</v>
      </c>
      <c r="AV266" s="42" t="str">
        <f t="shared" si="181"/>
        <v>0.0566880882478983+0.161214516111526i</v>
      </c>
      <c r="AW266" s="20">
        <f t="shared" si="205"/>
        <v>-15.345627230500956</v>
      </c>
      <c r="AX266" s="44">
        <f t="shared" si="206"/>
        <v>70.62672389769466</v>
      </c>
    </row>
    <row r="267" spans="14:50" x14ac:dyDescent="0.3">
      <c r="N267" s="8">
        <v>49</v>
      </c>
      <c r="O267" s="35">
        <f t="shared" si="207"/>
        <v>3090.295432513592</v>
      </c>
      <c r="P267" s="34" t="str">
        <f t="shared" si="172"/>
        <v>545.10556621881</v>
      </c>
      <c r="Q267" s="4" t="str">
        <f t="shared" si="173"/>
        <v>1+414.798626241619i</v>
      </c>
      <c r="R267" s="4">
        <f t="shared" si="182"/>
        <v>414.79983164405252</v>
      </c>
      <c r="S267" s="4">
        <f t="shared" si="183"/>
        <v>1.5683855230954362</v>
      </c>
      <c r="T267" s="4" t="str">
        <f t="shared" si="174"/>
        <v>1+0.0097084494282068i</v>
      </c>
      <c r="U267" s="4">
        <f t="shared" si="184"/>
        <v>1.0000471258847254</v>
      </c>
      <c r="V267" s="4">
        <f t="shared" si="185"/>
        <v>9.7081444254225081E-3</v>
      </c>
      <c r="W267" t="str">
        <f t="shared" si="175"/>
        <v>1-0.0100851372660212i</v>
      </c>
      <c r="X267" s="4">
        <f t="shared" si="186"/>
        <v>1.0000508537037875</v>
      </c>
      <c r="Y267" s="4">
        <f t="shared" si="187"/>
        <v>-1.0084795367136501E-2</v>
      </c>
      <c r="Z267" t="str">
        <f t="shared" si="176"/>
        <v>0.999388804744946+0.0436730583306475i</v>
      </c>
      <c r="AA267" s="4">
        <f t="shared" si="188"/>
        <v>1.000342600849071</v>
      </c>
      <c r="AB267" s="4">
        <f t="shared" si="189"/>
        <v>4.3671981877411351E-2</v>
      </c>
      <c r="AC267" s="48" t="str">
        <f t="shared" si="190"/>
        <v>-0.0546888024269751-1.31268116300665i</v>
      </c>
      <c r="AD267" s="20">
        <f t="shared" si="191"/>
        <v>2.3707166414656502</v>
      </c>
      <c r="AE267" s="44">
        <f t="shared" si="192"/>
        <v>-92.385671876643698</v>
      </c>
      <c r="AF267" t="str">
        <f t="shared" si="177"/>
        <v>-0.979317078436135</v>
      </c>
      <c r="AG267" t="str">
        <f t="shared" si="193"/>
        <v>19416.8988564136i</v>
      </c>
      <c r="AH267">
        <f t="shared" si="194"/>
        <v>19416.898856413602</v>
      </c>
      <c r="AI267">
        <f t="shared" si="195"/>
        <v>1.5707963267948966</v>
      </c>
      <c r="AJ267" t="str">
        <f t="shared" si="178"/>
        <v>-4.83582252309861+19.0270075273768i</v>
      </c>
      <c r="AK267">
        <f t="shared" si="196"/>
        <v>19.631917759652552</v>
      </c>
      <c r="AL267">
        <f t="shared" si="197"/>
        <v>1.8196824016037605</v>
      </c>
      <c r="AM267" t="str">
        <f t="shared" si="179"/>
        <v>1+2701.27896890426i</v>
      </c>
      <c r="AN267">
        <f t="shared" si="198"/>
        <v>2701.2791540017597</v>
      </c>
      <c r="AO267">
        <f t="shared" si="199"/>
        <v>1.570426131799922</v>
      </c>
      <c r="AP267" t="str">
        <f t="shared" si="180"/>
        <v>1+18.2518849250288i</v>
      </c>
      <c r="AQ267">
        <f t="shared" si="200"/>
        <v>18.279258828423366</v>
      </c>
      <c r="AR267">
        <f t="shared" si="201"/>
        <v>1.5160621885963155</v>
      </c>
      <c r="AS267" s="42" t="str">
        <f t="shared" si="202"/>
        <v>-0.12103898526058+0.0379716148249973i</v>
      </c>
      <c r="AT267">
        <f t="shared" si="203"/>
        <v>-17.93382433353942</v>
      </c>
      <c r="AU267" s="44">
        <f t="shared" si="204"/>
        <v>162.58263260900148</v>
      </c>
      <c r="AV267" s="42" t="str">
        <f t="shared" si="181"/>
        <v>0.0564641006605954+0.156808973800005i</v>
      </c>
      <c r="AW267" s="20">
        <f t="shared" si="205"/>
        <v>-15.563107692073794</v>
      </c>
      <c r="AX267" s="44">
        <f t="shared" si="206"/>
        <v>70.196960732357724</v>
      </c>
    </row>
    <row r="268" spans="14:50" x14ac:dyDescent="0.3">
      <c r="N268" s="8">
        <v>50</v>
      </c>
      <c r="O268" s="35">
        <f t="shared" si="207"/>
        <v>3162.2776601683804</v>
      </c>
      <c r="P268" s="34" t="str">
        <f t="shared" si="172"/>
        <v>545.10556621881</v>
      </c>
      <c r="Q268" s="4" t="str">
        <f t="shared" si="173"/>
        <v>1+424.460527440732i</v>
      </c>
      <c r="R268" s="4">
        <f t="shared" si="182"/>
        <v>424.46170540493335</v>
      </c>
      <c r="S268" s="4">
        <f t="shared" si="183"/>
        <v>1.5684403994819434</v>
      </c>
      <c r="T268" s="4" t="str">
        <f t="shared" si="174"/>
        <v>1+0.0099345882657961i</v>
      </c>
      <c r="U268" s="4">
        <f t="shared" si="184"/>
        <v>1.0000493468044518</v>
      </c>
      <c r="V268" s="4">
        <f t="shared" si="185"/>
        <v>9.9342614502955489E-3</v>
      </c>
      <c r="W268" t="str">
        <f t="shared" si="175"/>
        <v>1-0.010320050290509i</v>
      </c>
      <c r="X268" s="4">
        <f t="shared" si="186"/>
        <v>1.0000532503012021</v>
      </c>
      <c r="Y268" s="4">
        <f t="shared" si="187"/>
        <v>-1.0319683940307162E-2</v>
      </c>
      <c r="Z268" t="str">
        <f t="shared" si="176"/>
        <v>0.99936+0.0446903345412201i</v>
      </c>
      <c r="AA268" s="4">
        <f t="shared" si="188"/>
        <v>1.0003587534486846</v>
      </c>
      <c r="AB268" s="4">
        <f t="shared" si="189"/>
        <v>4.4689180958464858E-2</v>
      </c>
      <c r="AC268" s="48" t="str">
        <f t="shared" si="190"/>
        <v>-0.0548297883288345-1.2827277560107i</v>
      </c>
      <c r="AD268" s="20">
        <f t="shared" si="191"/>
        <v>2.1706176322148925</v>
      </c>
      <c r="AE268" s="44">
        <f t="shared" si="192"/>
        <v>-92.447599848951711</v>
      </c>
      <c r="AF268" t="str">
        <f t="shared" si="177"/>
        <v>-0.979317078436135</v>
      </c>
      <c r="AG268" t="str">
        <f t="shared" si="193"/>
        <v>19869.1765315922i</v>
      </c>
      <c r="AH268">
        <f t="shared" si="194"/>
        <v>19869.176531592198</v>
      </c>
      <c r="AI268">
        <f t="shared" si="195"/>
        <v>1.5707963267948966</v>
      </c>
      <c r="AJ268" t="str">
        <f t="shared" si="178"/>
        <v>-5.11085636529496+19.4702034668378i</v>
      </c>
      <c r="AK268">
        <f t="shared" si="196"/>
        <v>20.12982056121561</v>
      </c>
      <c r="AL268">
        <f t="shared" si="197"/>
        <v>1.8275011955027867</v>
      </c>
      <c r="AM268" t="str">
        <f t="shared" si="179"/>
        <v>1+2764.19983907511i</v>
      </c>
      <c r="AN268">
        <f t="shared" si="198"/>
        <v>2764.2000199592762</v>
      </c>
      <c r="AO268">
        <f t="shared" si="199"/>
        <v>1.5704345584660522</v>
      </c>
      <c r="AP268" t="str">
        <f t="shared" si="180"/>
        <v>1+18.6770259396967i</v>
      </c>
      <c r="AQ268">
        <f t="shared" si="200"/>
        <v>18.703777638544128</v>
      </c>
      <c r="AR268">
        <f t="shared" si="201"/>
        <v>1.5173056869183814</v>
      </c>
      <c r="AS268" s="42" t="str">
        <f t="shared" si="202"/>
        <v>-0.120535186894472+0.0386848128459606i</v>
      </c>
      <c r="AT268">
        <f t="shared" si="203"/>
        <v>-17.951952943326177</v>
      </c>
      <c r="AU268" s="44">
        <f t="shared" si="204"/>
        <v>162.2063787357952</v>
      </c>
      <c r="AV268" s="42" t="str">
        <f t="shared" si="181"/>
        <v>0.0562310019571933+0.152492749705592i</v>
      </c>
      <c r="AW268" s="20">
        <f t="shared" si="205"/>
        <v>-15.781335311111276</v>
      </c>
      <c r="AX268" s="44">
        <f t="shared" si="206"/>
        <v>69.758778886843544</v>
      </c>
    </row>
    <row r="269" spans="14:50" x14ac:dyDescent="0.3">
      <c r="N269" s="8">
        <v>51</v>
      </c>
      <c r="O269" s="35">
        <f t="shared" si="207"/>
        <v>3235.9365692962833</v>
      </c>
      <c r="P269" s="34" t="str">
        <f t="shared" si="172"/>
        <v>545.10556621881</v>
      </c>
      <c r="Q269" s="4" t="str">
        <f t="shared" si="173"/>
        <v>1+434.347483229893i</v>
      </c>
      <c r="R269" s="4">
        <f t="shared" si="182"/>
        <v>434.34863438042737</v>
      </c>
      <c r="S269" s="4">
        <f t="shared" si="183"/>
        <v>1.5684940267431009</v>
      </c>
      <c r="T269" s="4" t="str">
        <f t="shared" si="174"/>
        <v>1+0.0101659945535838i</v>
      </c>
      <c r="U269" s="4">
        <f t="shared" si="184"/>
        <v>1.0000516723876138</v>
      </c>
      <c r="V269" s="4">
        <f t="shared" si="185"/>
        <v>1.0165644365442948E-2</v>
      </c>
      <c r="W269" t="str">
        <f t="shared" si="175"/>
        <v>1-0.0105604351422628i</v>
      </c>
      <c r="X269" s="4">
        <f t="shared" si="186"/>
        <v>1.000055759840617</v>
      </c>
      <c r="Y269" s="4">
        <f t="shared" si="187"/>
        <v>-1.0560042592131157E-2</v>
      </c>
      <c r="Z269" t="str">
        <f t="shared" si="176"/>
        <v>0.999329837729247+0.045731306158713i</v>
      </c>
      <c r="AA269" s="4">
        <f t="shared" si="188"/>
        <v>1.0003756679062847</v>
      </c>
      <c r="AB269" s="4">
        <f t="shared" si="189"/>
        <v>4.5730069912830504E-2</v>
      </c>
      <c r="AC269" s="48" t="str">
        <f t="shared" si="190"/>
        <v>-0.0549642798276536-1.25345444038529i</v>
      </c>
      <c r="AD269" s="20">
        <f t="shared" si="191"/>
        <v>1.9705138490697018</v>
      </c>
      <c r="AE269" s="44">
        <f t="shared" si="192"/>
        <v>-92.510825280539422</v>
      </c>
      <c r="AF269" t="str">
        <f t="shared" si="177"/>
        <v>-0.979317078436135</v>
      </c>
      <c r="AG269" t="str">
        <f t="shared" si="193"/>
        <v>20331.9891071675i</v>
      </c>
      <c r="AH269">
        <f t="shared" si="194"/>
        <v>20331.989107167501</v>
      </c>
      <c r="AI269">
        <f t="shared" si="195"/>
        <v>1.5707963267948966</v>
      </c>
      <c r="AJ269" t="str">
        <f t="shared" si="178"/>
        <v>-5.3988521531389+19.9237227658956i</v>
      </c>
      <c r="AK269">
        <f t="shared" si="196"/>
        <v>20.642246326979997</v>
      </c>
      <c r="AL269">
        <f t="shared" si="197"/>
        <v>1.8354176895995395</v>
      </c>
      <c r="AM269" t="str">
        <f t="shared" si="179"/>
        <v>1+2828.58632458914i</v>
      </c>
      <c r="AN269">
        <f t="shared" si="198"/>
        <v>2828.5865013558805</v>
      </c>
      <c r="AO269">
        <f t="shared" si="199"/>
        <v>1.5704427933178926</v>
      </c>
      <c r="AP269" t="str">
        <f t="shared" si="180"/>
        <v>1+19.1120697607375i</v>
      </c>
      <c r="AQ269">
        <f t="shared" si="200"/>
        <v>19.138213358077518</v>
      </c>
      <c r="AR269">
        <f t="shared" si="201"/>
        <v>1.5185210397831557</v>
      </c>
      <c r="AS269" s="42" t="str">
        <f t="shared" si="202"/>
        <v>-0.120012153415312+0.0394048357377638i</v>
      </c>
      <c r="AT269">
        <f t="shared" si="203"/>
        <v>-17.970852798287016</v>
      </c>
      <c r="AU269" s="44">
        <f t="shared" si="204"/>
        <v>161.82290344753702</v>
      </c>
      <c r="AV269" s="42" t="str">
        <f t="shared" si="181"/>
        <v>0.0559885479111915+0.14826390818057i</v>
      </c>
      <c r="AW269" s="20">
        <f t="shared" si="205"/>
        <v>-16.000338949217333</v>
      </c>
      <c r="AX269" s="44">
        <f t="shared" si="206"/>
        <v>69.312078166997551</v>
      </c>
    </row>
    <row r="270" spans="14:50" x14ac:dyDescent="0.3">
      <c r="N270" s="8">
        <v>52</v>
      </c>
      <c r="O270" s="35">
        <f t="shared" si="207"/>
        <v>3311.3112148259115</v>
      </c>
      <c r="P270" s="34" t="str">
        <f t="shared" si="172"/>
        <v>545.10556621881</v>
      </c>
      <c r="Q270" s="4" t="str">
        <f t="shared" si="173"/>
        <v>1+444.464735803933i</v>
      </c>
      <c r="R270" s="4">
        <f t="shared" si="182"/>
        <v>444.46586075114919</v>
      </c>
      <c r="S270" s="4">
        <f t="shared" si="183"/>
        <v>1.5685464333115577</v>
      </c>
      <c r="T270" s="4" t="str">
        <f t="shared" si="174"/>
        <v>1+0.0104027909862466i</v>
      </c>
      <c r="U270" s="4">
        <f t="shared" si="184"/>
        <v>1.0000541075663374</v>
      </c>
      <c r="V270" s="4">
        <f t="shared" si="185"/>
        <v>1.0402415753989685E-2</v>
      </c>
      <c r="W270" t="str">
        <f t="shared" si="175"/>
        <v>1-0.0108064192765129i</v>
      </c>
      <c r="X270" s="4">
        <f t="shared" si="186"/>
        <v>1.0000583876442313</v>
      </c>
      <c r="Y270" s="4">
        <f t="shared" si="187"/>
        <v>-1.0805998652794904E-2</v>
      </c>
      <c r="Z270" t="str">
        <f t="shared" si="176"/>
        <v>0.999298253954468+0.0467965251200569i</v>
      </c>
      <c r="AA270" s="4">
        <f t="shared" si="188"/>
        <v>1.0003933801858949</v>
      </c>
      <c r="AB270" s="4">
        <f t="shared" si="189"/>
        <v>4.6795200279562507E-2</v>
      </c>
      <c r="AC270" s="48" t="str">
        <f>(IMDIV(IMPRODUCT(P270,T270,W270),IMPRODUCT(Q270,Z270)))</f>
        <v>-0.0550925621898292-1.22484569722075i</v>
      </c>
      <c r="AD270" s="20">
        <f t="shared" si="191"/>
        <v>1.7704050714591375</v>
      </c>
      <c r="AE270" s="44">
        <f t="shared" si="192"/>
        <v>-92.57538167332423</v>
      </c>
      <c r="AF270" t="str">
        <f t="shared" si="177"/>
        <v>-0.979317078436135</v>
      </c>
      <c r="AG270" t="str">
        <f t="shared" si="193"/>
        <v>20805.5819724932i</v>
      </c>
      <c r="AH270">
        <f t="shared" si="194"/>
        <v>20805.581972493201</v>
      </c>
      <c r="AI270">
        <f t="shared" si="195"/>
        <v>1.5707963267948966</v>
      </c>
      <c r="AJ270" t="str">
        <f t="shared" si="178"/>
        <v>-5.70042076430876+20.3878058864855i</v>
      </c>
      <c r="AK270">
        <f t="shared" si="196"/>
        <v>21.169728995789608</v>
      </c>
      <c r="AL270">
        <f t="shared" si="197"/>
        <v>1.8434336274130125</v>
      </c>
      <c r="AM270" t="str">
        <f t="shared" si="179"/>
        <v>1+2894.47256401325i</v>
      </c>
      <c r="AN270">
        <f t="shared" si="198"/>
        <v>2894.4727367562882</v>
      </c>
      <c r="AO270">
        <f t="shared" si="199"/>
        <v>1.5704508407216666</v>
      </c>
      <c r="AP270" t="str">
        <f t="shared" si="180"/>
        <v>1+19.5572470541437i</v>
      </c>
      <c r="AQ270">
        <f t="shared" si="200"/>
        <v>19.5827963359887</v>
      </c>
      <c r="AR270">
        <f t="shared" si="201"/>
        <v>1.5197088772172578</v>
      </c>
      <c r="AS270" s="42" t="str">
        <f t="shared" si="202"/>
        <v>-0.11946934410703+0.0401312767252792i</v>
      </c>
      <c r="AT270">
        <f t="shared" si="203"/>
        <v>-17.99055336044686</v>
      </c>
      <c r="AU270" s="44">
        <f t="shared" si="204"/>
        <v>161.43214319597979</v>
      </c>
      <c r="AV270" s="42" t="str">
        <f t="shared" si="181"/>
        <v>0.0557364938909281+0.144120577220536i</v>
      </c>
      <c r="AW270" s="20">
        <f t="shared" si="205"/>
        <v>-16.220148288987733</v>
      </c>
      <c r="AX270" s="44">
        <f t="shared" si="206"/>
        <v>68.856761522655532</v>
      </c>
    </row>
    <row r="271" spans="14:50" x14ac:dyDescent="0.3">
      <c r="N271" s="8">
        <v>53</v>
      </c>
      <c r="O271" s="35">
        <f t="shared" si="207"/>
        <v>3388.4415613920314</v>
      </c>
      <c r="P271" s="34" t="str">
        <f t="shared" si="172"/>
        <v>545.10556621881</v>
      </c>
      <c r="Q271" s="4" t="str">
        <f t="shared" si="173"/>
        <v>1+454.817649464082i</v>
      </c>
      <c r="R271" s="4">
        <f t="shared" si="182"/>
        <v>454.81874880443593</v>
      </c>
      <c r="S271" s="4">
        <f t="shared" si="183"/>
        <v>1.5685976469728182</v>
      </c>
      <c r="T271" s="4" t="str">
        <f t="shared" si="174"/>
        <v>1+0.0106451031163876i</v>
      </c>
      <c r="U271" s="4">
        <f t="shared" si="184"/>
        <v>1.0000566575051428</v>
      </c>
      <c r="V271" s="4">
        <f t="shared" si="185"/>
        <v>1.0644701049010621E-2</v>
      </c>
      <c r="W271" t="str">
        <f t="shared" si="175"/>
        <v>1-0.0110581331173034i</v>
      </c>
      <c r="X271" s="4">
        <f t="shared" si="186"/>
        <v>1.0000611392850138</v>
      </c>
      <c r="Y271" s="4">
        <f t="shared" si="187"/>
        <v>-1.1057682412357482E-2</v>
      </c>
      <c r="Z271" t="str">
        <f t="shared" si="176"/>
        <v>0.999265181682242+0.0478865562184446i</v>
      </c>
      <c r="AA271" s="4">
        <f t="shared" si="188"/>
        <v>1.0004119279521344</v>
      </c>
      <c r="AB271" s="4">
        <f t="shared" si="189"/>
        <v>4.7885136425263458E-2</v>
      </c>
      <c r="AC271" s="48" t="str">
        <f t="shared" si="190"/>
        <v>-0.0552149075123044-1.19688635985001i</v>
      </c>
      <c r="AD271" s="20">
        <f t="shared" si="191"/>
        <v>1.5702910681767321</v>
      </c>
      <c r="AE271" s="44">
        <f t="shared" si="192"/>
        <v>-92.641303233407442</v>
      </c>
      <c r="AF271" t="str">
        <f t="shared" si="177"/>
        <v>-0.979317078436135</v>
      </c>
      <c r="AG271" t="str">
        <f t="shared" si="193"/>
        <v>21290.2062327751i</v>
      </c>
      <c r="AH271">
        <f t="shared" si="194"/>
        <v>21290.206232775101</v>
      </c>
      <c r="AI271">
        <f t="shared" si="195"/>
        <v>1.5707963267948966</v>
      </c>
      <c r="AJ271" t="str">
        <f t="shared" si="178"/>
        <v>-6.01620186626074+20.862698891621i</v>
      </c>
      <c r="AK271">
        <f t="shared" si="196"/>
        <v>21.712827773876977</v>
      </c>
      <c r="AL271">
        <f t="shared" si="197"/>
        <v>1.8515506661318757</v>
      </c>
      <c r="AM271" t="str">
        <f t="shared" si="179"/>
        <v>1+2961.89349110367i</v>
      </c>
      <c r="AN271">
        <f t="shared" si="198"/>
        <v>2961.8936599145968</v>
      </c>
      <c r="AO271">
        <f t="shared" si="199"/>
        <v>1.5704587049442098</v>
      </c>
      <c r="AP271" t="str">
        <f t="shared" si="180"/>
        <v>1+20.0127938588086i</v>
      </c>
      <c r="AQ271">
        <f t="shared" si="200"/>
        <v>20.037762301094581</v>
      </c>
      <c r="AR271">
        <f t="shared" si="201"/>
        <v>1.5208698156123015</v>
      </c>
      <c r="AS271" s="42" t="str">
        <f t="shared" si="202"/>
        <v>-0.118906220191775+0.0408636954529374i</v>
      </c>
      <c r="AT271">
        <f t="shared" si="203"/>
        <v>-18.011084901144208</v>
      </c>
      <c r="AU271" s="44">
        <f t="shared" si="204"/>
        <v>161.03403859231608</v>
      </c>
      <c r="AV271" s="42" t="str">
        <f t="shared" si="181"/>
        <v>0.0554745956512122+0.140060947883812i</v>
      </c>
      <c r="AW271" s="20">
        <f t="shared" si="205"/>
        <v>-16.440793832967501</v>
      </c>
      <c r="AX271" s="44">
        <f t="shared" si="206"/>
        <v>68.39273535890861</v>
      </c>
    </row>
    <row r="272" spans="14:50" x14ac:dyDescent="0.3">
      <c r="N272" s="8">
        <v>54</v>
      </c>
      <c r="O272" s="35">
        <f t="shared" si="207"/>
        <v>3467.3685045253224</v>
      </c>
      <c r="P272" s="34" t="str">
        <f t="shared" si="172"/>
        <v>545.10556621881</v>
      </c>
      <c r="Q272" s="4" t="str">
        <f t="shared" si="173"/>
        <v>1+465.4117134622i</v>
      </c>
      <c r="R272" s="4">
        <f t="shared" si="182"/>
        <v>465.41278777857082</v>
      </c>
      <c r="S272" s="4">
        <f t="shared" si="183"/>
        <v>1.5686476948799679</v>
      </c>
      <c r="T272" s="4" t="str">
        <f t="shared" si="174"/>
        <v>1+0.0108930594211054i</v>
      </c>
      <c r="U272" s="4">
        <f t="shared" si="184"/>
        <v>1.0000593276118932</v>
      </c>
      <c r="V272" s="4">
        <f t="shared" si="185"/>
        <v>1.0892628599529318E-2</v>
      </c>
      <c r="W272" t="str">
        <f t="shared" si="175"/>
        <v>1-0.0113157101266443i</v>
      </c>
      <c r="X272" s="4">
        <f t="shared" si="186"/>
        <v>1.0000640205985165</v>
      </c>
      <c r="Y272" s="4">
        <f t="shared" si="187"/>
        <v>-1.1315227189263512E-2</v>
      </c>
      <c r="Z272" t="str">
        <f t="shared" si="176"/>
        <v>0.999230550761845+0.0490019774027927i</v>
      </c>
      <c r="AA272" s="4">
        <f t="shared" si="188"/>
        <v>1.0004313506509099</v>
      </c>
      <c r="AB272" s="4">
        <f t="shared" si="189"/>
        <v>4.9000455841460844E-2</v>
      </c>
      <c r="AC272" s="48" t="str">
        <f t="shared" si="190"/>
        <v>-0.0553315752996595-1.16956160581691i</v>
      </c>
      <c r="AD272" s="20">
        <f t="shared" si="191"/>
        <v>1.3701715968861259</v>
      </c>
      <c r="AE272" s="44">
        <f t="shared" si="192"/>
        <v>-92.708624889100292</v>
      </c>
      <c r="AF272" t="str">
        <f t="shared" si="177"/>
        <v>-0.979317078436135</v>
      </c>
      <c r="AG272" t="str">
        <f t="shared" si="193"/>
        <v>21786.1188422108i</v>
      </c>
      <c r="AH272">
        <f t="shared" si="194"/>
        <v>21786.118842210799</v>
      </c>
      <c r="AI272">
        <f t="shared" si="195"/>
        <v>1.5707963267948966</v>
      </c>
      <c r="AJ272" t="str">
        <f t="shared" si="178"/>
        <v>-6.34686527304962+21.3486535758592i</v>
      </c>
      <c r="AK272">
        <f t="shared" si="196"/>
        <v>22.272128508436033</v>
      </c>
      <c r="AL272">
        <f t="shared" si="197"/>
        <v>1.8597703709503439</v>
      </c>
      <c r="AM272" t="str">
        <f t="shared" si="179"/>
        <v>1+3030.88485332837i</v>
      </c>
      <c r="AN272">
        <f t="shared" si="198"/>
        <v>3030.8850182966908</v>
      </c>
      <c r="AO272">
        <f t="shared" si="199"/>
        <v>1.5704663901552331</v>
      </c>
      <c r="AP272" t="str">
        <f t="shared" si="180"/>
        <v>1+20.4789517116782i</v>
      </c>
      <c r="AQ272">
        <f t="shared" si="200"/>
        <v>20.50335248707507</v>
      </c>
      <c r="AR272">
        <f t="shared" si="201"/>
        <v>1.522004457988587</v>
      </c>
      <c r="AS272" s="42" t="str">
        <f t="shared" si="202"/>
        <v>-0.118322246577381+0.0416016169207626i</v>
      </c>
      <c r="AT272">
        <f t="shared" si="203"/>
        <v>-18.032478496976371</v>
      </c>
      <c r="AU272" s="44">
        <f t="shared" si="204"/>
        <v>160.62853474694867</v>
      </c>
      <c r="AV272" s="42" t="str">
        <f t="shared" si="181"/>
        <v>0.0552026101865483+0.136083273711667i</v>
      </c>
      <c r="AW272" s="20">
        <f t="shared" si="205"/>
        <v>-16.662306900090261</v>
      </c>
      <c r="AX272" s="44">
        <f t="shared" si="206"/>
        <v>67.919909857848324</v>
      </c>
    </row>
    <row r="273" spans="14:50" x14ac:dyDescent="0.3">
      <c r="N273" s="8">
        <v>55</v>
      </c>
      <c r="O273" s="35">
        <f t="shared" si="207"/>
        <v>3548.1338923357539</v>
      </c>
      <c r="P273" s="34" t="str">
        <f t="shared" si="172"/>
        <v>545.10556621881</v>
      </c>
      <c r="Q273" s="4" t="str">
        <f t="shared" si="173"/>
        <v>1+476.252544911245i</v>
      </c>
      <c r="R273" s="4">
        <f t="shared" si="182"/>
        <v>476.25359477324417</v>
      </c>
      <c r="S273" s="4">
        <f t="shared" si="183"/>
        <v>1.5686966035680667</v>
      </c>
      <c r="T273" s="4" t="str">
        <f t="shared" si="174"/>
        <v>1+0.011146791370115i</v>
      </c>
      <c r="U273" s="4">
        <f t="shared" si="184"/>
        <v>1.0000621235492568</v>
      </c>
      <c r="V273" s="4">
        <f t="shared" si="185"/>
        <v>1.114632973802789E-2</v>
      </c>
      <c r="W273" t="str">
        <f t="shared" si="175"/>
        <v>1-0.0115792868752754i</v>
      </c>
      <c r="X273" s="4">
        <f t="shared" si="186"/>
        <v>1.0000670376952436</v>
      </c>
      <c r="Y273" s="4">
        <f t="shared" si="187"/>
        <v>-1.1578769400422113E-2</v>
      </c>
      <c r="Z273" t="str">
        <f t="shared" si="176"/>
        <v>0.999194287736452+0.0501433800841774i</v>
      </c>
      <c r="AA273" s="4">
        <f t="shared" si="188"/>
        <v>1.0004516895939664</v>
      </c>
      <c r="AB273" s="4">
        <f t="shared" si="189"/>
        <v>5.0141749448804875E-2</v>
      </c>
      <c r="AC273" s="48" t="str">
        <f t="shared" si="190"/>
        <v>-0.0554428130145051-1.14285694902644i</v>
      </c>
      <c r="AD273" s="20">
        <f t="shared" si="191"/>
        <v>1.1700464036024059</v>
      </c>
      <c r="AE273" s="44">
        <f t="shared" si="192"/>
        <v>-92.777382309325233</v>
      </c>
      <c r="AF273" t="str">
        <f t="shared" si="177"/>
        <v>-0.979317078436135</v>
      </c>
      <c r="AG273" t="str">
        <f t="shared" si="193"/>
        <v>22293.5827402299i</v>
      </c>
      <c r="AH273">
        <f t="shared" si="194"/>
        <v>22293.5827402299</v>
      </c>
      <c r="AI273">
        <f t="shared" si="195"/>
        <v>1.5707963267948966</v>
      </c>
      <c r="AJ273" t="str">
        <f t="shared" si="178"/>
        <v>-6.69311236609396+21.8459275988061i</v>
      </c>
      <c r="AK273">
        <f t="shared" si="196"/>
        <v>22.848245136058875</v>
      </c>
      <c r="AL273">
        <f t="shared" si="197"/>
        <v>1.8680942092220612</v>
      </c>
      <c r="AM273" t="str">
        <f t="shared" si="179"/>
        <v>1+3101.48323082078i</v>
      </c>
      <c r="AN273">
        <f t="shared" si="198"/>
        <v>3101.4833920339643</v>
      </c>
      <c r="AO273">
        <f t="shared" si="199"/>
        <v>1.5704739004295338</v>
      </c>
      <c r="AP273" t="str">
        <f t="shared" si="180"/>
        <v>1+20.9559677758162i</v>
      </c>
      <c r="AQ273">
        <f t="shared" si="200"/>
        <v>20.979813760399473</v>
      </c>
      <c r="AR273">
        <f t="shared" si="201"/>
        <v>1.5231133942558523</v>
      </c>
      <c r="AS273" s="42" t="str">
        <f t="shared" si="202"/>
        <v>-0.117716893740204+0.0423445304857208i</v>
      </c>
      <c r="AT273">
        <f t="shared" si="203"/>
        <v>-18.054766023006749</v>
      </c>
      <c r="AU273" s="44">
        <f t="shared" si="204"/>
        <v>160.21558161951359</v>
      </c>
      <c r="AV273" s="42" t="str">
        <f t="shared" si="181"/>
        <v>0.0549202966471544+0.132185870142892i</v>
      </c>
      <c r="AW273" s="20">
        <f t="shared" si="205"/>
        <v>-16.884719619404365</v>
      </c>
      <c r="AX273" s="44">
        <f t="shared" si="206"/>
        <v>67.43819931018831</v>
      </c>
    </row>
    <row r="274" spans="14:50" x14ac:dyDescent="0.3">
      <c r="N274" s="8">
        <v>56</v>
      </c>
      <c r="O274" s="35">
        <f t="shared" si="207"/>
        <v>3630.7805477010188</v>
      </c>
      <c r="P274" s="34" t="str">
        <f t="shared" si="172"/>
        <v>545.10556621881</v>
      </c>
      <c r="Q274" s="4" t="str">
        <f t="shared" si="173"/>
        <v>1+487.345891763554i</v>
      </c>
      <c r="R274" s="4">
        <f t="shared" si="182"/>
        <v>487.34691772782736</v>
      </c>
      <c r="S274" s="4">
        <f t="shared" si="183"/>
        <v>1.5687443989682115</v>
      </c>
      <c r="T274" s="4" t="str">
        <f t="shared" si="174"/>
        <v>1+0.0114064334954542i</v>
      </c>
      <c r="U274" s="4">
        <f t="shared" si="184"/>
        <v>1.0000650512467109</v>
      </c>
      <c r="V274" s="4">
        <f t="shared" si="185"/>
        <v>1.1405938849498684E-2</v>
      </c>
      <c r="W274" t="str">
        <f t="shared" si="175"/>
        <v>1-0.0118490031150778i</v>
      </c>
      <c r="X274" s="4">
        <f t="shared" si="186"/>
        <v>1.000070196973603</v>
      </c>
      <c r="Y274" s="4">
        <f t="shared" si="187"/>
        <v>-1.1848448632884553E-2</v>
      </c>
      <c r="Z274" t="str">
        <f t="shared" si="176"/>
        <v>0.999156315687324+0.0513113694494092i</v>
      </c>
      <c r="AA274" s="4">
        <f t="shared" si="188"/>
        <v>1.0004729880474741</v>
      </c>
      <c r="AB274" s="4">
        <f t="shared" si="189"/>
        <v>5.1309621908240906E-2</v>
      </c>
      <c r="AC274" s="48" t="str">
        <f t="shared" si="190"/>
        <v>-0.0555488566023373-1.11675823207285i</v>
      </c>
      <c r="AD274" s="20">
        <f t="shared" si="191"/>
        <v>0.96991522214846693</v>
      </c>
      <c r="AE274" s="44">
        <f t="shared" si="192"/>
        <v>-92.847611922400944</v>
      </c>
      <c r="AF274" t="str">
        <f t="shared" si="177"/>
        <v>-0.979317078436135</v>
      </c>
      <c r="AG274" t="str">
        <f t="shared" si="193"/>
        <v>22812.8669909085i</v>
      </c>
      <c r="AH274">
        <f t="shared" si="194"/>
        <v>22812.8669909085</v>
      </c>
      <c r="AI274">
        <f t="shared" si="195"/>
        <v>1.5707963267948966</v>
      </c>
      <c r="AJ274" t="str">
        <f t="shared" si="178"/>
        <v>-7.05567758190044+22.3547846217311i</v>
      </c>
      <c r="AK274">
        <f t="shared" si="196"/>
        <v>23.441821209618453</v>
      </c>
      <c r="AL274">
        <f t="shared" si="197"/>
        <v>1.8765235444443908</v>
      </c>
      <c r="AM274" t="str">
        <f t="shared" si="179"/>
        <v>1+3173.72605577519i</v>
      </c>
      <c r="AN274">
        <f t="shared" si="198"/>
        <v>3173.7262133187146</v>
      </c>
      <c r="AO274">
        <f t="shared" si="199"/>
        <v>1.5704812397491552</v>
      </c>
      <c r="AP274" t="str">
        <f t="shared" si="180"/>
        <v>1+21.444094971454i</v>
      </c>
      <c r="AQ274">
        <f t="shared" si="200"/>
        <v>21.467398751239955</v>
      </c>
      <c r="AR274">
        <f t="shared" si="201"/>
        <v>1.5241972014709619</v>
      </c>
      <c r="AS274" s="42" t="str">
        <f t="shared" si="202"/>
        <v>-0.117089639744939+0.0430918889413276i</v>
      </c>
      <c r="AT274">
        <f t="shared" si="203"/>
        <v>-18.077980143025044</v>
      </c>
      <c r="AU274" s="44">
        <f t="shared" si="204"/>
        <v>159.79513437844344</v>
      </c>
      <c r="AV274" s="42" t="str">
        <f t="shared" si="181"/>
        <v>0.0546274173186076+0.128367113916079i</v>
      </c>
      <c r="AW274" s="20">
        <f t="shared" si="205"/>
        <v>-17.108064920876597</v>
      </c>
      <c r="AX274" s="44">
        <f t="shared" si="206"/>
        <v>66.947522456042435</v>
      </c>
    </row>
    <row r="275" spans="14:50" x14ac:dyDescent="0.3">
      <c r="N275" s="8">
        <v>57</v>
      </c>
      <c r="O275" s="35">
        <f t="shared" si="207"/>
        <v>3715.352290971724</v>
      </c>
      <c r="P275" s="34" t="str">
        <f t="shared" ref="P275:P338" si="208">COMPLEX(Adc,0)</f>
        <v>545.10556621881</v>
      </c>
      <c r="Q275" s="4" t="str">
        <f t="shared" ref="Q275:Q338" si="209">IMSUM(COMPLEX(1,0),IMDIV(COMPLEX(0,2*PI()*O275),COMPLEX(wp_lf,0)))</f>
        <v>1+498.69763585846i</v>
      </c>
      <c r="R275" s="4">
        <f t="shared" si="182"/>
        <v>498.69863846898272</v>
      </c>
      <c r="S275" s="4">
        <f t="shared" si="183"/>
        <v>1.5687911064212823</v>
      </c>
      <c r="T275" s="4" t="str">
        <f t="shared" ref="T275:T338" si="210">IMSUM(COMPLEX(1,0),IMDIV(COMPLEX(0,2*PI()*O275),COMPLEX(wz_esr,0)))</f>
        <v>1+0.0116721234628148i</v>
      </c>
      <c r="U275" s="4">
        <f t="shared" si="184"/>
        <v>1.0000681169131087</v>
      </c>
      <c r="V275" s="4">
        <f t="shared" si="185"/>
        <v>1.1671593442073963E-2</v>
      </c>
      <c r="W275" t="str">
        <f t="shared" ref="W275:W338" si="211">IMSUB(COMPLEX(1,0),IMDIV(COMPLEX(0,2*PI()*O275),COMPLEX(wz_rhp,0)))</f>
        <v>1-0.012125001853172i</v>
      </c>
      <c r="X275" s="4">
        <f t="shared" si="186"/>
        <v>1.0000735051334675</v>
      </c>
      <c r="Y275" s="4">
        <f t="shared" si="187"/>
        <v>-1.2124407717156015E-2</v>
      </c>
      <c r="Z275" t="str">
        <f t="shared" ref="Z275:Z338" si="212">IMSUM(COMPLEX(1,0),IMDIV(COMPLEX(0,2*PI()*O275),COMPLEX(Q*(wsl/2),0)),IMDIV(IMPOWER(COMPLEX(0,2*PI()*O275),2),IMPOWER(COMPLEX(wsl/2,0),2)))</f>
        <v>0.999116554070654+0.0525065647819092i</v>
      </c>
      <c r="AA275" s="4">
        <f t="shared" si="188"/>
        <v>1.0004952913248593</v>
      </c>
      <c r="AB275" s="4">
        <f t="shared" si="189"/>
        <v>5.2504691939306729E-2</v>
      </c>
      <c r="AC275" s="48" t="str">
        <f t="shared" si="190"/>
        <v>-0.0556499309919713-1.09125161874168i</v>
      </c>
      <c r="AD275" s="20">
        <f t="shared" si="191"/>
        <v>0.76977777358575294</v>
      </c>
      <c r="AE275" s="44">
        <f t="shared" si="192"/>
        <v>-92.919350935220564</v>
      </c>
      <c r="AF275" t="str">
        <f t="shared" ref="AF275:AF338" si="213">COMPLEX(Adc_ea_iso,0)</f>
        <v>-0.979317078436135</v>
      </c>
      <c r="AG275" t="str">
        <f t="shared" si="193"/>
        <v>23344.2469256296i</v>
      </c>
      <c r="AH275">
        <f t="shared" si="194"/>
        <v>23344.246925629599</v>
      </c>
      <c r="AI275">
        <f t="shared" si="195"/>
        <v>1.5707963267948966</v>
      </c>
      <c r="AJ275" t="str">
        <f t="shared" ref="AJ275:AJ338" si="214">IMSUM(IMPRODUCT(COMPLEX(wpA_ea_iso,0),IMPOWER(COMPLEX(0,2*PI()*O275),2)),COMPLEX(0,wpB_ea_iso*2*PI()*O275),COMPLEX(1,0))</f>
        <v>-7.43532996990158+22.8754944473629i</v>
      </c>
      <c r="AK275">
        <f t="shared" si="196"/>
        <v>24.05353150729945</v>
      </c>
      <c r="AL275">
        <f t="shared" si="197"/>
        <v>1.8850596300876994</v>
      </c>
      <c r="AM275" t="str">
        <f t="shared" ref="AM275:AM338" si="215">IMSUM(COMPLEX(1,0),IMDIV(COMPLEX(0,2*PI()*O275),COMPLEX(wz1_ea_iso,0)))</f>
        <v>1+3247.65163229359i</v>
      </c>
      <c r="AN275">
        <f t="shared" si="198"/>
        <v>3247.6517862509859</v>
      </c>
      <c r="AO275">
        <f t="shared" si="199"/>
        <v>1.5704884120054985</v>
      </c>
      <c r="AP275" t="str">
        <f t="shared" ref="AP275:AP338" si="216">IMSUM(COMPLEX(1,0),IMDIV(COMPLEX(0,2*PI()*O275),COMPLEX(wz2_ea_iso,0)))</f>
        <v>1+21.9435921100919i</v>
      </c>
      <c r="AQ275">
        <f t="shared" si="200"/>
        <v>21.966365987438326</v>
      </c>
      <c r="AR275">
        <f t="shared" si="201"/>
        <v>1.5252564440924059</v>
      </c>
      <c r="AS275" s="42" t="str">
        <f t="shared" si="202"/>
        <v>-0.116439972401928+0.0438431076892396i</v>
      </c>
      <c r="AT275">
        <f t="shared" si="203"/>
        <v>-18.102154296655975</v>
      </c>
      <c r="AU275" s="44">
        <f t="shared" si="204"/>
        <v>159.36715376922692</v>
      </c>
      <c r="AV275" s="42" t="str">
        <f t="shared" ref="AV275:AV338" si="217">IMPRODUCT(AC275,AS275)</f>
        <v>0.0543237386654229+0.124625442452461i</v>
      </c>
      <c r="AW275" s="20">
        <f t="shared" si="205"/>
        <v>-17.332376523070209</v>
      </c>
      <c r="AX275" s="44">
        <f t="shared" si="206"/>
        <v>66.447802834006382</v>
      </c>
    </row>
    <row r="276" spans="14:50" x14ac:dyDescent="0.3">
      <c r="N276" s="8">
        <v>58</v>
      </c>
      <c r="O276" s="35">
        <f t="shared" si="207"/>
        <v>3801.8939632056172</v>
      </c>
      <c r="P276" s="34" t="str">
        <f t="shared" si="208"/>
        <v>545.10556621881</v>
      </c>
      <c r="Q276" s="4" t="str">
        <f t="shared" si="209"/>
        <v>1+510.313796040941i</v>
      </c>
      <c r="R276" s="4">
        <f t="shared" ref="R276:R339" si="218">IMABS(Q276)</f>
        <v>510.31477582930631</v>
      </c>
      <c r="S276" s="4">
        <f t="shared" ref="S276:S339" si="219">IMARGUMENT(Q276)</f>
        <v>1.5688367506913732</v>
      </c>
      <c r="T276" s="4" t="str">
        <f t="shared" si="210"/>
        <v>1+0.0119440021445342i</v>
      </c>
      <c r="U276" s="4">
        <f t="shared" ref="U276:U339" si="220">IMABS(T276)</f>
        <v>1.0000713270498403</v>
      </c>
      <c r="V276" s="4">
        <f t="shared" ref="V276:V339" si="221">IMARGUMENT(T276)</f>
        <v>1.1943434219265862E-2</v>
      </c>
      <c r="W276" t="str">
        <f t="shared" si="211"/>
        <v>1-0.012407429427742i</v>
      </c>
      <c r="X276" s="4">
        <f t="shared" ref="X276:X339" si="222">IMABS(W276)</f>
        <v>1.0000769691903741</v>
      </c>
      <c r="Y276" s="4">
        <f t="shared" ref="Y276:Y339" si="223">IMARGUMENT(W276)</f>
        <v>-1.2406792802177177E-2</v>
      </c>
      <c r="Z276" t="str">
        <f t="shared" si="212"/>
        <v>0.999074918546723+0.0537295997900631i</v>
      </c>
      <c r="AA276" s="4">
        <f t="shared" ref="AA276:AA339" si="224">IMABS(Z276)</f>
        <v>1.0005186468840757</v>
      </c>
      <c r="AB276" s="4">
        <f t="shared" ref="AB276:AB339" si="225">IMARGUMENT(Z276)</f>
        <v>5.3727592645717734E-2</v>
      </c>
      <c r="AC276" s="48" t="str">
        <f t="shared" ref="AC276:AC339" si="226">(IMDIV(IMPRODUCT(P276,T276,W276),IMPRODUCT(Q276,Z276)))</f>
        <v>-0.055746250572614-1.06632358668151i</v>
      </c>
      <c r="AD276" s="20">
        <f t="shared" ref="AD276:AD339" si="227">20*LOG(IMABS(AC276))</f>
        <v>0.56963376561616863</v>
      </c>
      <c r="AE276" s="44">
        <f t="shared" ref="AE276:AE339" si="228">(180/PI())*IMARGUMENT(AC276)</f>
        <v>-92.992637352833157</v>
      </c>
      <c r="AF276" t="str">
        <f t="shared" si="213"/>
        <v>-0.979317078436135</v>
      </c>
      <c r="AG276" t="str">
        <f t="shared" ref="AG276:AG339" si="229">COMPLEX(0,1*2*PI()*O276)</f>
        <v>23888.0042890683i</v>
      </c>
      <c r="AH276">
        <f t="shared" ref="AH276:AH339" si="230">IMABS(AG276)</f>
        <v>23888.0042890683</v>
      </c>
      <c r="AI276">
        <f t="shared" ref="AI276:AI339" si="231">IMARGUMENT(AG276)</f>
        <v>1.5707963267948966</v>
      </c>
      <c r="AJ276" t="str">
        <f t="shared" si="214"/>
        <v>-7.83287482371328+23.4083331629438i</v>
      </c>
      <c r="AK276">
        <f t="shared" ref="AK276:AK339" si="232">IMABS(AJ276)</f>
        <v>24.684083727603419</v>
      </c>
      <c r="AL276">
        <f t="shared" ref="AL276:AL339" si="233">IMARGUMENT(AJ276)</f>
        <v>1.8937036032867933</v>
      </c>
      <c r="AM276" t="str">
        <f t="shared" si="215"/>
        <v>1+3323.29915669518i</v>
      </c>
      <c r="AN276">
        <f t="shared" ref="AN276:AN339" si="234">IMABS(AM276)</f>
        <v>3323.2993071480782</v>
      </c>
      <c r="AO276">
        <f t="shared" ref="AO276:AO339" si="235">IMARGUMENT(AM276)</f>
        <v>1.5704954210013859</v>
      </c>
      <c r="AP276" t="str">
        <f t="shared" si="216"/>
        <v>1+22.4547240317243i</v>
      </c>
      <c r="AQ276">
        <f t="shared" ref="AQ276:AQ339" si="236">IMABS(AP276)</f>
        <v>22.476980031598924</v>
      </c>
      <c r="AR276">
        <f t="shared" ref="AR276:AR339" si="237">IMARGUMENT(AP276)</f>
        <v>1.5262916742315149</v>
      </c>
      <c r="AS276" s="42" t="str">
        <f t="shared" ref="AS276:AS339" si="238">IMDIV(IMPRODUCT(AF276,AM276,AP276),IMPRODUCT(AG276,AJ276))</f>
        <v>-0.115767391561345+0.0445975640173389i</v>
      </c>
      <c r="AT276">
        <f t="shared" ref="AT276:AT339" si="239">20*LOG(IMABS(AS276))</f>
        <v>-18.127322683110705</v>
      </c>
      <c r="AU276" s="44">
        <f t="shared" ref="AU276:AU339" si="240">(180/PI())*IMARGUMENT(AS276)</f>
        <v>158.9316064903733</v>
      </c>
      <c r="AV276" s="42" t="str">
        <f t="shared" si="217"/>
        <v>0.0540090324383437+0.120959353211817i</v>
      </c>
      <c r="AW276" s="20">
        <f t="shared" ref="AW276:AW339" si="241">20*LOG(IMABS(AV276))</f>
        <v>-17.557688917494563</v>
      </c>
      <c r="AX276" s="44">
        <f t="shared" ref="AX276:AX339" si="242">(180/PI())*IMARGUMENT(AV276)</f>
        <v>65.93896913754007</v>
      </c>
    </row>
    <row r="277" spans="14:50" x14ac:dyDescent="0.3">
      <c r="N277" s="8">
        <v>59</v>
      </c>
      <c r="O277" s="35">
        <f t="shared" si="207"/>
        <v>3890.451449942811</v>
      </c>
      <c r="P277" s="34" t="str">
        <f t="shared" si="208"/>
        <v>545.10556621881</v>
      </c>
      <c r="Q277" s="4" t="str">
        <f t="shared" si="209"/>
        <v>1+522.200531352885i</v>
      </c>
      <c r="R277" s="4">
        <f t="shared" si="218"/>
        <v>522.20148883858565</v>
      </c>
      <c r="S277" s="4">
        <f t="shared" si="219"/>
        <v>1.5688813559789192</v>
      </c>
      <c r="T277" s="4" t="str">
        <f t="shared" si="210"/>
        <v>1+0.0122222136942881i</v>
      </c>
      <c r="U277" s="4">
        <f t="shared" si="220"/>
        <v>1.000074688464611</v>
      </c>
      <c r="V277" s="4">
        <f t="shared" si="221"/>
        <v>1.2221605153853701E-2</v>
      </c>
      <c r="W277" t="str">
        <f t="shared" si="211"/>
        <v>1-0.0126964355856264i</v>
      </c>
      <c r="X277" s="4">
        <f t="shared" si="222"/>
        <v>1.0000805964903929</v>
      </c>
      <c r="Y277" s="4">
        <f t="shared" si="223"/>
        <v>-1.2695753432012591E-2</v>
      </c>
      <c r="Z277" t="str">
        <f t="shared" si="212"/>
        <v>0.999031320801001+0.0549811229432211i</v>
      </c>
      <c r="AA277" s="4">
        <f t="shared" si="224"/>
        <v>1.0005431044295343</v>
      </c>
      <c r="AB277" s="4">
        <f t="shared" si="225"/>
        <v>5.497897184839412E-2</v>
      </c>
      <c r="AC277" s="48" t="str">
        <f t="shared" si="226"/>
        <v>-0.0558380196485866-1.04196092024188i</v>
      </c>
      <c r="AD277" s="20">
        <f t="shared" si="227"/>
        <v>0.36948289195604567</v>
      </c>
      <c r="AE277" s="44">
        <f t="shared" si="228"/>
        <v>-93.067509998437231</v>
      </c>
      <c r="AF277" t="str">
        <f t="shared" si="213"/>
        <v>-0.979317078436135</v>
      </c>
      <c r="AG277" t="str">
        <f t="shared" si="229"/>
        <v>24444.4273885762i</v>
      </c>
      <c r="AH277">
        <f t="shared" si="230"/>
        <v>24444.427388576201</v>
      </c>
      <c r="AI277">
        <f t="shared" si="231"/>
        <v>1.5707963267948966</v>
      </c>
      <c r="AJ277" t="str">
        <f t="shared" si="214"/>
        <v>-8.24915538927023+23.9535832866136i</v>
      </c>
      <c r="AK277">
        <f t="shared" si="232"/>
        <v>25.334220274266592</v>
      </c>
      <c r="AL277">
        <f t="shared" si="233"/>
        <v>1.9024564784141844</v>
      </c>
      <c r="AM277" t="str">
        <f t="shared" si="215"/>
        <v>1+3400.70873829872i</v>
      </c>
      <c r="AN277">
        <f t="shared" si="234"/>
        <v>3400.7088853268924</v>
      </c>
      <c r="AO277">
        <f t="shared" si="235"/>
        <v>1.5705022704530773</v>
      </c>
      <c r="AP277" t="str">
        <f t="shared" si="216"/>
        <v>1+22.9777617452617i</v>
      </c>
      <c r="AQ277">
        <f t="shared" si="236"/>
        <v>22.9995116213804</v>
      </c>
      <c r="AR277">
        <f t="shared" si="237"/>
        <v>1.5273034319002996</v>
      </c>
      <c r="AS277" s="42" t="str">
        <f t="shared" si="238"/>
        <v>-0.11507141154241+0.0453545964995101i</v>
      </c>
      <c r="AT277">
        <f t="shared" si="239"/>
        <v>-18.153520241373386</v>
      </c>
      <c r="AU277" s="44">
        <f t="shared" si="240"/>
        <v>158.48846557595402</v>
      </c>
      <c r="AV277" s="42" t="str">
        <f t="shared" si="217"/>
        <v>0.0536830768445244+0.117367403013768i</v>
      </c>
      <c r="AW277" s="20">
        <f t="shared" si="241"/>
        <v>-17.784037349417353</v>
      </c>
      <c r="AX277" s="44">
        <f t="shared" si="242"/>
        <v>65.420955577516736</v>
      </c>
    </row>
    <row r="278" spans="14:50" x14ac:dyDescent="0.3">
      <c r="N278" s="8">
        <v>60</v>
      </c>
      <c r="O278" s="35">
        <f t="shared" si="207"/>
        <v>3981.0717055349769</v>
      </c>
      <c r="P278" s="34" t="str">
        <f t="shared" si="208"/>
        <v>545.10556621881</v>
      </c>
      <c r="Q278" s="4" t="str">
        <f t="shared" si="209"/>
        <v>1+534.364144298692i</v>
      </c>
      <c r="R278" s="4">
        <f t="shared" si="218"/>
        <v>534.36507998939589</v>
      </c>
      <c r="S278" s="4">
        <f t="shared" si="219"/>
        <v>1.5689249459335242</v>
      </c>
      <c r="T278" s="4" t="str">
        <f t="shared" si="210"/>
        <v>1+0.0125069056235229i</v>
      </c>
      <c r="U278" s="4">
        <f t="shared" si="220"/>
        <v>1.0000782082858699</v>
      </c>
      <c r="V278" s="4">
        <f t="shared" si="221"/>
        <v>1.2506253563453452E-2</v>
      </c>
      <c r="W278" t="str">
        <f t="shared" si="211"/>
        <v>1-0.0129921735617155i</v>
      </c>
      <c r="X278" s="4">
        <f t="shared" si="222"/>
        <v>1.0000843947256941</v>
      </c>
      <c r="Y278" s="4">
        <f t="shared" si="223"/>
        <v>-1.2991442624280519E-2</v>
      </c>
      <c r="Z278" t="str">
        <f t="shared" si="212"/>
        <v>0.998985668356825+0.0562617978155246i</v>
      </c>
      <c r="AA278" s="4">
        <f t="shared" si="224"/>
        <v>1.0005687160189285</v>
      </c>
      <c r="AB278" s="4">
        <f t="shared" si="225"/>
        <v>5.6259492426095008E-2</v>
      </c>
      <c r="AC278" s="48" t="str">
        <f t="shared" si="226"/>
        <v>-0.0559254328726609-1.01815070347345i</v>
      </c>
      <c r="AD278" s="20">
        <f t="shared" si="227"/>
        <v>0.16932483167954024</v>
      </c>
      <c r="AE278" s="44">
        <f t="shared" si="228"/>
        <v>-93.14400853379658</v>
      </c>
      <c r="AF278" t="str">
        <f t="shared" si="213"/>
        <v>-0.979317078436135</v>
      </c>
      <c r="AG278" t="str">
        <f t="shared" si="229"/>
        <v>25013.8112470457i</v>
      </c>
      <c r="AH278">
        <f t="shared" si="230"/>
        <v>25013.811247045702</v>
      </c>
      <c r="AI278">
        <f t="shared" si="231"/>
        <v>1.5707963267948966</v>
      </c>
      <c r="AJ278" t="str">
        <f t="shared" si="214"/>
        <v>-8.68505465346364+24.5115339172051i</v>
      </c>
      <c r="AK278">
        <f t="shared" si="232"/>
        <v>26.004720135159047</v>
      </c>
      <c r="AL278">
        <f t="shared" si="233"/>
        <v>1.9113191405575727</v>
      </c>
      <c r="AM278" t="str">
        <f t="shared" si="215"/>
        <v>1+3479.921420689i</v>
      </c>
      <c r="AN278">
        <f t="shared" si="234"/>
        <v>3479.9215643704024</v>
      </c>
      <c r="AO278">
        <f t="shared" si="235"/>
        <v>1.57050896399224</v>
      </c>
      <c r="AP278" t="str">
        <f t="shared" si="216"/>
        <v>1+23.512982572223i</v>
      </c>
      <c r="AQ278">
        <f t="shared" si="236"/>
        <v>23.534237813059985</v>
      </c>
      <c r="AR278">
        <f t="shared" si="237"/>
        <v>1.528292245255835</v>
      </c>
      <c r="AS278" s="42" t="str">
        <f t="shared" si="238"/>
        <v>-0.114351563694269+0.0461135045329061i</v>
      </c>
      <c r="AT278">
        <f t="shared" si="239"/>
        <v>-18.18078262662539</v>
      </c>
      <c r="AU278" s="44">
        <f t="shared" si="240"/>
        <v>158.0377107834299</v>
      </c>
      <c r="AV278" s="42" t="str">
        <f t="shared" si="217"/>
        <v>0.0533456577790721+0.113848207316331i</v>
      </c>
      <c r="AW278" s="20">
        <f t="shared" si="241"/>
        <v>-18.011457794945841</v>
      </c>
      <c r="AX278" s="44">
        <f t="shared" si="242"/>
        <v>64.89370224963335</v>
      </c>
    </row>
    <row r="279" spans="14:50" x14ac:dyDescent="0.3">
      <c r="N279" s="8">
        <v>61</v>
      </c>
      <c r="O279" s="35">
        <f t="shared" si="207"/>
        <v>4073.8027780411317</v>
      </c>
      <c r="P279" s="34" t="str">
        <f t="shared" si="208"/>
        <v>545.10556621881</v>
      </c>
      <c r="Q279" s="4" t="str">
        <f t="shared" si="209"/>
        <v>1+546.811084186954i</v>
      </c>
      <c r="R279" s="4">
        <f t="shared" si="218"/>
        <v>546.81199857877311</v>
      </c>
      <c r="S279" s="4">
        <f t="shared" si="219"/>
        <v>1.5689675436664954</v>
      </c>
      <c r="T279" s="4" t="str">
        <f t="shared" si="210"/>
        <v>1+0.0127982288796677i</v>
      </c>
      <c r="U279" s="4">
        <f t="shared" si="220"/>
        <v>1.0000818939779164</v>
      </c>
      <c r="V279" s="4">
        <f t="shared" si="221"/>
        <v>1.2797530187805151E-2</v>
      </c>
      <c r="W279" t="str">
        <f t="shared" si="211"/>
        <v>1-0.0132948001601988i</v>
      </c>
      <c r="X279" s="4">
        <f t="shared" si="222"/>
        <v>1.0000883719508489</v>
      </c>
      <c r="Y279" s="4">
        <f t="shared" si="223"/>
        <v>-1.3294016950364095E-2</v>
      </c>
      <c r="Z279" t="str">
        <f t="shared" si="212"/>
        <v>0.99893786437924+0.057572303437743i</v>
      </c>
      <c r="AA279" s="4">
        <f t="shared" si="224"/>
        <v>1.0005955361751744</v>
      </c>
      <c r="AB279" s="4">
        <f t="shared" si="225"/>
        <v>5.7569832663827203E-2</v>
      </c>
      <c r="AC279" s="48" t="str">
        <f t="shared" si="226"/>
        <v>-0.0560086756589307-0.994880313286736i</v>
      </c>
      <c r="AD279" s="20">
        <f t="shared" si="227"/>
        <v>-3.0840751469949038E-2</v>
      </c>
      <c r="AE279" s="44">
        <f t="shared" si="228"/>
        <v>-93.222173480088316</v>
      </c>
      <c r="AF279" t="str">
        <f t="shared" si="213"/>
        <v>-0.979317078436135</v>
      </c>
      <c r="AG279" t="str">
        <f t="shared" si="229"/>
        <v>25596.4577593354i</v>
      </c>
      <c r="AH279">
        <f t="shared" si="230"/>
        <v>25596.457759335401</v>
      </c>
      <c r="AI279">
        <f t="shared" si="231"/>
        <v>1.5707963267948966</v>
      </c>
      <c r="AJ279" t="str">
        <f t="shared" si="214"/>
        <v>-9.141497217075+25.082480887528i</v>
      </c>
      <c r="AK279">
        <f t="shared" si="232"/>
        <v>26.696400859348014</v>
      </c>
      <c r="AL279">
        <f t="shared" si="233"/>
        <v>1.9202923389267721</v>
      </c>
      <c r="AM279" t="str">
        <f t="shared" si="215"/>
        <v>1+3560.97920347874i</v>
      </c>
      <c r="AN279">
        <f t="shared" si="234"/>
        <v>3560.979343889554</v>
      </c>
      <c r="AO279">
        <f t="shared" si="235"/>
        <v>1.5705155051678745</v>
      </c>
      <c r="AP279" t="str">
        <f t="shared" si="216"/>
        <v>1+24.0606702937753i</v>
      </c>
      <c r="AQ279">
        <f t="shared" si="236"/>
        <v>24.081442128447399</v>
      </c>
      <c r="AR279">
        <f t="shared" si="237"/>
        <v>1.5292586308411329</v>
      </c>
      <c r="AS279" s="42" t="str">
        <f t="shared" si="238"/>
        <v>-0.113607399083684+0.0468735480290147i</v>
      </c>
      <c r="AT279">
        <f t="shared" si="239"/>
        <v>-18.209146182710441</v>
      </c>
      <c r="AU279" s="44">
        <f t="shared" si="240"/>
        <v>157.57932898531791</v>
      </c>
      <c r="AV279" s="42" t="str">
        <f t="shared" si="217"/>
        <v>0.0529965701156998+0.110400439443526i</v>
      </c>
      <c r="AW279" s="20">
        <f t="shared" si="241"/>
        <v>-18.239986934180415</v>
      </c>
      <c r="AX279" s="44">
        <f t="shared" si="242"/>
        <v>64.357155505229528</v>
      </c>
    </row>
    <row r="280" spans="14:50" x14ac:dyDescent="0.3">
      <c r="N280" s="8">
        <v>62</v>
      </c>
      <c r="O280" s="35">
        <f t="shared" si="207"/>
        <v>4168.6938347033583</v>
      </c>
      <c r="P280" s="34" t="str">
        <f t="shared" si="208"/>
        <v>545.10556621881</v>
      </c>
      <c r="Q280" s="4" t="str">
        <f t="shared" si="209"/>
        <v>1+559.547950549952i</v>
      </c>
      <c r="R280" s="4">
        <f t="shared" si="218"/>
        <v>559.54884412770571</v>
      </c>
      <c r="S280" s="4">
        <f t="shared" si="219"/>
        <v>1.5690091717630965</v>
      </c>
      <c r="T280" s="4" t="str">
        <f t="shared" si="210"/>
        <v>1+0.0130963379261691i</v>
      </c>
      <c r="U280" s="4">
        <f t="shared" si="220"/>
        <v>1.0000857533567191</v>
      </c>
      <c r="V280" s="4">
        <f t="shared" si="221"/>
        <v>1.3095589267817011E-2</v>
      </c>
      <c r="W280" t="str">
        <f t="shared" si="211"/>
        <v>1-0.0136044758377045i</v>
      </c>
      <c r="X280" s="4">
        <f t="shared" si="222"/>
        <v>1.0000925365998981</v>
      </c>
      <c r="Y280" s="4">
        <f t="shared" si="223"/>
        <v>-1.3603636617440394E-2</v>
      </c>
      <c r="Z280" t="str">
        <f t="shared" si="212"/>
        <v>0.9988878074696+0.0589133346573037i</v>
      </c>
      <c r="AA280" s="4">
        <f t="shared" si="224"/>
        <v>1.0006236220037323</v>
      </c>
      <c r="AB280" s="4">
        <f t="shared" si="225"/>
        <v>5.8910686609193214E-2</v>
      </c>
      <c r="AC280" s="48" t="str">
        <f t="shared" si="226"/>
        <v>-0.0560879245760927-0.972137412765926i</v>
      </c>
      <c r="AD280" s="20">
        <f t="shared" si="227"/>
        <v>-0.23101420980101539</v>
      </c>
      <c r="AE280" s="44">
        <f t="shared" si="228"/>
        <v>-93.302046239193146</v>
      </c>
      <c r="AF280" t="str">
        <f t="shared" si="213"/>
        <v>-0.979317078436135</v>
      </c>
      <c r="AG280" t="str">
        <f t="shared" si="229"/>
        <v>26192.6758523383i</v>
      </c>
      <c r="AH280">
        <f t="shared" si="230"/>
        <v>26192.6758523383</v>
      </c>
      <c r="AI280">
        <f t="shared" si="231"/>
        <v>1.5707963267948966</v>
      </c>
      <c r="AJ280" t="str">
        <f t="shared" si="214"/>
        <v>-9.619451255978+25.6667269212233i</v>
      </c>
      <c r="AK280">
        <f t="shared" si="232"/>
        <v>27.410120636633206</v>
      </c>
      <c r="AL280">
        <f t="shared" si="233"/>
        <v>1.929376680218104</v>
      </c>
      <c r="AM280" t="str">
        <f t="shared" si="215"/>
        <v>1+3643.9250645773i</v>
      </c>
      <c r="AN280">
        <f t="shared" si="234"/>
        <v>3643.9252017919739</v>
      </c>
      <c r="AO280">
        <f t="shared" si="235"/>
        <v>1.5705218974481965</v>
      </c>
      <c r="AP280" t="str">
        <f t="shared" si="216"/>
        <v>1+24.6211153011981i</v>
      </c>
      <c r="AQ280">
        <f t="shared" si="236"/>
        <v>24.641414705225248</v>
      </c>
      <c r="AR280">
        <f t="shared" si="237"/>
        <v>1.5302030938224396</v>
      </c>
      <c r="AS280" s="42" t="str">
        <f t="shared" si="238"/>
        <v>-0.11283849130293+0.0476339472751956i</v>
      </c>
      <c r="AT280">
        <f t="shared" si="239"/>
        <v>-18.238647910455374</v>
      </c>
      <c r="AU280" s="44">
        <f t="shared" si="240"/>
        <v>157.1133145630873</v>
      </c>
      <c r="AV280" s="42" t="str">
        <f t="shared" si="217"/>
        <v>0.052635619053416+0.107022829753608i</v>
      </c>
      <c r="AW280" s="20">
        <f t="shared" si="241"/>
        <v>-18.469662120256395</v>
      </c>
      <c r="AX280" s="44">
        <f t="shared" si="242"/>
        <v>63.81126832389414</v>
      </c>
    </row>
    <row r="281" spans="14:50" x14ac:dyDescent="0.3">
      <c r="N281" s="8">
        <v>63</v>
      </c>
      <c r="O281" s="35">
        <f t="shared" si="207"/>
        <v>4265.7951880159299</v>
      </c>
      <c r="P281" s="34" t="str">
        <f t="shared" si="208"/>
        <v>545.10556621881</v>
      </c>
      <c r="Q281" s="4" t="str">
        <f t="shared" si="209"/>
        <v>1+572.581496642824i</v>
      </c>
      <c r="R281" s="4">
        <f t="shared" si="218"/>
        <v>572.58236988029626</v>
      </c>
      <c r="S281" s="4">
        <f t="shared" si="219"/>
        <v>1.5690498522945178</v>
      </c>
      <c r="T281" s="4" t="str">
        <f t="shared" si="210"/>
        <v>1+0.0134013908243895i</v>
      </c>
      <c r="U281" s="4">
        <f t="shared" si="220"/>
        <v>1.0000897946064784</v>
      </c>
      <c r="V281" s="4">
        <f t="shared" si="221"/>
        <v>1.3400588626402254E-2</v>
      </c>
      <c r="W281" t="str">
        <f t="shared" si="211"/>
        <v>1-0.0139213647883758i</v>
      </c>
      <c r="X281" s="4">
        <f t="shared" si="222"/>
        <v>1.0000968975042224</v>
      </c>
      <c r="Y281" s="4">
        <f t="shared" si="223"/>
        <v>-1.3920465552366961E-2</v>
      </c>
      <c r="Z281" t="str">
        <f t="shared" si="212"/>
        <v>0.99883539145049+0.0602856025067098i</v>
      </c>
      <c r="AA281" s="4">
        <f t="shared" si="224"/>
        <v>1.0006530333155699</v>
      </c>
      <c r="AB281" s="4">
        <f t="shared" si="225"/>
        <v>6.0282764436853896E-2</v>
      </c>
      <c r="AC281" s="48" t="str">
        <f t="shared" si="226"/>
        <v>-0.0561633477219691-0.949909944634134i</v>
      </c>
      <c r="AD281" s="20">
        <f t="shared" si="227"/>
        <v>-0.4311959124308371</v>
      </c>
      <c r="AE281" s="44">
        <f t="shared" si="228"/>
        <v>-93.383669115438153</v>
      </c>
      <c r="AF281" t="str">
        <f t="shared" si="213"/>
        <v>-0.979317078436135</v>
      </c>
      <c r="AG281" t="str">
        <f t="shared" si="229"/>
        <v>26802.7816487791i</v>
      </c>
      <c r="AH281">
        <f t="shared" si="230"/>
        <v>26802.781648779099</v>
      </c>
      <c r="AI281">
        <f t="shared" si="231"/>
        <v>1.5707963267948966</v>
      </c>
      <c r="AJ281" t="str">
        <f t="shared" si="214"/>
        <v>-10.1199305747696+26.2645817932716i</v>
      </c>
      <c r="AK281">
        <f t="shared" si="232"/>
        <v>28.146780483984497</v>
      </c>
      <c r="AL281">
        <f t="shared" si="233"/>
        <v>1.9385726219672852</v>
      </c>
      <c r="AM281" t="str">
        <f t="shared" si="215"/>
        <v>1+3728.80298297815i</v>
      </c>
      <c r="AN281">
        <f t="shared" si="234"/>
        <v>3728.8031170694367</v>
      </c>
      <c r="AO281">
        <f t="shared" si="235"/>
        <v>1.5705281442224757</v>
      </c>
      <c r="AP281" t="str">
        <f t="shared" si="216"/>
        <v>1+25.1946147498524i</v>
      </c>
      <c r="AQ281">
        <f t="shared" si="236"/>
        <v>25.21445245079655</v>
      </c>
      <c r="AR281">
        <f t="shared" si="237"/>
        <v>1.5311261282229209</v>
      </c>
      <c r="AS281" s="42" t="str">
        <f t="shared" si="238"/>
        <v>-0.112044439389466+0.0483938829835758i</v>
      </c>
      <c r="AT281">
        <f t="shared" si="239"/>
        <v>-18.269325431671838</v>
      </c>
      <c r="AU281" s="44">
        <f t="shared" si="240"/>
        <v>156.63966980150573</v>
      </c>
      <c r="AV281" s="42" t="str">
        <f t="shared" si="217"/>
        <v>0.0522626215153029+0.103714164739387i</v>
      </c>
      <c r="AW281" s="20">
        <f t="shared" si="241"/>
        <v>-18.7005213441027</v>
      </c>
      <c r="AX281" s="44">
        <f t="shared" si="242"/>
        <v>63.256000686067509</v>
      </c>
    </row>
    <row r="282" spans="14:50" x14ac:dyDescent="0.3">
      <c r="N282" s="8">
        <v>64</v>
      </c>
      <c r="O282" s="35">
        <f t="shared" si="207"/>
        <v>4365.1583224016631</v>
      </c>
      <c r="P282" s="34" t="str">
        <f t="shared" si="208"/>
        <v>545.10556621881</v>
      </c>
      <c r="Q282" s="4" t="str">
        <f t="shared" si="209"/>
        <v>1+585.918633024227i</v>
      </c>
      <c r="R282" s="4">
        <f t="shared" si="218"/>
        <v>585.91948638441681</v>
      </c>
      <c r="S282" s="4">
        <f t="shared" si="219"/>
        <v>1.5690896068295765</v>
      </c>
      <c r="T282" s="4" t="str">
        <f t="shared" si="210"/>
        <v>1+0.0137135493174134i</v>
      </c>
      <c r="U282" s="4">
        <f t="shared" si="220"/>
        <v>1.0000940262969682</v>
      </c>
      <c r="V282" s="4">
        <f t="shared" si="221"/>
        <v>1.3712689751148092E-2</v>
      </c>
      <c r="W282" t="str">
        <f t="shared" si="211"/>
        <v>1-0.014245635030929i</v>
      </c>
      <c r="X282" s="4">
        <f t="shared" si="222"/>
        <v>1.0001014639112547</v>
      </c>
      <c r="Y282" s="4">
        <f t="shared" si="223"/>
        <v>-1.4244671487465152E-2</v>
      </c>
      <c r="Z282" t="str">
        <f t="shared" si="212"/>
        <v>0.998780505140504+0.0616898345805391i</v>
      </c>
      <c r="AA282" s="4">
        <f t="shared" si="224"/>
        <v>1.0006838327560281</v>
      </c>
      <c r="AB282" s="4">
        <f t="shared" si="225"/>
        <v>6.1686792821279327E-2</v>
      </c>
      <c r="AC282" s="48" t="str">
        <f t="shared" si="226"/>
        <v>-0.0562351050800705-0.928186124866742i</v>
      </c>
      <c r="AD282" s="20">
        <f t="shared" si="227"/>
        <v>-0.63138624607808258</v>
      </c>
      <c r="AE282" s="44">
        <f t="shared" si="228"/>
        <v>-93.467085337802672</v>
      </c>
      <c r="AF282" t="str">
        <f t="shared" si="213"/>
        <v>-0.979317078436135</v>
      </c>
      <c r="AG282" t="str">
        <f t="shared" si="229"/>
        <v>27427.0986348268i</v>
      </c>
      <c r="AH282">
        <f t="shared" si="230"/>
        <v>27427.098634826802</v>
      </c>
      <c r="AI282">
        <f t="shared" si="231"/>
        <v>1.5707963267948966</v>
      </c>
      <c r="AJ282" t="str">
        <f t="shared" si="214"/>
        <v>-10.6439967571852+26.8763624942395i</v>
      </c>
      <c r="AK282">
        <f t="shared" si="232"/>
        <v>28.907326543434156</v>
      </c>
      <c r="AL282">
        <f t="shared" si="233"/>
        <v>1.9478804659247066</v>
      </c>
      <c r="AM282" t="str">
        <f t="shared" si="215"/>
        <v>1+3815.6579620771i</v>
      </c>
      <c r="AN282">
        <f t="shared" si="234"/>
        <v>3815.658093116097</v>
      </c>
      <c r="AO282">
        <f t="shared" si="235"/>
        <v>1.5705342488028324</v>
      </c>
      <c r="AP282" t="str">
        <f t="shared" si="216"/>
        <v>1+25.7814727167373i</v>
      </c>
      <c r="AQ282">
        <f t="shared" si="236"/>
        <v>25.800859199721817</v>
      </c>
      <c r="AR282">
        <f t="shared" si="237"/>
        <v>1.5320282171526995</v>
      </c>
      <c r="AS282" s="42" t="str">
        <f t="shared" si="238"/>
        <v>-0.111224870846998+0.049152496544229i</v>
      </c>
      <c r="AT282">
        <f t="shared" si="239"/>
        <v>-18.301216948677656</v>
      </c>
      <c r="AU282" s="44">
        <f t="shared" si="240"/>
        <v>156.15840528149107</v>
      </c>
      <c r="AV282" s="42" t="str">
        <f t="shared" si="217"/>
        <v>0.051877407594512+0.100473286052166i</v>
      </c>
      <c r="AW282" s="20">
        <f t="shared" si="241"/>
        <v>-18.932603194755767</v>
      </c>
      <c r="AX282" s="44">
        <f t="shared" si="242"/>
        <v>62.691319943688342</v>
      </c>
    </row>
    <row r="283" spans="14:50" x14ac:dyDescent="0.3">
      <c r="N283" s="8">
        <v>65</v>
      </c>
      <c r="O283" s="35">
        <f t="shared" si="207"/>
        <v>4466.8359215096343</v>
      </c>
      <c r="P283" s="34" t="str">
        <f t="shared" si="208"/>
        <v>545.10556621881</v>
      </c>
      <c r="Q283" s="4" t="str">
        <f t="shared" si="209"/>
        <v>1+599.56643122041i</v>
      </c>
      <c r="R283" s="4">
        <f t="shared" si="218"/>
        <v>599.5672651557777</v>
      </c>
      <c r="S283" s="4">
        <f t="shared" si="219"/>
        <v>1.5691284564461505</v>
      </c>
      <c r="T283" s="4" t="str">
        <f t="shared" si="210"/>
        <v>1+0.0140329789158056i</v>
      </c>
      <c r="U283" s="4">
        <f t="shared" si="220"/>
        <v>1.0000984574016958</v>
      </c>
      <c r="V283" s="4">
        <f t="shared" si="221"/>
        <v>1.4032057878855348E-2</v>
      </c>
      <c r="W283" t="str">
        <f t="shared" si="211"/>
        <v>1-0.0145774584977389i</v>
      </c>
      <c r="X283" s="4">
        <f t="shared" si="222"/>
        <v>1.000106245504073</v>
      </c>
      <c r="Y283" s="4">
        <f t="shared" si="223"/>
        <v>-1.4576426048239667E-2</v>
      </c>
      <c r="Z283" t="str">
        <f t="shared" si="212"/>
        <v>0.99872303211842+0.0631267754212246i</v>
      </c>
      <c r="AA283" s="4">
        <f t="shared" si="224"/>
        <v>1.0007160859399093</v>
      </c>
      <c r="AB283" s="4">
        <f t="shared" si="225"/>
        <v>6.3123515317964576E-2</v>
      </c>
      <c r="AC283" s="48" t="str">
        <f t="shared" si="226"/>
        <v>-0.056303348858951-0.906954436449435i</v>
      </c>
      <c r="AD283" s="20">
        <f t="shared" si="227"/>
        <v>-0.83158561589424851</v>
      </c>
      <c r="AE283" s="44">
        <f t="shared" si="228"/>
        <v>-93.552339082597584</v>
      </c>
      <c r="AF283" t="str">
        <f t="shared" si="213"/>
        <v>-0.979317078436135</v>
      </c>
      <c r="AG283" t="str">
        <f t="shared" si="229"/>
        <v>28065.9578316113i</v>
      </c>
      <c r="AH283">
        <f t="shared" si="230"/>
        <v>28065.9578316113</v>
      </c>
      <c r="AI283">
        <f t="shared" si="231"/>
        <v>1.5707963267948966</v>
      </c>
      <c r="AJ283" t="str">
        <f t="shared" si="214"/>
        <v>-11.1927614178608+27.5023933983526i</v>
      </c>
      <c r="AK283">
        <f t="shared" si="232"/>
        <v>29.692752496104191</v>
      </c>
      <c r="AL283">
        <f t="shared" si="233"/>
        <v>1.9573003514900014</v>
      </c>
      <c r="AM283" t="str">
        <f t="shared" si="215"/>
        <v>1+3904.53605353376i</v>
      </c>
      <c r="AN283">
        <f t="shared" si="234"/>
        <v>3904.5361815899455</v>
      </c>
      <c r="AO283">
        <f t="shared" si="235"/>
        <v>1.5705402144259941</v>
      </c>
      <c r="AP283" t="str">
        <f t="shared" si="216"/>
        <v>1+26.3820003617147i</v>
      </c>
      <c r="AQ283">
        <f t="shared" si="236"/>
        <v>26.40094587482643</v>
      </c>
      <c r="AR283">
        <f t="shared" si="237"/>
        <v>1.5329098330352131</v>
      </c>
      <c r="AS283" s="42" t="str">
        <f t="shared" si="238"/>
        <v>-0.110379444755447+0.0499088904993864i</v>
      </c>
      <c r="AT283">
        <f t="shared" si="239"/>
        <v>-18.334361199196231</v>
      </c>
      <c r="AU283" s="44">
        <f t="shared" si="240"/>
        <v>155.66954026935258</v>
      </c>
      <c r="AV283" s="42" t="str">
        <f t="shared" si="217"/>
        <v>0.0514798220416108+0.0972990894408278i</v>
      </c>
      <c r="AW283" s="20">
        <f t="shared" si="241"/>
        <v>-19.165946815090482</v>
      </c>
      <c r="AX283" s="44">
        <f t="shared" si="242"/>
        <v>62.11720118675499</v>
      </c>
    </row>
    <row r="284" spans="14:50" x14ac:dyDescent="0.3">
      <c r="N284" s="8">
        <v>66</v>
      </c>
      <c r="O284" s="35">
        <f t="shared" ref="O284:O318" si="243">10^(3+(N284/100))</f>
        <v>4570.8818961487532</v>
      </c>
      <c r="P284" s="34" t="str">
        <f t="shared" si="208"/>
        <v>545.10556621881</v>
      </c>
      <c r="Q284" s="4" t="str">
        <f t="shared" si="209"/>
        <v>1+613.532127474627i</v>
      </c>
      <c r="R284" s="4">
        <f t="shared" si="218"/>
        <v>613.53294242733364</v>
      </c>
      <c r="S284" s="4">
        <f t="shared" si="219"/>
        <v>1.5691664217423515</v>
      </c>
      <c r="T284" s="4" t="str">
        <f t="shared" si="210"/>
        <v>1+0.0143598489853675i</v>
      </c>
      <c r="U284" s="4">
        <f t="shared" si="220"/>
        <v>1.0001030973169129</v>
      </c>
      <c r="V284" s="4">
        <f t="shared" si="221"/>
        <v>1.43588620819891E-2</v>
      </c>
      <c r="W284" t="str">
        <f t="shared" si="211"/>
        <v>1-0.0149170111259997i</v>
      </c>
      <c r="X284" s="4">
        <f t="shared" si="222"/>
        <v>1.0001112524219158</v>
      </c>
      <c r="Y284" s="4">
        <f t="shared" si="223"/>
        <v>-1.4915904843076016E-2</v>
      </c>
      <c r="Z284" t="str">
        <f t="shared" si="212"/>
        <v>0.998662850476253+0.06459718691382i</v>
      </c>
      <c r="AA284" s="4">
        <f t="shared" si="224"/>
        <v>1.0007498615930626</v>
      </c>
      <c r="AB284" s="4">
        <f t="shared" si="225"/>
        <v>6.4593692753290938E-2</v>
      </c>
      <c r="AC284" s="48" t="str">
        <f t="shared" si="226"/>
        <v>-0.0563682238150784-0.886203623277684i</v>
      </c>
      <c r="AD284" s="20">
        <f t="shared" si="227"/>
        <v>-1.0317944463349544</v>
      </c>
      <c r="AE284" s="44">
        <f t="shared" si="228"/>
        <v>-93.639475496629046</v>
      </c>
      <c r="AF284" t="str">
        <f t="shared" si="213"/>
        <v>-0.979317078436135</v>
      </c>
      <c r="AG284" t="str">
        <f t="shared" si="229"/>
        <v>28719.697970735i</v>
      </c>
      <c r="AH284">
        <f t="shared" si="230"/>
        <v>28719.697970735</v>
      </c>
      <c r="AI284">
        <f t="shared" si="231"/>
        <v>1.5707963267948966</v>
      </c>
      <c r="AJ284" t="str">
        <f t="shared" si="214"/>
        <v>-11.7673885602156+28.1430064354827i</v>
      </c>
      <c r="AK284">
        <f t="shared" si="232"/>
        <v>30.504102097172336</v>
      </c>
      <c r="AL284">
        <f t="shared" si="233"/>
        <v>1.9668322492455599</v>
      </c>
      <c r="AM284" t="str">
        <f t="shared" si="215"/>
        <v>1+3995.48438168865i</v>
      </c>
      <c r="AN284">
        <f t="shared" si="234"/>
        <v>3995.4845068299201</v>
      </c>
      <c r="AO284">
        <f t="shared" si="235"/>
        <v>1.5705460442550117</v>
      </c>
      <c r="AP284" t="str">
        <f t="shared" si="216"/>
        <v>1+26.996516092491i</v>
      </c>
      <c r="AQ284">
        <f t="shared" si="236"/>
        <v>27.015030652067111</v>
      </c>
      <c r="AR284">
        <f t="shared" si="237"/>
        <v>1.5337714378298815</v>
      </c>
      <c r="AS284" s="42" t="str">
        <f t="shared" si="238"/>
        <v>-0.10950785495524+0.0506621292550385i</v>
      </c>
      <c r="AT284">
        <f t="shared" si="239"/>
        <v>-18.368797406508492</v>
      </c>
      <c r="AU284" s="44">
        <f t="shared" si="240"/>
        <v>155.17310310014952</v>
      </c>
      <c r="AV284" s="42" t="str">
        <f t="shared" si="217"/>
        <v>0.0510697257864036+0.0941905235979043i</v>
      </c>
      <c r="AW284" s="20">
        <f t="shared" si="241"/>
        <v>-19.400591852843444</v>
      </c>
      <c r="AX284" s="44">
        <f t="shared" si="242"/>
        <v>61.533627603520472</v>
      </c>
    </row>
    <row r="285" spans="14:50" x14ac:dyDescent="0.3">
      <c r="N285" s="8">
        <v>67</v>
      </c>
      <c r="O285" s="35">
        <f t="shared" si="243"/>
        <v>4677.3514128719844</v>
      </c>
      <c r="P285" s="34" t="str">
        <f t="shared" si="208"/>
        <v>545.10556621881</v>
      </c>
      <c r="Q285" s="4" t="str">
        <f t="shared" si="209"/>
        <v>1+627.823126583887i</v>
      </c>
      <c r="R285" s="4">
        <f t="shared" si="218"/>
        <v>627.82392298602906</v>
      </c>
      <c r="S285" s="4">
        <f t="shared" si="219"/>
        <v>1.5692035228474437</v>
      </c>
      <c r="T285" s="4" t="str">
        <f t="shared" si="210"/>
        <v>1+0.0146943328369364i</v>
      </c>
      <c r="U285" s="4">
        <f t="shared" si="220"/>
        <v>1.0001079558815251</v>
      </c>
      <c r="V285" s="4">
        <f t="shared" si="221"/>
        <v>1.4693275357079028E-2</v>
      </c>
      <c r="W285" t="str">
        <f t="shared" si="211"/>
        <v>1-0.0152644729510095i</v>
      </c>
      <c r="X285" s="4">
        <f t="shared" si="222"/>
        <v>1.0001164952816606</v>
      </c>
      <c r="Y285" s="4">
        <f t="shared" si="223"/>
        <v>-1.5263287554957022E-2</v>
      </c>
      <c r="Z285" t="str">
        <f t="shared" si="212"/>
        <v>0.998599832560672+0.066101848689962i</v>
      </c>
      <c r="AA285" s="4">
        <f t="shared" si="224"/>
        <v>1.0007852317008044</v>
      </c>
      <c r="AB285" s="4">
        <f t="shared" si="225"/>
        <v>6.6098103623218024E-2</v>
      </c>
      <c r="AC285" s="48" t="str">
        <f t="shared" si="226"/>
        <v>-0.0564298675599051-0.865922684194449i</v>
      </c>
      <c r="AD285" s="20">
        <f t="shared" si="227"/>
        <v>-1.2320131820733398</v>
      </c>
      <c r="AE285" s="44">
        <f t="shared" si="228"/>
        <v>-93.728540720857325</v>
      </c>
      <c r="AF285" t="str">
        <f t="shared" si="213"/>
        <v>-0.979317078436135</v>
      </c>
      <c r="AG285" t="str">
        <f t="shared" si="229"/>
        <v>29388.6656738729i</v>
      </c>
      <c r="AH285">
        <f t="shared" si="230"/>
        <v>29388.6656738729</v>
      </c>
      <c r="AI285">
        <f t="shared" si="231"/>
        <v>1.5707963267948966</v>
      </c>
      <c r="AJ285" t="str">
        <f t="shared" si="214"/>
        <v>-12.3690970454602+28.7985412671416i</v>
      </c>
      <c r="AK285">
        <f t="shared" si="232"/>
        <v>31.34247183671495</v>
      </c>
      <c r="AL285">
        <f t="shared" si="233"/>
        <v>1.9764759546316371</v>
      </c>
      <c r="AM285" t="str">
        <f t="shared" si="215"/>
        <v>1+4088.5511685492i</v>
      </c>
      <c r="AN285">
        <f t="shared" si="234"/>
        <v>4088.5512908419073</v>
      </c>
      <c r="AO285">
        <f t="shared" si="235"/>
        <v>1.5705517413809358</v>
      </c>
      <c r="AP285" t="str">
        <f t="shared" si="216"/>
        <v>1+27.6253457334406i</v>
      </c>
      <c r="AQ285">
        <f t="shared" si="236"/>
        <v>27.64343912924231</v>
      </c>
      <c r="AR285">
        <f t="shared" si="237"/>
        <v>1.5346134832510629</v>
      </c>
      <c r="AS285" s="42" t="str">
        <f t="shared" si="238"/>
        <v>-0.108609833289038+0.0514112400456343i</v>
      </c>
      <c r="AT285">
        <f t="shared" si="239"/>
        <v>-18.404565224760436</v>
      </c>
      <c r="AU285" s="44">
        <f t="shared" si="240"/>
        <v>154.66913155272269</v>
      </c>
      <c r="AV285" s="42" t="str">
        <f t="shared" si="217"/>
        <v>0.0506469974862846+0.0911465889046898i</v>
      </c>
      <c r="AW285" s="20">
        <f t="shared" si="241"/>
        <v>-19.636578406833777</v>
      </c>
      <c r="AX285" s="44">
        <f t="shared" si="242"/>
        <v>60.940590831865357</v>
      </c>
    </row>
    <row r="286" spans="14:50" x14ac:dyDescent="0.3">
      <c r="N286" s="8">
        <v>68</v>
      </c>
      <c r="O286" s="35">
        <f t="shared" si="243"/>
        <v>4786.3009232263848</v>
      </c>
      <c r="P286" s="34" t="str">
        <f t="shared" si="208"/>
        <v>545.10556621881</v>
      </c>
      <c r="Q286" s="4" t="str">
        <f t="shared" si="209"/>
        <v>1+642.447005825085i</v>
      </c>
      <c r="R286" s="4">
        <f t="shared" si="218"/>
        <v>642.44778409892319</v>
      </c>
      <c r="S286" s="4">
        <f t="shared" si="219"/>
        <v>1.5692397794325155</v>
      </c>
      <c r="T286" s="4" t="str">
        <f t="shared" si="210"/>
        <v>1+0.015036607818278i</v>
      </c>
      <c r="U286" s="4">
        <f t="shared" si="220"/>
        <v>1.0001130433979355</v>
      </c>
      <c r="V286" s="4">
        <f t="shared" si="221"/>
        <v>1.5035474715113063E-2</v>
      </c>
      <c r="W286" t="str">
        <f t="shared" si="211"/>
        <v>1-0.0156200282016272i</v>
      </c>
      <c r="X286" s="4">
        <f t="shared" si="222"/>
        <v>1.0001219852003154</v>
      </c>
      <c r="Y286" s="4">
        <f t="shared" si="223"/>
        <v>-1.5618758035239723E-2</v>
      </c>
      <c r="Z286" t="str">
        <f t="shared" si="212"/>
        <v>0.998533844702229+0.0676415585412409i</v>
      </c>
      <c r="AA286" s="4">
        <f t="shared" si="224"/>
        <v>1.0008222716635073</v>
      </c>
      <c r="AB286" s="4">
        <f t="shared" si="225"/>
        <v>6.7637544500990215E-2</v>
      </c>
      <c r="AC286" s="48" t="str">
        <f t="shared" si="226"/>
        <v>-0.0564884108517862-0.846100867162935i</v>
      </c>
      <c r="AD286" s="20">
        <f t="shared" si="227"/>
        <v>-1.4322422889579438</v>
      </c>
      <c r="AE286" s="44">
        <f t="shared" si="228"/>
        <v>-93.819581914562008</v>
      </c>
      <c r="AF286" t="str">
        <f t="shared" si="213"/>
        <v>-0.979317078436135</v>
      </c>
      <c r="AG286" t="str">
        <f t="shared" si="229"/>
        <v>30073.2156365561i</v>
      </c>
      <c r="AH286">
        <f t="shared" si="230"/>
        <v>30073.215636556099</v>
      </c>
      <c r="AI286">
        <f t="shared" si="231"/>
        <v>1.5707963267948966</v>
      </c>
      <c r="AJ286" t="str">
        <f t="shared" si="214"/>
        <v>-12.9991631779643+29.4693454665741i</v>
      </c>
      <c r="AK286">
        <f t="shared" si="232"/>
        <v>32.209013731495013</v>
      </c>
      <c r="AL286">
        <f t="shared" si="233"/>
        <v>1.9862310818081315</v>
      </c>
      <c r="AM286" t="str">
        <f t="shared" si="215"/>
        <v>1+4183.78575935768i</v>
      </c>
      <c r="AN286">
        <f t="shared" si="234"/>
        <v>4183.7858788666663</v>
      </c>
      <c r="AO286">
        <f t="shared" si="235"/>
        <v>1.5705573088244569</v>
      </c>
      <c r="AP286" t="str">
        <f t="shared" si="216"/>
        <v>1+28.2688226983628i</v>
      </c>
      <c r="AQ286">
        <f t="shared" si="236"/>
        <v>28.28650449863807</v>
      </c>
      <c r="AR286">
        <f t="shared" si="237"/>
        <v>1.5354364109833047</v>
      </c>
      <c r="AS286" s="42" t="str">
        <f t="shared" si="238"/>
        <v>-0.107685152881811+0.05215521416666i</v>
      </c>
      <c r="AT286">
        <f t="shared" si="239"/>
        <v>-18.441704679352515</v>
      </c>
      <c r="AU286" s="44">
        <f t="shared" si="240"/>
        <v>154.15767321381415</v>
      </c>
      <c r="AV286" s="42" t="str">
        <f t="shared" si="217"/>
        <v>0.0502115350921048+0.0881663360679643i</v>
      </c>
      <c r="AW286" s="20">
        <f t="shared" si="241"/>
        <v>-19.873946968310459</v>
      </c>
      <c r="AX286" s="44">
        <f t="shared" si="242"/>
        <v>60.338091299252113</v>
      </c>
    </row>
    <row r="287" spans="14:50" x14ac:dyDescent="0.3">
      <c r="N287" s="8">
        <v>69</v>
      </c>
      <c r="O287" s="35">
        <f t="shared" si="243"/>
        <v>4897.7881936844633</v>
      </c>
      <c r="P287" s="34" t="str">
        <f t="shared" si="208"/>
        <v>545.10556621881</v>
      </c>
      <c r="Q287" s="4" t="str">
        <f t="shared" si="209"/>
        <v>1+657.411518972563i</v>
      </c>
      <c r="R287" s="4">
        <f t="shared" si="218"/>
        <v>657.41227953074667</v>
      </c>
      <c r="S287" s="4">
        <f t="shared" si="219"/>
        <v>1.5692752107209069</v>
      </c>
      <c r="T287" s="4" t="str">
        <f t="shared" si="210"/>
        <v>1+0.015386855408118i</v>
      </c>
      <c r="U287" s="4">
        <f t="shared" si="220"/>
        <v>1.0001183706538692</v>
      </c>
      <c r="V287" s="4">
        <f t="shared" si="221"/>
        <v>1.5385641273962984E-2</v>
      </c>
      <c r="W287" t="str">
        <f t="shared" si="211"/>
        <v>1-0.0159838653979529i</v>
      </c>
      <c r="X287" s="4">
        <f t="shared" si="222"/>
        <v>1.0001277338185657</v>
      </c>
      <c r="Y287" s="4">
        <f t="shared" si="223"/>
        <v>-1.5982504399535746E-2</v>
      </c>
      <c r="Z287" t="str">
        <f t="shared" si="212"/>
        <v>0.998464746931828+0.0692171328422003i</v>
      </c>
      <c r="AA287" s="4">
        <f t="shared" si="224"/>
        <v>1.0008610604597095</v>
      </c>
      <c r="AB287" s="4">
        <f t="shared" si="225"/>
        <v>6.9212830454047927E-2</v>
      </c>
      <c r="AC287" s="48" t="str">
        <f t="shared" si="226"/>
        <v>-0.0565439778733723-0.826727663571431i</v>
      </c>
      <c r="AD287" s="20">
        <f t="shared" si="227"/>
        <v>-1.6324822550163118</v>
      </c>
      <c r="AE287" s="44">
        <f t="shared" si="228"/>
        <v>-93.912647280024672</v>
      </c>
      <c r="AF287" t="str">
        <f t="shared" si="213"/>
        <v>-0.979317078436135</v>
      </c>
      <c r="AG287" t="str">
        <f t="shared" si="229"/>
        <v>30773.7108162359i</v>
      </c>
      <c r="AH287">
        <f t="shared" si="230"/>
        <v>30773.7108162359</v>
      </c>
      <c r="AI287">
        <f t="shared" si="231"/>
        <v>1.5707963267948966</v>
      </c>
      <c r="AJ287" t="str">
        <f t="shared" si="214"/>
        <v>-13.6589234124694+30.1557747030459i</v>
      </c>
      <c r="AK287">
        <f t="shared" si="232"/>
        <v>33.104938252903715</v>
      </c>
      <c r="AL287">
        <f t="shared" si="233"/>
        <v>1.9960970577507386</v>
      </c>
      <c r="AM287" t="str">
        <f t="shared" si="215"/>
        <v>1+4281.23864875474i</v>
      </c>
      <c r="AN287">
        <f t="shared" si="234"/>
        <v>4281.2387655433695</v>
      </c>
      <c r="AO287">
        <f t="shared" si="235"/>
        <v>1.5705627495375052</v>
      </c>
      <c r="AP287" t="str">
        <f t="shared" si="216"/>
        <v>1+28.9272881672618i</v>
      </c>
      <c r="AQ287">
        <f t="shared" si="236"/>
        <v>28.944567723699112</v>
      </c>
      <c r="AR287">
        <f t="shared" si="237"/>
        <v>1.5362406528928776</v>
      </c>
      <c r="AS287" s="42" t="str">
        <f t="shared" si="238"/>
        <v>-0.106733631437858+0.0528930084886559i</v>
      </c>
      <c r="AT287">
        <f t="shared" si="239"/>
        <v>-18.480256102369438</v>
      </c>
      <c r="AU287" s="44">
        <f t="shared" si="240"/>
        <v>153.63878582854653</v>
      </c>
      <c r="AV287" s="42" t="str">
        <f t="shared" si="217"/>
        <v>0.0497632574214573+0.0852488646414759i</v>
      </c>
      <c r="AW287" s="20">
        <f t="shared" si="241"/>
        <v>-20.112738357385751</v>
      </c>
      <c r="AX287" s="44">
        <f t="shared" si="242"/>
        <v>59.726138548521838</v>
      </c>
    </row>
    <row r="288" spans="14:50" x14ac:dyDescent="0.3">
      <c r="N288" s="8">
        <v>70</v>
      </c>
      <c r="O288" s="35">
        <f t="shared" si="243"/>
        <v>5011.8723362727324</v>
      </c>
      <c r="P288" s="34" t="str">
        <f t="shared" si="208"/>
        <v>545.10556621881</v>
      </c>
      <c r="Q288" s="4" t="str">
        <f t="shared" si="209"/>
        <v>1+672.724600409271i</v>
      </c>
      <c r="R288" s="4">
        <f t="shared" si="218"/>
        <v>672.72534365505624</v>
      </c>
      <c r="S288" s="4">
        <f t="shared" si="219"/>
        <v>1.5693098354983996</v>
      </c>
      <c r="T288" s="4" t="str">
        <f t="shared" si="210"/>
        <v>1+0.0157452613123643i</v>
      </c>
      <c r="U288" s="4">
        <f t="shared" si="220"/>
        <v>1.0001239489452269</v>
      </c>
      <c r="V288" s="4">
        <f t="shared" si="221"/>
        <v>1.5743960352885944E-2</v>
      </c>
      <c r="W288" t="str">
        <f t="shared" si="211"/>
        <v>1-0.016356177451284i</v>
      </c>
      <c r="X288" s="4">
        <f t="shared" si="222"/>
        <v>1.0001337533254329</v>
      </c>
      <c r="Y288" s="4">
        <f t="shared" si="223"/>
        <v>-1.6354719125738836E-2</v>
      </c>
      <c r="Z288" t="str">
        <f t="shared" si="212"/>
        <v>0.998392392683834+0.0708294069831898i</v>
      </c>
      <c r="AA288" s="4">
        <f t="shared" si="224"/>
        <v>1.0009016808171227</v>
      </c>
      <c r="AB288" s="4">
        <f t="shared" si="225"/>
        <v>7.082479547033517E-2</v>
      </c>
      <c r="AC288" s="48" t="str">
        <f t="shared" si="226"/>
        <v>-0.0565966864950585-0.807792802667133i</v>
      </c>
      <c r="AD288" s="20">
        <f t="shared" si="227"/>
        <v>-1.8327335915076626</v>
      </c>
      <c r="AE288" s="44">
        <f t="shared" si="228"/>
        <v>-94.007786087740342</v>
      </c>
      <c r="AF288" t="str">
        <f t="shared" si="213"/>
        <v>-0.979317078436135</v>
      </c>
      <c r="AG288" t="str">
        <f t="shared" si="229"/>
        <v>31490.5226247287i</v>
      </c>
      <c r="AH288">
        <f t="shared" si="230"/>
        <v>31490.522624728699</v>
      </c>
      <c r="AI288">
        <f t="shared" si="231"/>
        <v>1.5707963267948966</v>
      </c>
      <c r="AJ288" t="str">
        <f t="shared" si="214"/>
        <v>-14.3497771888885+30.8581929304241i</v>
      </c>
      <c r="AK288">
        <f t="shared" si="232"/>
        <v>34.031517396408006</v>
      </c>
      <c r="AL288">
        <f t="shared" si="233"/>
        <v>2.0060731166313426</v>
      </c>
      <c r="AM288" t="str">
        <f t="shared" si="215"/>
        <v>1+4380.96150755226i</v>
      </c>
      <c r="AN288">
        <f t="shared" si="234"/>
        <v>4380.9616216824543</v>
      </c>
      <c r="AO288">
        <f t="shared" si="235"/>
        <v>1.5705680664048183</v>
      </c>
      <c r="AP288" t="str">
        <f t="shared" si="216"/>
        <v>1+29.601091267245i</v>
      </c>
      <c r="AQ288">
        <f t="shared" si="236"/>
        <v>29.617977719820242</v>
      </c>
      <c r="AR288">
        <f t="shared" si="237"/>
        <v>1.5370266312356078</v>
      </c>
      <c r="AS288" s="42" t="str">
        <f t="shared" si="238"/>
        <v>-0.105755134531114+0.0536235472647113i</v>
      </c>
      <c r="AT288">
        <f t="shared" si="239"/>
        <v>-18.520260063043189</v>
      </c>
      <c r="AU288" s="44">
        <f t="shared" si="240"/>
        <v>153.11253763439831</v>
      </c>
      <c r="AV288" s="42" t="str">
        <f t="shared" si="217"/>
        <v>0.0493021057282148+0.0823933214260345i</v>
      </c>
      <c r="AW288" s="20">
        <f t="shared" si="241"/>
        <v>-20.352993654550847</v>
      </c>
      <c r="AX288" s="44">
        <f t="shared" si="242"/>
        <v>59.104751546657994</v>
      </c>
    </row>
    <row r="289" spans="14:50" x14ac:dyDescent="0.3">
      <c r="N289" s="8">
        <v>71</v>
      </c>
      <c r="O289" s="35">
        <f t="shared" si="243"/>
        <v>5128.6138399136489</v>
      </c>
      <c r="P289" s="34" t="str">
        <f t="shared" si="208"/>
        <v>545.10556621881</v>
      </c>
      <c r="Q289" s="4" t="str">
        <f t="shared" si="209"/>
        <v>1+688.394369333676i</v>
      </c>
      <c r="R289" s="4">
        <f t="shared" si="218"/>
        <v>688.39509566113952</v>
      </c>
      <c r="S289" s="4">
        <f t="shared" si="219"/>
        <v>1.569343672123177</v>
      </c>
      <c r="T289" s="4" t="str">
        <f t="shared" si="210"/>
        <v>1+0.0161120155625716i</v>
      </c>
      <c r="U289" s="4">
        <f t="shared" si="220"/>
        <v>1.0001297901000092</v>
      </c>
      <c r="V289" s="4">
        <f t="shared" si="221"/>
        <v>1.6110621569145469E-2</v>
      </c>
      <c r="W289" t="str">
        <f t="shared" si="211"/>
        <v>1-0.0167371617663994i</v>
      </c>
      <c r="X289" s="4">
        <f t="shared" si="222"/>
        <v>1.0001400564840881</v>
      </c>
      <c r="Y289" s="4">
        <f t="shared" si="223"/>
        <v>-1.6735599154242688E-2</v>
      </c>
      <c r="Z289" t="str">
        <f t="shared" si="212"/>
        <v>0.998316628485187+0.0724792358132993i</v>
      </c>
      <c r="AA289" s="4">
        <f t="shared" si="224"/>
        <v>1.0009442193919251</v>
      </c>
      <c r="AB289" s="4">
        <f t="shared" si="225"/>
        <v>7.2474292894196449E-2</v>
      </c>
      <c r="AC289" s="48" t="str">
        <f t="shared" si="226"/>
        <v>-0.0566466485250509-0.789286246116104i</v>
      </c>
      <c r="AD289" s="20">
        <f t="shared" si="227"/>
        <v>-2.0329968340261892</v>
      </c>
      <c r="AE289" s="44">
        <f t="shared" si="228"/>
        <v>-94.105048702169285</v>
      </c>
      <c r="AF289" t="str">
        <f t="shared" si="213"/>
        <v>-0.979317078436135</v>
      </c>
      <c r="AG289" t="str">
        <f t="shared" si="229"/>
        <v>32224.0311251433i</v>
      </c>
      <c r="AH289">
        <f t="shared" si="230"/>
        <v>32224.031125143301</v>
      </c>
      <c r="AI289">
        <f t="shared" si="231"/>
        <v>1.5707963267948966</v>
      </c>
      <c r="AJ289" t="str">
        <f t="shared" si="214"/>
        <v>-15.0731899007054+31.5769725801504i</v>
      </c>
      <c r="AK289">
        <f t="shared" si="232"/>
        <v>34.990087898007594</v>
      </c>
      <c r="AL289">
        <f t="shared" si="233"/>
        <v>2.0161582945344456</v>
      </c>
      <c r="AM289" t="str">
        <f t="shared" si="215"/>
        <v>1+4483.00721012994i</v>
      </c>
      <c r="AN289">
        <f t="shared" si="234"/>
        <v>4483.0073216622159</v>
      </c>
      <c r="AO289">
        <f t="shared" si="235"/>
        <v>1.5705732622454678</v>
      </c>
      <c r="AP289" t="str">
        <f t="shared" si="216"/>
        <v>1+30.2905892576348i</v>
      </c>
      <c r="AQ289">
        <f t="shared" si="236"/>
        <v>30.307091539353308</v>
      </c>
      <c r="AR289">
        <f t="shared" si="237"/>
        <v>1.5377947588610166</v>
      </c>
      <c r="AS289" s="42" t="str">
        <f t="shared" si="238"/>
        <v>-0.10474957886292+0.0543457242416018i</v>
      </c>
      <c r="AT289">
        <f t="shared" si="239"/>
        <v>-18.561757293278013</v>
      </c>
      <c r="AU289" s="44">
        <f t="shared" si="240"/>
        <v>152.57900767571545</v>
      </c>
      <c r="AV289" s="42" t="str">
        <f t="shared" si="217"/>
        <v>0.0488280452561098+0.0795988987430036i</v>
      </c>
      <c r="AW289" s="20">
        <f t="shared" si="241"/>
        <v>-20.594754127304196</v>
      </c>
      <c r="AX289" s="44">
        <f t="shared" si="242"/>
        <v>58.473958973546161</v>
      </c>
    </row>
    <row r="290" spans="14:50" x14ac:dyDescent="0.3">
      <c r="N290" s="8">
        <v>72</v>
      </c>
      <c r="O290" s="35">
        <f t="shared" si="243"/>
        <v>5248.0746024977261</v>
      </c>
      <c r="P290" s="34" t="str">
        <f t="shared" si="208"/>
        <v>545.10556621881</v>
      </c>
      <c r="Q290" s="4" t="str">
        <f t="shared" si="209"/>
        <v>1+704.429134064681i</v>
      </c>
      <c r="R290" s="4">
        <f t="shared" si="218"/>
        <v>704.42984385892987</v>
      </c>
      <c r="S290" s="4">
        <f t="shared" si="219"/>
        <v>1.569376738535555</v>
      </c>
      <c r="T290" s="4" t="str">
        <f t="shared" si="210"/>
        <v>1+0.0164873126166981i</v>
      </c>
      <c r="U290" s="4">
        <f t="shared" si="220"/>
        <v>1.0001359065033715</v>
      </c>
      <c r="V290" s="4">
        <f t="shared" si="221"/>
        <v>1.6485818936792847E-2</v>
      </c>
      <c r="W290" t="str">
        <f t="shared" si="211"/>
        <v>1-0.0171270203462259i</v>
      </c>
      <c r="X290" s="4">
        <f t="shared" si="222"/>
        <v>1.0001466566588821</v>
      </c>
      <c r="Y290" s="4">
        <f t="shared" si="223"/>
        <v>-1.7125345990393438E-2</v>
      </c>
      <c r="Z290" t="str">
        <f t="shared" si="212"/>
        <v>0.998237293629864+0.0741674940936136i</v>
      </c>
      <c r="AA290" s="4">
        <f t="shared" si="224"/>
        <v>1.0009887669567534</v>
      </c>
      <c r="AB290" s="4">
        <f t="shared" si="225"/>
        <v>7.4162195872064129E-2</v>
      </c>
      <c r="AC290" s="48" t="str">
        <f t="shared" si="226"/>
        <v>-0.0566939699465869-0.771198182686472i</v>
      </c>
      <c r="AD290" s="20">
        <f t="shared" si="227"/>
        <v>-2.2332725436579679</v>
      </c>
      <c r="AE290" s="44">
        <f t="shared" si="228"/>
        <v>-94.204486608040966</v>
      </c>
      <c r="AF290" t="str">
        <f t="shared" si="213"/>
        <v>-0.979317078436135</v>
      </c>
      <c r="AG290" t="str">
        <f t="shared" si="229"/>
        <v>32974.6252333961i</v>
      </c>
      <c r="AH290">
        <f t="shared" si="230"/>
        <v>32974.625233396102</v>
      </c>
      <c r="AI290">
        <f t="shared" si="231"/>
        <v>1.5707963267948966</v>
      </c>
      <c r="AJ290" t="str">
        <f t="shared" si="214"/>
        <v>-15.8306960032721+32.3124947587095i</v>
      </c>
      <c r="AK290">
        <f t="shared" si="232"/>
        <v>35.982054603366443</v>
      </c>
      <c r="AL290">
        <f t="shared" si="233"/>
        <v>2.026351424563086</v>
      </c>
      <c r="AM290" t="str">
        <f t="shared" si="215"/>
        <v>1+4587.42986247007i</v>
      </c>
      <c r="AN290">
        <f t="shared" si="234"/>
        <v>4587.4299714635608</v>
      </c>
      <c r="AO290">
        <f t="shared" si="235"/>
        <v>1.5705783398143562</v>
      </c>
      <c r="AP290" t="str">
        <f t="shared" si="216"/>
        <v>1+30.9961477193924i</v>
      </c>
      <c r="AQ290">
        <f t="shared" si="236"/>
        <v>31.012274560928205</v>
      </c>
      <c r="AR290">
        <f t="shared" si="237"/>
        <v>1.5385454394127809</v>
      </c>
      <c r="AS290" s="42" t="str">
        <f t="shared" si="238"/>
        <v>-0.103716935459337+0.0550584050825726i</v>
      </c>
      <c r="AT290">
        <f t="shared" si="239"/>
        <v>-18.604788608307288</v>
      </c>
      <c r="AU290" s="44">
        <f t="shared" si="240"/>
        <v>152.03828609569229</v>
      </c>
      <c r="AV290" s="42" t="str">
        <f t="shared" si="217"/>
        <v>0.0483410667631793+0.0768648325769924i</v>
      </c>
      <c r="AW290" s="20">
        <f t="shared" si="241"/>
        <v>-20.838061151965256</v>
      </c>
      <c r="AX290" s="44">
        <f t="shared" si="242"/>
        <v>57.833799487651333</v>
      </c>
    </row>
    <row r="291" spans="14:50" x14ac:dyDescent="0.3">
      <c r="N291" s="8">
        <v>73</v>
      </c>
      <c r="O291" s="35">
        <f t="shared" si="243"/>
        <v>5370.3179637025269</v>
      </c>
      <c r="P291" s="34" t="str">
        <f t="shared" si="208"/>
        <v>545.10556621881</v>
      </c>
      <c r="Q291" s="4" t="str">
        <f t="shared" si="209"/>
        <v>1+720.837396446786i</v>
      </c>
      <c r="R291" s="4">
        <f t="shared" si="218"/>
        <v>720.83809008416097</v>
      </c>
      <c r="S291" s="4">
        <f t="shared" si="219"/>
        <v>1.5694090522674942</v>
      </c>
      <c r="T291" s="4" t="str">
        <f t="shared" si="210"/>
        <v>1+0.0168713514622091i</v>
      </c>
      <c r="U291" s="4">
        <f t="shared" si="220"/>
        <v>1.0001423111238528</v>
      </c>
      <c r="V291" s="4">
        <f t="shared" si="221"/>
        <v>1.6869750967654373E-2</v>
      </c>
      <c r="W291" t="str">
        <f t="shared" si="211"/>
        <v>1-0.0175259598989428i</v>
      </c>
      <c r="X291" s="4">
        <f t="shared" si="222"/>
        <v>1.0001535678436484</v>
      </c>
      <c r="Y291" s="4">
        <f t="shared" si="223"/>
        <v>-1.7524165809222215E-2</v>
      </c>
      <c r="Z291" t="str">
        <f t="shared" si="212"/>
        <v>0.998154219837999+0.0758950769610189i</v>
      </c>
      <c r="AA291" s="4">
        <f t="shared" si="224"/>
        <v>1.0010354185978254</v>
      </c>
      <c r="AB291" s="4">
        <f t="shared" si="225"/>
        <v>7.5889397808126188E-2</v>
      </c>
      <c r="AC291" s="48" t="str">
        <f t="shared" si="226"/>
        <v>-0.0567387511428033-0.753519023052115i</v>
      </c>
      <c r="AD291" s="20">
        <f t="shared" si="227"/>
        <v>-2.4335613081936023</v>
      </c>
      <c r="AE291" s="44">
        <f t="shared" si="228"/>
        <v>-94.306152437221371</v>
      </c>
      <c r="AF291" t="str">
        <f t="shared" si="213"/>
        <v>-0.979317078436135</v>
      </c>
      <c r="AG291" t="str">
        <f t="shared" si="229"/>
        <v>33742.7029244183i</v>
      </c>
      <c r="AH291">
        <f t="shared" si="230"/>
        <v>33742.7029244183</v>
      </c>
      <c r="AI291">
        <f t="shared" si="231"/>
        <v>1.5707963267948966</v>
      </c>
      <c r="AJ291" t="str">
        <f t="shared" si="214"/>
        <v>-16.6239022685925+33.065149449696i</v>
      </c>
      <c r="AK291">
        <f t="shared" si="232"/>
        <v>37.008893995449888</v>
      </c>
      <c r="AL291">
        <f t="shared" si="233"/>
        <v>2.0366511323887009</v>
      </c>
      <c r="AM291" t="str">
        <f t="shared" si="215"/>
        <v>1+4694.28483084507i</v>
      </c>
      <c r="AN291">
        <f t="shared" si="234"/>
        <v>4694.2849373575655</v>
      </c>
      <c r="AO291">
        <f t="shared" si="235"/>
        <v>1.570583301803677</v>
      </c>
      <c r="AP291" t="str">
        <f t="shared" si="216"/>
        <v>1+31.7181407489533i</v>
      </c>
      <c r="AQ291">
        <f t="shared" si="236"/>
        <v>31.733900683187557</v>
      </c>
      <c r="AR291">
        <f t="shared" si="237"/>
        <v>1.5392790675255348</v>
      </c>
      <c r="AS291" s="42" t="str">
        <f t="shared" si="238"/>
        <v>-0.102657232778173+0.0557604301072106i</v>
      </c>
      <c r="AT291">
        <f t="shared" si="239"/>
        <v>-18.649394822595969</v>
      </c>
      <c r="AU291" s="44">
        <f t="shared" si="240"/>
        <v>151.49047440270607</v>
      </c>
      <c r="AV291" s="42" t="str">
        <f t="shared" si="217"/>
        <v>0.0478411880029607+0.0741904005847738i</v>
      </c>
      <c r="AW291" s="20">
        <f t="shared" si="241"/>
        <v>-21.082956130789565</v>
      </c>
      <c r="AX291" s="44">
        <f t="shared" si="242"/>
        <v>57.184321965484671</v>
      </c>
    </row>
    <row r="292" spans="14:50" x14ac:dyDescent="0.3">
      <c r="N292" s="8">
        <v>74</v>
      </c>
      <c r="O292" s="35">
        <f t="shared" si="243"/>
        <v>5495.4087385762541</v>
      </c>
      <c r="P292" s="34" t="str">
        <f t="shared" si="208"/>
        <v>545.10556621881</v>
      </c>
      <c r="Q292" s="4" t="str">
        <f t="shared" si="209"/>
        <v>1+737.627856357901i</v>
      </c>
      <c r="R292" s="4">
        <f t="shared" si="218"/>
        <v>737.62853420617637</v>
      </c>
      <c r="S292" s="4">
        <f t="shared" si="219"/>
        <v>1.5694406304518924</v>
      </c>
      <c r="T292" s="4" t="str">
        <f t="shared" si="210"/>
        <v>1+0.0172643357215843i</v>
      </c>
      <c r="U292" s="4">
        <f t="shared" si="220"/>
        <v>1.0001490175408401</v>
      </c>
      <c r="V292" s="4">
        <f t="shared" si="221"/>
        <v>1.7262620774571094E-2</v>
      </c>
      <c r="W292" t="str">
        <f t="shared" si="211"/>
        <v>1-0.0179341919475817i</v>
      </c>
      <c r="X292" s="4">
        <f t="shared" si="222"/>
        <v>1.000160804691332</v>
      </c>
      <c r="Y292" s="4">
        <f t="shared" si="223"/>
        <v>-1.7932269562503524E-2</v>
      </c>
      <c r="Z292" t="str">
        <f t="shared" si="212"/>
        <v>0.998067230898943+0.0776629004028193i</v>
      </c>
      <c r="AA292" s="4">
        <f t="shared" si="224"/>
        <v>1.0010842739216623</v>
      </c>
      <c r="AB292" s="4">
        <f t="shared" si="225"/>
        <v>7.7656812830187757E-2</v>
      </c>
      <c r="AC292" s="48" t="str">
        <f t="shared" si="226"/>
        <v>-0.0567810871097373-0.736239394714034i</v>
      </c>
      <c r="AD292" s="20">
        <f t="shared" si="227"/>
        <v>-2.6338637434002061</v>
      </c>
      <c r="AE292" s="44">
        <f t="shared" si="228"/>
        <v>-94.410099996156248</v>
      </c>
      <c r="AF292" t="str">
        <f t="shared" si="213"/>
        <v>-0.979317078436135</v>
      </c>
      <c r="AG292" t="str">
        <f t="shared" si="229"/>
        <v>34528.6714431686i</v>
      </c>
      <c r="AH292">
        <f t="shared" si="230"/>
        <v>34528.671443168598</v>
      </c>
      <c r="AI292">
        <f t="shared" si="231"/>
        <v>1.5707963267948966</v>
      </c>
      <c r="AJ292" t="str">
        <f t="shared" si="214"/>
        <v>-17.4544911935022+33.8353357205898i</v>
      </c>
      <c r="AK292">
        <f t="shared" si="232"/>
        <v>38.072157886690192</v>
      </c>
      <c r="AL292">
        <f t="shared" si="233"/>
        <v>2.0470558323003338</v>
      </c>
      <c r="AM292" t="str">
        <f t="shared" si="215"/>
        <v>1+4803.62877117361i</v>
      </c>
      <c r="AN292">
        <f t="shared" si="234"/>
        <v>4803.6288752615856</v>
      </c>
      <c r="AO292">
        <f t="shared" si="235"/>
        <v>1.5705881508443413</v>
      </c>
      <c r="AP292" t="str">
        <f t="shared" si="216"/>
        <v>1+32.4569511565786i</v>
      </c>
      <c r="AQ292">
        <f t="shared" si="236"/>
        <v>32.47235252303917</v>
      </c>
      <c r="AR292">
        <f t="shared" si="237"/>
        <v>1.5399960290180394</v>
      </c>
      <c r="AS292" s="42" t="str">
        <f t="shared" si="238"/>
        <v>-0.10157055969416+0.0564506173510276i</v>
      </c>
      <c r="AT292">
        <f t="shared" si="239"/>
        <v>-18.695616661148946</v>
      </c>
      <c r="AU292" s="44">
        <f t="shared" si="240"/>
        <v>150.93568570782779</v>
      </c>
      <c r="AV292" s="42" t="str">
        <f t="shared" si="217"/>
        <v>0.047328455147533+0.0715749199687869i</v>
      </c>
      <c r="AW292" s="20">
        <f t="shared" si="241"/>
        <v>-21.329480404549152</v>
      </c>
      <c r="AX292" s="44">
        <f t="shared" si="242"/>
        <v>56.525585711671539</v>
      </c>
    </row>
    <row r="293" spans="14:50" x14ac:dyDescent="0.3">
      <c r="N293" s="8">
        <v>75</v>
      </c>
      <c r="O293" s="35">
        <f t="shared" si="243"/>
        <v>5623.4132519034993</v>
      </c>
      <c r="P293" s="34" t="str">
        <f t="shared" si="208"/>
        <v>545.10556621881</v>
      </c>
      <c r="Q293" s="4" t="str">
        <f t="shared" si="209"/>
        <v>1+754.809416322114i</v>
      </c>
      <c r="R293" s="4">
        <f t="shared" si="218"/>
        <v>754.81007874069246</v>
      </c>
      <c r="S293" s="4">
        <f t="shared" si="219"/>
        <v>1.5694714898316693</v>
      </c>
      <c r="T293" s="4" t="str">
        <f t="shared" si="210"/>
        <v>1+0.0176664737602795i</v>
      </c>
      <c r="U293" s="4">
        <f t="shared" si="220"/>
        <v>1.0001560399733247</v>
      </c>
      <c r="V293" s="4">
        <f t="shared" si="221"/>
        <v>1.7664636176931071E-2</v>
      </c>
      <c r="W293" t="str">
        <f t="shared" si="211"/>
        <v>1-0.0183519329421783i</v>
      </c>
      <c r="X293" s="4">
        <f t="shared" si="222"/>
        <v>1.0001683825450165</v>
      </c>
      <c r="Y293" s="4">
        <f t="shared" si="223"/>
        <v>-1.8349873088184119E-2</v>
      </c>
      <c r="Z293" t="str">
        <f t="shared" si="212"/>
        <v>0.997976142297492+0.0794719017424031i</v>
      </c>
      <c r="AA293" s="4">
        <f t="shared" si="224"/>
        <v>1.0011354372718699</v>
      </c>
      <c r="AB293" s="4">
        <f t="shared" si="225"/>
        <v>7.9465376265919166E-2</v>
      </c>
      <c r="AC293" s="48" t="str">
        <f t="shared" si="226"/>
        <v>-0.0568210676579116-0.719350137036854i</v>
      </c>
      <c r="AD293" s="20">
        <f t="shared" si="227"/>
        <v>-2.8341804943544102</v>
      </c>
      <c r="AE293" s="44">
        <f t="shared" si="228"/>
        <v>-94.516384293901751</v>
      </c>
      <c r="AF293" t="str">
        <f t="shared" si="213"/>
        <v>-0.979317078436135</v>
      </c>
      <c r="AG293" t="str">
        <f t="shared" si="229"/>
        <v>35332.947520559i</v>
      </c>
      <c r="AH293">
        <f t="shared" si="230"/>
        <v>35332.947520558999</v>
      </c>
      <c r="AI293">
        <f t="shared" si="231"/>
        <v>1.5707963267948966</v>
      </c>
      <c r="AJ293" t="str">
        <f t="shared" si="214"/>
        <v>-18.3242245684701+34.6234619343462i</v>
      </c>
      <c r="AK293">
        <f t="shared" si="232"/>
        <v>39.173477281891174</v>
      </c>
      <c r="AL293">
        <f t="shared" si="233"/>
        <v>2.0575637238085966</v>
      </c>
      <c r="AM293" t="str">
        <f t="shared" si="215"/>
        <v>1+4915.51965906017i</v>
      </c>
      <c r="AN293">
        <f t="shared" si="234"/>
        <v>4915.519760778815</v>
      </c>
      <c r="AO293">
        <f t="shared" si="235"/>
        <v>1.5705928895073737</v>
      </c>
      <c r="AP293" t="str">
        <f t="shared" si="216"/>
        <v>1+33.2129706693255i</v>
      </c>
      <c r="AQ293">
        <f t="shared" si="236"/>
        <v>33.228021618529681</v>
      </c>
      <c r="AR293">
        <f t="shared" si="237"/>
        <v>1.5406967010827421</v>
      </c>
      <c r="AS293" s="42" t="str">
        <f t="shared" si="238"/>
        <v>-0.100457068329315+0.057127765944172i</v>
      </c>
      <c r="AT293">
        <f t="shared" si="239"/>
        <v>-18.743494666432092</v>
      </c>
      <c r="AU293" s="44">
        <f t="shared" si="240"/>
        <v>150.37404493034546</v>
      </c>
      <c r="AV293" s="42" t="str">
        <f t="shared" si="217"/>
        <v>0.0468029441368049+0.0690177452151542i</v>
      </c>
      <c r="AW293" s="20">
        <f t="shared" si="241"/>
        <v>-21.577675160786502</v>
      </c>
      <c r="AX293" s="44">
        <f t="shared" si="242"/>
        <v>55.857660636443711</v>
      </c>
    </row>
    <row r="294" spans="14:50" x14ac:dyDescent="0.3">
      <c r="N294" s="8">
        <v>76</v>
      </c>
      <c r="O294" s="35">
        <f t="shared" si="243"/>
        <v>5754.399373371567</v>
      </c>
      <c r="P294" s="34" t="str">
        <f t="shared" si="208"/>
        <v>545.10556621881</v>
      </c>
      <c r="Q294" s="4" t="str">
        <f t="shared" si="209"/>
        <v>1+772.391186229945i</v>
      </c>
      <c r="R294" s="4">
        <f t="shared" si="218"/>
        <v>772.39183357004856</v>
      </c>
      <c r="S294" s="4">
        <f t="shared" si="219"/>
        <v>1.5695016467686409</v>
      </c>
      <c r="T294" s="4" t="str">
        <f t="shared" si="210"/>
        <v>1+0.0180779787972058i</v>
      </c>
      <c r="U294" s="4">
        <f t="shared" si="220"/>
        <v>1.0001633933100091</v>
      </c>
      <c r="V294" s="4">
        <f t="shared" si="221"/>
        <v>1.8076009808545589E-2</v>
      </c>
      <c r="W294" t="str">
        <f t="shared" si="211"/>
        <v>1-0.0187794043745373i</v>
      </c>
      <c r="X294" s="4">
        <f t="shared" si="222"/>
        <v>1.0001763174704059</v>
      </c>
      <c r="Y294" s="4">
        <f t="shared" si="223"/>
        <v>-1.8777197222230591E-2</v>
      </c>
      <c r="Z294" t="str">
        <f t="shared" si="212"/>
        <v>0.997880760822511+0.0813230401362255i</v>
      </c>
      <c r="AA294" s="4">
        <f t="shared" si="224"/>
        <v>1.0011890179565053</v>
      </c>
      <c r="AB294" s="4">
        <f t="shared" si="225"/>
        <v>8.1316045129703515E-2</v>
      </c>
      <c r="AC294" s="48" t="str">
        <f t="shared" si="226"/>
        <v>-0.0568587776029282-0.702842296397732i</v>
      </c>
      <c r="AD294" s="20">
        <f t="shared" si="227"/>
        <v>-3.0345122368408335</v>
      </c>
      <c r="AE294" s="44">
        <f t="shared" si="228"/>
        <v>-94.625061570754852</v>
      </c>
      <c r="AF294" t="str">
        <f t="shared" si="213"/>
        <v>-0.979317078436135</v>
      </c>
      <c r="AG294" t="str">
        <f t="shared" si="229"/>
        <v>36155.9575944116i</v>
      </c>
      <c r="AH294">
        <f t="shared" si="230"/>
        <v>36155.9575944116</v>
      </c>
      <c r="AI294">
        <f t="shared" si="231"/>
        <v>1.5707963267948966</v>
      </c>
      <c r="AJ294" t="str">
        <f t="shared" si="214"/>
        <v>-19.2349472145915+35.4299459659159i</v>
      </c>
      <c r="AK294">
        <f t="shared" si="232"/>
        <v>40.314566418303968</v>
      </c>
      <c r="AL294">
        <f t="shared" si="233"/>
        <v>2.068172788859413</v>
      </c>
      <c r="AM294" t="str">
        <f t="shared" si="215"/>
        <v>1+5030.01682053454i</v>
      </c>
      <c r="AN294">
        <f t="shared" si="234"/>
        <v>5030.0169199377851</v>
      </c>
      <c r="AO294">
        <f t="shared" si="235"/>
        <v>1.5705975203052756</v>
      </c>
      <c r="AP294" t="str">
        <f t="shared" si="216"/>
        <v>1+33.986600138747i</v>
      </c>
      <c r="AQ294">
        <f t="shared" si="236"/>
        <v>34.001308636449238</v>
      </c>
      <c r="AR294">
        <f t="shared" si="237"/>
        <v>1.5413814524717613</v>
      </c>
      <c r="AS294" s="42" t="str">
        <f t="shared" si="238"/>
        <v>-0.0993169766943341+0.0577906598052348i</v>
      </c>
      <c r="AT294">
        <f t="shared" si="239"/>
        <v>-18.79306910116561</v>
      </c>
      <c r="AU294" s="44">
        <f t="shared" si="240"/>
        <v>149.805688968136</v>
      </c>
      <c r="AV294" s="42" t="str">
        <f t="shared" si="217"/>
        <v>0.0462647619379097+0.0665182656977335i</v>
      </c>
      <c r="AW294" s="20">
        <f t="shared" si="241"/>
        <v>-21.827581338006439</v>
      </c>
      <c r="AX294" s="44">
        <f t="shared" si="242"/>
        <v>55.180627397381151</v>
      </c>
    </row>
    <row r="295" spans="14:50" x14ac:dyDescent="0.3">
      <c r="N295" s="8">
        <v>77</v>
      </c>
      <c r="O295" s="35">
        <f t="shared" si="243"/>
        <v>5888.4365535558973</v>
      </c>
      <c r="P295" s="34" t="str">
        <f t="shared" si="208"/>
        <v>545.10556621881</v>
      </c>
      <c r="Q295" s="4" t="str">
        <f t="shared" si="209"/>
        <v>1+790.382488168523i</v>
      </c>
      <c r="R295" s="4">
        <f t="shared" si="218"/>
        <v>790.38312077337878</v>
      </c>
      <c r="S295" s="4">
        <f t="shared" si="219"/>
        <v>1.5695311172521953</v>
      </c>
      <c r="T295" s="4" t="str">
        <f t="shared" si="210"/>
        <v>1+0.0184990690177808i</v>
      </c>
      <c r="U295" s="4">
        <f t="shared" si="220"/>
        <v>1.0001710931408307</v>
      </c>
      <c r="V295" s="4">
        <f t="shared" si="221"/>
        <v>1.8496959227911572E-2</v>
      </c>
      <c r="W295" t="str">
        <f t="shared" si="211"/>
        <v>1-0.0192168328956706i</v>
      </c>
      <c r="X295" s="4">
        <f t="shared" si="222"/>
        <v>1.0001846262898366</v>
      </c>
      <c r="Y295" s="4">
        <f t="shared" si="223"/>
        <v>-1.921446791294194E-2</v>
      </c>
      <c r="Z295" t="str">
        <f t="shared" si="212"/>
        <v>0.997780884157104+0.0832172970823663i</v>
      </c>
      <c r="AA295" s="4">
        <f t="shared" si="224"/>
        <v>1.0012451304865493</v>
      </c>
      <c r="AB295" s="4">
        <f t="shared" si="225"/>
        <v>8.3209798620287351E-2</v>
      </c>
      <c r="AC295" s="48" t="str">
        <f t="shared" si="226"/>
        <v>-0.0568942969454832-0.686707121445229i</v>
      </c>
      <c r="AD295" s="20">
        <f t="shared" si="227"/>
        <v>-3.234859678818029</v>
      </c>
      <c r="AE295" s="44">
        <f t="shared" si="228"/>
        <v>-94.736189327495708</v>
      </c>
      <c r="AF295" t="str">
        <f t="shared" si="213"/>
        <v>-0.979317078436135</v>
      </c>
      <c r="AG295" t="str">
        <f t="shared" si="229"/>
        <v>36998.1380355616i</v>
      </c>
      <c r="AH295">
        <f t="shared" si="230"/>
        <v>36998.138035561598</v>
      </c>
      <c r="AI295">
        <f t="shared" si="231"/>
        <v>1.5707963267948966</v>
      </c>
      <c r="AJ295" t="str">
        <f t="shared" si="214"/>
        <v>-20.1885908967019+36.2552154238075i</v>
      </c>
      <c r="AK295">
        <f t="shared" si="232"/>
        <v>41.497226989536109</v>
      </c>
      <c r="AL295">
        <f t="shared" si="233"/>
        <v>2.0788807897116821</v>
      </c>
      <c r="AM295" t="str">
        <f t="shared" si="215"/>
        <v>1+5147.18096350733i</v>
      </c>
      <c r="AN295">
        <f t="shared" si="234"/>
        <v>5147.1810606478803</v>
      </c>
      <c r="AO295">
        <f t="shared" si="235"/>
        <v>1.5706020456933563</v>
      </c>
      <c r="AP295" t="str">
        <f t="shared" si="216"/>
        <v>1+34.778249753428i</v>
      </c>
      <c r="AQ295">
        <f t="shared" si="236"/>
        <v>34.79262358477461</v>
      </c>
      <c r="AR295">
        <f t="shared" si="237"/>
        <v>1.5420506436793231</v>
      </c>
      <c r="AS295" s="42" t="str">
        <f t="shared" si="238"/>
        <v>-0.0981505711061127+0.0584380716423343i</v>
      </c>
      <c r="AT295">
        <f t="shared" si="239"/>
        <v>-18.8443798473021</v>
      </c>
      <c r="AU295" s="44">
        <f t="shared" si="240"/>
        <v>149.23076682979672</v>
      </c>
      <c r="AV295" s="42" t="str">
        <f t="shared" si="217"/>
        <v>0.0457140476981974+0.0640759031515435i</v>
      </c>
      <c r="AW295" s="20">
        <f t="shared" si="241"/>
        <v>-22.07923952612013</v>
      </c>
      <c r="AX295" s="44">
        <f t="shared" si="242"/>
        <v>54.494577502300992</v>
      </c>
    </row>
    <row r="296" spans="14:50" x14ac:dyDescent="0.3">
      <c r="N296" s="8">
        <v>78</v>
      </c>
      <c r="O296" s="35">
        <f t="shared" si="243"/>
        <v>6025.595860743585</v>
      </c>
      <c r="P296" s="34" t="str">
        <f t="shared" si="208"/>
        <v>545.10556621881</v>
      </c>
      <c r="Q296" s="4" t="str">
        <f t="shared" si="209"/>
        <v>1+808.792861364275i</v>
      </c>
      <c r="R296" s="4">
        <f t="shared" si="218"/>
        <v>808.79347956929735</v>
      </c>
      <c r="S296" s="4">
        <f t="shared" si="219"/>
        <v>1.5695599169077676</v>
      </c>
      <c r="T296" s="4" t="str">
        <f t="shared" si="210"/>
        <v>1+0.0189299676896131i</v>
      </c>
      <c r="U296" s="4">
        <f t="shared" si="220"/>
        <v>1.0001791557899664</v>
      </c>
      <c r="V296" s="4">
        <f t="shared" si="221"/>
        <v>1.8927707030908094E-2</v>
      </c>
      <c r="W296" t="str">
        <f t="shared" si="211"/>
        <v>1-0.01966445043597i</v>
      </c>
      <c r="X296" s="4">
        <f t="shared" si="222"/>
        <v>1.0001933266178837</v>
      </c>
      <c r="Y296" s="4">
        <f t="shared" si="223"/>
        <v>-1.9661916337773522E-2</v>
      </c>
      <c r="Z296" t="str">
        <f t="shared" si="212"/>
        <v>0.997676300449471+0.0851556769409311i</v>
      </c>
      <c r="AA296" s="4">
        <f t="shared" si="224"/>
        <v>1.0013038948260469</v>
      </c>
      <c r="AB296" s="4">
        <f t="shared" si="225"/>
        <v>8.5147638629441441E-2</v>
      </c>
      <c r="AC296" s="48" t="str">
        <f t="shared" si="226"/>
        <v>-0.056927701041178-0.670936058465622i</v>
      </c>
      <c r="AD296" s="20">
        <f t="shared" si="227"/>
        <v>-3.4352235619557723</v>
      </c>
      <c r="AE296" s="44">
        <f t="shared" si="228"/>
        <v>-94.849826355253967</v>
      </c>
      <c r="AF296" t="str">
        <f t="shared" si="213"/>
        <v>-0.979317078436135</v>
      </c>
      <c r="AG296" t="str">
        <f t="shared" si="229"/>
        <v>37859.9353792262i</v>
      </c>
      <c r="AH296">
        <f t="shared" si="230"/>
        <v>37859.935379226197</v>
      </c>
      <c r="AI296">
        <f t="shared" si="231"/>
        <v>1.5707963267948966</v>
      </c>
      <c r="AJ296" t="str">
        <f t="shared" si="214"/>
        <v>-21.1871784209078+37.0997078768114i</v>
      </c>
      <c r="AK296">
        <f t="shared" si="232"/>
        <v>42.72335256021141</v>
      </c>
      <c r="AL296">
        <f t="shared" si="233"/>
        <v>2.0896852675311015</v>
      </c>
      <c r="AM296" t="str">
        <f t="shared" si="215"/>
        <v>1+5267.07420995795i</v>
      </c>
      <c r="AN296">
        <f t="shared" si="234"/>
        <v>5267.0743048873128</v>
      </c>
      <c r="AO296">
        <f t="shared" si="235"/>
        <v>1.5706064680710354</v>
      </c>
      <c r="AP296" t="str">
        <f t="shared" si="216"/>
        <v>1+35.5883392564727i</v>
      </c>
      <c r="AQ296">
        <f t="shared" si="236"/>
        <v>35.602386030065396</v>
      </c>
      <c r="AR296">
        <f t="shared" si="237"/>
        <v>1.5427046271206903</v>
      </c>
      <c r="AS296" s="42" t="str">
        <f t="shared" si="238"/>
        <v>-0.096958208346183+0.0590687672497178i</v>
      </c>
      <c r="AT296">
        <f t="shared" si="239"/>
        <v>-18.897466301550022</v>
      </c>
      <c r="AU296" s="44">
        <f t="shared" si="240"/>
        <v>148.64943972553954</v>
      </c>
      <c r="AV296" s="42" t="str">
        <f t="shared" si="217"/>
        <v>0.0451509737751686+0.0616901090208137i</v>
      </c>
      <c r="AW296" s="20">
        <f t="shared" si="241"/>
        <v>-22.332689863505802</v>
      </c>
      <c r="AX296" s="44">
        <f t="shared" si="242"/>
        <v>53.799613370285584</v>
      </c>
    </row>
    <row r="297" spans="14:50" x14ac:dyDescent="0.3">
      <c r="N297" s="8">
        <v>79</v>
      </c>
      <c r="O297" s="35">
        <f t="shared" si="243"/>
        <v>6165.9500186148289</v>
      </c>
      <c r="P297" s="34" t="str">
        <f t="shared" si="208"/>
        <v>545.10556621881</v>
      </c>
      <c r="Q297" s="4" t="str">
        <f t="shared" si="209"/>
        <v>1+827.632067240763i</v>
      </c>
      <c r="R297" s="4">
        <f t="shared" si="218"/>
        <v>827.63267137373145</v>
      </c>
      <c r="S297" s="4">
        <f t="shared" si="219"/>
        <v>1.5695880610051256</v>
      </c>
      <c r="T297" s="4" t="str">
        <f t="shared" si="210"/>
        <v>1+0.0193709032808822i</v>
      </c>
      <c r="U297" s="4">
        <f t="shared" si="220"/>
        <v>1.0001875983503881</v>
      </c>
      <c r="V297" s="4">
        <f t="shared" si="221"/>
        <v>1.9368480965975047E-2</v>
      </c>
      <c r="W297" t="str">
        <f t="shared" si="211"/>
        <v>1-0.0201224943281804i</v>
      </c>
      <c r="X297" s="4">
        <f t="shared" si="222"/>
        <v>1.0002024368986449</v>
      </c>
      <c r="Y297" s="4">
        <f t="shared" si="223"/>
        <v>-2.0119779022722446E-2</v>
      </c>
      <c r="Z297" t="str">
        <f t="shared" si="212"/>
        <v>0.997566787863548+0.0871392074665786i</v>
      </c>
      <c r="AA297" s="4">
        <f t="shared" si="224"/>
        <v>1.0013654366545215</v>
      </c>
      <c r="AB297" s="4">
        <f t="shared" si="225"/>
        <v>8.7130590261847468E-2</v>
      </c>
      <c r="AC297" s="48" t="str">
        <f t="shared" si="226"/>
        <v>-0.0569590607604914-0.655520746854184i</v>
      </c>
      <c r="AD297" s="20">
        <f t="shared" si="227"/>
        <v>-3.6356046632478378</v>
      </c>
      <c r="AE297" s="44">
        <f t="shared" si="228"/>
        <v>-94.966032766011608</v>
      </c>
      <c r="AF297" t="str">
        <f t="shared" si="213"/>
        <v>-0.979317078436135</v>
      </c>
      <c r="AG297" t="str">
        <f t="shared" si="229"/>
        <v>38741.8065617644i</v>
      </c>
      <c r="AH297">
        <f t="shared" si="230"/>
        <v>38741.806561764402</v>
      </c>
      <c r="AI297">
        <f t="shared" si="231"/>
        <v>1.5707963267948966</v>
      </c>
      <c r="AJ297" t="str">
        <f t="shared" si="214"/>
        <v>-22.2328279252316+37.9638710860042i</v>
      </c>
      <c r="AK297">
        <f t="shared" si="232"/>
        <v>43.994933178579814</v>
      </c>
      <c r="AL297">
        <f t="shared" si="233"/>
        <v>2.1005835417502512</v>
      </c>
      <c r="AM297" t="str">
        <f t="shared" si="215"/>
        <v>1+5389.76012887266i</v>
      </c>
      <c r="AN297">
        <f t="shared" si="234"/>
        <v>5389.760221641166</v>
      </c>
      <c r="AO297">
        <f t="shared" si="235"/>
        <v>1.5706107897831161</v>
      </c>
      <c r="AP297" t="str">
        <f t="shared" si="216"/>
        <v>1+36.4172981680586i</v>
      </c>
      <c r="AQ297">
        <f t="shared" si="236"/>
        <v>36.431025319928679</v>
      </c>
      <c r="AR297">
        <f t="shared" si="237"/>
        <v>1.5433437473076197</v>
      </c>
      <c r="AS297" s="42" t="str">
        <f t="shared" si="238"/>
        <v>-0.0957403175249117+0.0596815100839241i</v>
      </c>
      <c r="AT297">
        <f t="shared" si="239"/>
        <v>-18.952367267862083</v>
      </c>
      <c r="AU297" s="44">
        <f t="shared" si="240"/>
        <v>148.06188111398126</v>
      </c>
      <c r="AV297" s="42" t="str">
        <f t="shared" si="217"/>
        <v>0.0445757466267296+0.0593603616888387i</v>
      </c>
      <c r="AW297" s="20">
        <f t="shared" si="241"/>
        <v>-22.58797193110993</v>
      </c>
      <c r="AX297" s="44">
        <f t="shared" si="242"/>
        <v>53.095848347969657</v>
      </c>
    </row>
    <row r="298" spans="14:50" x14ac:dyDescent="0.3">
      <c r="N298" s="8">
        <v>80</v>
      </c>
      <c r="O298" s="35">
        <f t="shared" si="243"/>
        <v>6309.5734448019384</v>
      </c>
      <c r="P298" s="34" t="str">
        <f t="shared" si="208"/>
        <v>545.10556621881</v>
      </c>
      <c r="Q298" s="4" t="str">
        <f t="shared" si="209"/>
        <v>1+846.910094594306i</v>
      </c>
      <c r="R298" s="4">
        <f t="shared" si="218"/>
        <v>846.91068497553874</v>
      </c>
      <c r="S298" s="4">
        <f t="shared" si="219"/>
        <v>1.5696155644664636</v>
      </c>
      <c r="T298" s="4" t="str">
        <f t="shared" si="210"/>
        <v>1+0.019822109581475i</v>
      </c>
      <c r="U298" s="4">
        <f t="shared" si="220"/>
        <v>1.0001964387200446</v>
      </c>
      <c r="V298" s="4">
        <f t="shared" si="221"/>
        <v>1.9819514051819823E-2</v>
      </c>
      <c r="W298" t="str">
        <f t="shared" si="211"/>
        <v>1-0.0205912074332362i</v>
      </c>
      <c r="X298" s="4">
        <f t="shared" si="222"/>
        <v>1.0002119764447728</v>
      </c>
      <c r="Y298" s="4">
        <f t="shared" si="223"/>
        <v>-2.0588297964320056E-2</v>
      </c>
      <c r="Z298" t="str">
        <f t="shared" si="212"/>
        <v>0.997452114108458+0.0891689403534486i</v>
      </c>
      <c r="AA298" s="4">
        <f t="shared" si="224"/>
        <v>1.0014298876422598</v>
      </c>
      <c r="AB298" s="4">
        <f t="shared" si="225"/>
        <v>8.9159702366415114E-2</v>
      </c>
      <c r="AC298" s="48" t="str">
        <f t="shared" si="226"/>
        <v>-0.0569884426392578-0.640453014689179i</v>
      </c>
      <c r="AD298" s="20">
        <f t="shared" si="227"/>
        <v>-3.8360037967025207</v>
      </c>
      <c r="AE298" s="44">
        <f t="shared" si="228"/>
        <v>-95.084870023754718</v>
      </c>
      <c r="AF298" t="str">
        <f t="shared" si="213"/>
        <v>-0.979317078436135</v>
      </c>
      <c r="AG298" t="str">
        <f t="shared" si="229"/>
        <v>39644.21916295i</v>
      </c>
      <c r="AH298">
        <f t="shared" si="230"/>
        <v>39644.219162950001</v>
      </c>
      <c r="AI298">
        <f t="shared" si="231"/>
        <v>1.5707963267948966</v>
      </c>
      <c r="AJ298" t="str">
        <f t="shared" si="214"/>
        <v>-23.3277573724641+38.848163242158i</v>
      </c>
      <c r="AK298">
        <f t="shared" si="232"/>
        <v>45.314060194578779</v>
      </c>
      <c r="AL298">
        <f t="shared" si="233"/>
        <v>2.1115727102415747</v>
      </c>
      <c r="AM298" t="str">
        <f t="shared" si="215"/>
        <v>1+5515.3037699496i</v>
      </c>
      <c r="AN298">
        <f t="shared" si="234"/>
        <v>5515.3038606064374</v>
      </c>
      <c r="AO298">
        <f t="shared" si="235"/>
        <v>1.5706150131210261</v>
      </c>
      <c r="AP298" t="str">
        <f t="shared" si="216"/>
        <v>1+37.2655660131731i</v>
      </c>
      <c r="AQ298">
        <f t="shared" si="236"/>
        <v>37.278980810668124</v>
      </c>
      <c r="AR298">
        <f t="shared" si="237"/>
        <v>1.5439683410203833</v>
      </c>
      <c r="AS298" s="42" t="str">
        <f t="shared" si="238"/>
        <v>-0.094497401616995+0.0602750660992446i</v>
      </c>
      <c r="AT298">
        <f t="shared" si="239"/>
        <v>-19.00912084735673</v>
      </c>
      <c r="AU298" s="44">
        <f t="shared" si="240"/>
        <v>147.46827670215967</v>
      </c>
      <c r="AV298" s="42" t="str">
        <f t="shared" si="217"/>
        <v>0.0439886075454598+0.0570861635989243i</v>
      </c>
      <c r="AW298" s="20">
        <f t="shared" si="241"/>
        <v>-22.845124644059247</v>
      </c>
      <c r="AX298" s="44">
        <f t="shared" si="242"/>
        <v>52.383406678404945</v>
      </c>
    </row>
    <row r="299" spans="14:50" x14ac:dyDescent="0.3">
      <c r="N299" s="8">
        <v>81</v>
      </c>
      <c r="O299" s="35">
        <f t="shared" si="243"/>
        <v>6456.5422903465615</v>
      </c>
      <c r="P299" s="34" t="str">
        <f t="shared" si="208"/>
        <v>545.10556621881</v>
      </c>
      <c r="Q299" s="4" t="str">
        <f t="shared" si="209"/>
        <v>1+866.637164890186i</v>
      </c>
      <c r="R299" s="4">
        <f t="shared" si="218"/>
        <v>866.63774183271039</v>
      </c>
      <c r="S299" s="4">
        <f t="shared" si="219"/>
        <v>1.569642441874314</v>
      </c>
      <c r="T299" s="4" t="str">
        <f t="shared" si="210"/>
        <v>1+0.0202838258269446i</v>
      </c>
      <c r="U299" s="4">
        <f t="shared" si="220"/>
        <v>1.0002056956397409</v>
      </c>
      <c r="V299" s="4">
        <f t="shared" si="221"/>
        <v>2.0281044697701478E-2</v>
      </c>
      <c r="W299" t="str">
        <f t="shared" si="211"/>
        <v>1-0.02107083826903i</v>
      </c>
      <c r="X299" s="4">
        <f t="shared" si="222"/>
        <v>1.0002219654783431</v>
      </c>
      <c r="Y299" s="4">
        <f t="shared" si="223"/>
        <v>-2.1067720754282412E-2</v>
      </c>
      <c r="Z299" t="str">
        <f t="shared" si="212"/>
        <v>0.99733203594579+0.0912459517927847i</v>
      </c>
      <c r="AA299" s="4">
        <f t="shared" si="224"/>
        <v>1.0014973857391472</v>
      </c>
      <c r="AB299" s="4">
        <f t="shared" si="225"/>
        <v>9.1236048079245E-2</v>
      </c>
      <c r="AC299" s="48" t="str">
        <f t="shared" si="226"/>
        <v>-0.057015909019963-0.625724874406122i</v>
      </c>
      <c r="AD299" s="20">
        <f t="shared" si="227"/>
        <v>-4.0364218151166149</v>
      </c>
      <c r="AE299" s="44">
        <f t="shared" si="228"/>
        <v>-95.206400976286318</v>
      </c>
      <c r="AF299" t="str">
        <f t="shared" si="213"/>
        <v>-0.979317078436135</v>
      </c>
      <c r="AG299" t="str">
        <f t="shared" si="229"/>
        <v>40567.6516538892i</v>
      </c>
      <c r="AH299">
        <f t="shared" si="230"/>
        <v>40567.651653889203</v>
      </c>
      <c r="AI299">
        <f t="shared" si="231"/>
        <v>1.5707963267948966</v>
      </c>
      <c r="AJ299" t="str">
        <f t="shared" si="214"/>
        <v>-24.474289254763+39.7530532086791i</v>
      </c>
      <c r="AK299">
        <f t="shared" si="232"/>
        <v>46.682931291189057</v>
      </c>
      <c r="AL299">
        <f t="shared" si="233"/>
        <v>2.1226496503463856</v>
      </c>
      <c r="AM299" t="str">
        <f t="shared" si="215"/>
        <v>1+5643.77169808907i</v>
      </c>
      <c r="AN299">
        <f t="shared" si="234"/>
        <v>5643.771786682305</v>
      </c>
      <c r="AO299">
        <f t="shared" si="235"/>
        <v>1.5706191403240346</v>
      </c>
      <c r="AP299" t="str">
        <f t="shared" si="216"/>
        <v>1+38.1335925546559i</v>
      </c>
      <c r="AQ299">
        <f t="shared" si="236"/>
        <v>38.146702100240695</v>
      </c>
      <c r="AR299">
        <f t="shared" si="237"/>
        <v>1.5445787374764004</v>
      </c>
      <c r="AS299" s="42" t="str">
        <f t="shared" si="238"/>
        <v>-0.0932300386349371+0.0608482088178785i</v>
      </c>
      <c r="AT299">
        <f t="shared" si="239"/>
        <v>-19.06776432619337</v>
      </c>
      <c r="AU299" s="44">
        <f t="shared" si="240"/>
        <v>146.86882439630796</v>
      </c>
      <c r="AV299" s="42" t="str">
        <f t="shared" si="217"/>
        <v>0.0433898332211417+0.0548670382777361i</v>
      </c>
      <c r="AW299" s="20">
        <f t="shared" si="241"/>
        <v>-23.104186141309984</v>
      </c>
      <c r="AX299" s="44">
        <f t="shared" si="242"/>
        <v>51.662423420021668</v>
      </c>
    </row>
    <row r="300" spans="14:50" x14ac:dyDescent="0.3">
      <c r="N300" s="8">
        <v>82</v>
      </c>
      <c r="O300" s="35">
        <f t="shared" si="243"/>
        <v>6606.9344800759654</v>
      </c>
      <c r="P300" s="34" t="str">
        <f t="shared" si="208"/>
        <v>545.10556621881</v>
      </c>
      <c r="Q300" s="4" t="str">
        <f t="shared" si="209"/>
        <v>1+886.823737682186i</v>
      </c>
      <c r="R300" s="4">
        <f t="shared" si="218"/>
        <v>886.82430149190361</v>
      </c>
      <c r="S300" s="4">
        <f t="shared" si="219"/>
        <v>1.5696687074792794</v>
      </c>
      <c r="T300" s="4" t="str">
        <f t="shared" si="210"/>
        <v>1+0.0207562968253557i</v>
      </c>
      <c r="U300" s="4">
        <f t="shared" si="220"/>
        <v>1.000215388732798</v>
      </c>
      <c r="V300" s="4">
        <f t="shared" si="221"/>
        <v>2.075331682633923E-2</v>
      </c>
      <c r="W300" t="str">
        <f t="shared" si="211"/>
        <v>1-0.0215616411421795i</v>
      </c>
      <c r="X300" s="4">
        <f t="shared" si="222"/>
        <v>1.0002324251736414</v>
      </c>
      <c r="Y300" s="4">
        <f t="shared" si="223"/>
        <v>-2.1558300706865024E-2</v>
      </c>
      <c r="Z300" t="str">
        <f t="shared" si="212"/>
        <v>0.997206298673663+0.0933713430435439i</v>
      </c>
      <c r="AA300" s="4">
        <f t="shared" si="224"/>
        <v>1.001568075477739</v>
      </c>
      <c r="AB300" s="4">
        <f t="shared" si="225"/>
        <v>9.3360725378445322E-2</v>
      </c>
      <c r="AC300" s="48" t="str">
        <f t="shared" si="226"/>
        <v>-0.0570415181841672-0.611328518570172i</v>
      </c>
      <c r="AD300" s="20">
        <f t="shared" si="227"/>
        <v>-4.2368596119353166</v>
      </c>
      <c r="AE300" s="44">
        <f t="shared" si="228"/>
        <v>-95.330689887712737</v>
      </c>
      <c r="AF300" t="str">
        <f t="shared" si="213"/>
        <v>-0.979317078436135</v>
      </c>
      <c r="AG300" t="str">
        <f t="shared" si="229"/>
        <v>41512.5936507115i</v>
      </c>
      <c r="AH300">
        <f t="shared" si="230"/>
        <v>41512.593650711497</v>
      </c>
      <c r="AI300">
        <f t="shared" si="231"/>
        <v>1.5707963267948966</v>
      </c>
      <c r="AJ300" t="str">
        <f t="shared" si="214"/>
        <v>-25.6748555199685+40.6790207702052i</v>
      </c>
      <c r="AK300">
        <f t="shared" si="232"/>
        <v>48.103855737290367</v>
      </c>
      <c r="AL300">
        <f t="shared" si="233"/>
        <v>2.1338110207980137</v>
      </c>
      <c r="AM300" t="str">
        <f t="shared" si="215"/>
        <v>1+5775.23202868698i</v>
      </c>
      <c r="AN300">
        <f t="shared" si="234"/>
        <v>5775.2321152635868</v>
      </c>
      <c r="AO300">
        <f t="shared" si="235"/>
        <v>1.570623173580439</v>
      </c>
      <c r="AP300" t="str">
        <f t="shared" si="216"/>
        <v>1+39.0218380316689i</v>
      </c>
      <c r="AQ300">
        <f t="shared" si="236"/>
        <v>39.034649266642596</v>
      </c>
      <c r="AR300">
        <f t="shared" si="237"/>
        <v>1.545175258495519</v>
      </c>
      <c r="AS300" s="42" t="str">
        <f t="shared" si="238"/>
        <v>-0.091938882408985+0.0613997246057906i</v>
      </c>
      <c r="AT300">
        <f t="shared" si="239"/>
        <v>-19.128334061970417</v>
      </c>
      <c r="AU300" s="44">
        <f t="shared" si="240"/>
        <v>146.2637342012035</v>
      </c>
      <c r="AV300" s="42" t="str">
        <f t="shared" si="217"/>
        <v>0.0427797361166386+0.052702527274478i</v>
      </c>
      <c r="AW300" s="20">
        <f t="shared" si="241"/>
        <v>-23.365193673905729</v>
      </c>
      <c r="AX300" s="44">
        <f t="shared" si="242"/>
        <v>50.933044313490811</v>
      </c>
    </row>
    <row r="301" spans="14:50" x14ac:dyDescent="0.3">
      <c r="N301" s="8">
        <v>83</v>
      </c>
      <c r="O301" s="35">
        <f t="shared" si="243"/>
        <v>6760.8297539198229</v>
      </c>
      <c r="P301" s="34" t="str">
        <f t="shared" si="208"/>
        <v>545.10556621881</v>
      </c>
      <c r="Q301" s="4" t="str">
        <f t="shared" si="209"/>
        <v>1+907.480516158407i</v>
      </c>
      <c r="R301" s="4">
        <f t="shared" si="218"/>
        <v>907.48106713425636</v>
      </c>
      <c r="S301" s="4">
        <f t="shared" si="219"/>
        <v>1.569694375207586</v>
      </c>
      <c r="T301" s="4" t="str">
        <f t="shared" si="210"/>
        <v>1+0.0212397730870858i</v>
      </c>
      <c r="U301" s="4">
        <f t="shared" si="220"/>
        <v>1.0002255385465775</v>
      </c>
      <c r="V301" s="4">
        <f t="shared" si="221"/>
        <v>2.1236579999495759E-2</v>
      </c>
      <c r="W301" t="str">
        <f t="shared" si="211"/>
        <v>1-0.0220638762828647i</v>
      </c>
      <c r="X301" s="4">
        <f t="shared" si="222"/>
        <v>1.0002433777019599</v>
      </c>
      <c r="Y301" s="4">
        <f t="shared" si="223"/>
        <v>-2.2060296988973077E-2</v>
      </c>
      <c r="Z301" t="str">
        <f t="shared" si="212"/>
        <v>0.997074635586465+0.0955462410163008i</v>
      </c>
      <c r="AA301" s="4">
        <f t="shared" si="224"/>
        <v>1.0016421082912934</v>
      </c>
      <c r="AB301" s="4">
        <f t="shared" si="225"/>
        <v>9.5534857651019878E-2</v>
      </c>
      <c r="AC301" s="48" t="str">
        <f t="shared" si="226"/>
        <v>-0.0570653244763341-0.597256315744343i</v>
      </c>
      <c r="AD301" s="20">
        <f t="shared" si="227"/>
        <v>-4.4373181232039034</v>
      </c>
      <c r="AE301" s="44">
        <f t="shared" si="228"/>
        <v>-95.457802471616176</v>
      </c>
      <c r="AF301" t="str">
        <f t="shared" si="213"/>
        <v>-0.979317078436135</v>
      </c>
      <c r="AG301" t="str">
        <f t="shared" si="229"/>
        <v>42479.5461741716i</v>
      </c>
      <c r="AH301">
        <f t="shared" si="230"/>
        <v>42479.546174171599</v>
      </c>
      <c r="AI301">
        <f t="shared" si="231"/>
        <v>1.5707963267948966</v>
      </c>
      <c r="AJ301" t="str">
        <f t="shared" si="214"/>
        <v>-26.9320027300922+41.6265568869943i</v>
      </c>
      <c r="AK301">
        <f t="shared" si="232"/>
        <v>49.579259870634075</v>
      </c>
      <c r="AL301">
        <f t="shared" si="233"/>
        <v>2.1450532645721001</v>
      </c>
      <c r="AM301" t="str">
        <f t="shared" si="215"/>
        <v>1+5909.75446375075i</v>
      </c>
      <c r="AN301">
        <f t="shared" si="234"/>
        <v>5909.7545483566328</v>
      </c>
      <c r="AO301">
        <f t="shared" si="235"/>
        <v>1.5706271150287243</v>
      </c>
      <c r="AP301" t="str">
        <f t="shared" si="216"/>
        <v>1+39.9307734037214i</v>
      </c>
      <c r="AQ301">
        <f t="shared" si="236"/>
        <v>39.943293111852263</v>
      </c>
      <c r="AR301">
        <f t="shared" si="237"/>
        <v>1.5457582186619914</v>
      </c>
      <c r="AS301" s="42" t="str">
        <f t="shared" si="238"/>
        <v>-0.0906246629443324+0.0619284181210201i</v>
      </c>
      <c r="AT301">
        <f t="shared" si="239"/>
        <v>-19.190865369261587</v>
      </c>
      <c r="AU301" s="44">
        <f t="shared" si="240"/>
        <v>145.6532280662062</v>
      </c>
      <c r="AV301" s="42" t="str">
        <f t="shared" si="217"/>
        <v>0.0421586646433124+0.0505921870313228i</v>
      </c>
      <c r="AW301" s="20">
        <f t="shared" si="241"/>
        <v>-23.628183492465489</v>
      </c>
      <c r="AX301" s="44">
        <f t="shared" si="242"/>
        <v>50.195425594590056</v>
      </c>
    </row>
    <row r="302" spans="14:50" x14ac:dyDescent="0.3">
      <c r="N302" s="8">
        <v>84</v>
      </c>
      <c r="O302" s="35">
        <f t="shared" si="243"/>
        <v>6918.3097091893687</v>
      </c>
      <c r="P302" s="34" t="str">
        <f t="shared" si="208"/>
        <v>545.10556621881</v>
      </c>
      <c r="Q302" s="4" t="str">
        <f t="shared" si="209"/>
        <v>1+928.618452816219i</v>
      </c>
      <c r="R302" s="4">
        <f t="shared" si="218"/>
        <v>928.61899125033415</v>
      </c>
      <c r="S302" s="4">
        <f t="shared" si="219"/>
        <v>1.5697194586684675</v>
      </c>
      <c r="T302" s="4" t="str">
        <f t="shared" si="210"/>
        <v>1+0.0217345109576483i</v>
      </c>
      <c r="U302" s="4">
        <f t="shared" si="220"/>
        <v>1.0002361665959536</v>
      </c>
      <c r="V302" s="4">
        <f t="shared" si="221"/>
        <v>2.1731089546281432E-2</v>
      </c>
      <c r="W302" t="str">
        <f t="shared" si="211"/>
        <v>1-0.0225778099828049i</v>
      </c>
      <c r="X302" s="4">
        <f t="shared" si="222"/>
        <v>1.000254846278497</v>
      </c>
      <c r="Y302" s="4">
        <f t="shared" si="223"/>
        <v>-2.2573974753074183E-2</v>
      </c>
      <c r="Z302" t="str">
        <f t="shared" si="212"/>
        <v>0.996936767409135+0.0977717988707486i</v>
      </c>
      <c r="AA302" s="4">
        <f t="shared" si="224"/>
        <v>1.0017196428475372</v>
      </c>
      <c r="AB302" s="4">
        <f t="shared" si="225"/>
        <v>9.7759594272029765E-2</v>
      </c>
      <c r="AC302" s="48" t="str">
        <f t="shared" si="226"/>
        <v>-0.0570873784193313-0.583500806451472i</v>
      </c>
      <c r="AD302" s="20">
        <f t="shared" si="227"/>
        <v>-4.637798329614558</v>
      </c>
      <c r="AE302" s="44">
        <f t="shared" si="228"/>
        <v>-95.587805924925277</v>
      </c>
      <c r="AF302" t="str">
        <f t="shared" si="213"/>
        <v>-0.979317078436135</v>
      </c>
      <c r="AG302" t="str">
        <f t="shared" si="229"/>
        <v>43469.0219152965i</v>
      </c>
      <c r="AH302">
        <f t="shared" si="230"/>
        <v>43469.0219152965</v>
      </c>
      <c r="AI302">
        <f t="shared" si="231"/>
        <v>1.5707963267948966</v>
      </c>
      <c r="AJ302" t="str">
        <f t="shared" si="214"/>
        <v>-28.2483974629152+42.5961639552374i</v>
      </c>
      <c r="AK302">
        <f t="shared" si="232"/>
        <v>51.111692819982991</v>
      </c>
      <c r="AL302">
        <f t="shared" si="233"/>
        <v>2.1563726126907294</v>
      </c>
      <c r="AM302" t="str">
        <f t="shared" si="215"/>
        <v>1+6047.41032885605i</v>
      </c>
      <c r="AN302">
        <f t="shared" si="234"/>
        <v>6047.4104115360678</v>
      </c>
      <c r="AO302">
        <f t="shared" si="235"/>
        <v>1.5706309667586984</v>
      </c>
      <c r="AP302" t="str">
        <f t="shared" si="216"/>
        <v>1+40.8608806003788i</v>
      </c>
      <c r="AQ302">
        <f t="shared" si="236"/>
        <v>40.873115411458578</v>
      </c>
      <c r="AR302">
        <f t="shared" si="237"/>
        <v>1.5463279254831885</v>
      </c>
      <c r="AS302" s="42" t="str">
        <f t="shared" si="238"/>
        <v>-0.0892881863293819+0.0624331178970869i</v>
      </c>
      <c r="AT302">
        <f t="shared" si="239"/>
        <v>-19.255392404947013</v>
      </c>
      <c r="AU302" s="44">
        <f t="shared" si="240"/>
        <v>145.03753967645514</v>
      </c>
      <c r="AV302" s="42" t="str">
        <f t="shared" si="217"/>
        <v>0.0415270031235912+0.0485355857024939i</v>
      </c>
      <c r="AW302" s="20">
        <f t="shared" si="241"/>
        <v>-23.893190734561575</v>
      </c>
      <c r="AX302" s="44">
        <f t="shared" si="242"/>
        <v>49.44973375152987</v>
      </c>
    </row>
    <row r="303" spans="14:50" x14ac:dyDescent="0.3">
      <c r="N303" s="8">
        <v>85</v>
      </c>
      <c r="O303" s="35">
        <f t="shared" si="243"/>
        <v>7079.4578438413828</v>
      </c>
      <c r="P303" s="34" t="str">
        <f t="shared" si="208"/>
        <v>545.10556621881</v>
      </c>
      <c r="Q303" s="4" t="str">
        <f t="shared" si="209"/>
        <v>1+950.248755269432i</v>
      </c>
      <c r="R303" s="4">
        <f t="shared" si="218"/>
        <v>950.24928144729722</v>
      </c>
      <c r="S303" s="4">
        <f t="shared" si="219"/>
        <v>1.5697439711613808</v>
      </c>
      <c r="T303" s="4" t="str">
        <f t="shared" si="210"/>
        <v>1+0.0222407727536107i</v>
      </c>
      <c r="U303" s="4">
        <f t="shared" si="220"/>
        <v>1.0002472954088293</v>
      </c>
      <c r="V303" s="4">
        <f t="shared" si="221"/>
        <v>2.2237106694231158E-2</v>
      </c>
      <c r="W303" t="str">
        <f t="shared" si="211"/>
        <v>1-0.0231037147364507i</v>
      </c>
      <c r="X303" s="4">
        <f t="shared" si="222"/>
        <v>1.0002668552114597</v>
      </c>
      <c r="Y303" s="4">
        <f t="shared" si="223"/>
        <v>-2.3099605272964816E-2</v>
      </c>
      <c r="Z303" t="str">
        <f t="shared" si="212"/>
        <v>0.996792401704785+0.10004919662712i</v>
      </c>
      <c r="AA303" s="4">
        <f t="shared" si="224"/>
        <v>1.0018008453989873</v>
      </c>
      <c r="AB303" s="4">
        <f t="shared" si="225"/>
        <v>0.10003611119624456</v>
      </c>
      <c r="AC303" s="48" t="str">
        <f t="shared" si="226"/>
        <v>-0.0571077268218504-0.570054699227782i</v>
      </c>
      <c r="AD303" s="20">
        <f t="shared" si="227"/>
        <v>-4.8383012586539786</v>
      </c>
      <c r="AE303" s="44">
        <f t="shared" si="228"/>
        <v>-95.720768962496408</v>
      </c>
      <c r="AF303" t="str">
        <f t="shared" si="213"/>
        <v>-0.979317078436135</v>
      </c>
      <c r="AG303" t="str">
        <f t="shared" si="229"/>
        <v>44481.5455072214i</v>
      </c>
      <c r="AH303">
        <f t="shared" si="230"/>
        <v>44481.545507221403</v>
      </c>
      <c r="AI303">
        <f t="shared" si="231"/>
        <v>1.5707963267948966</v>
      </c>
      <c r="AJ303" t="str">
        <f t="shared" si="214"/>
        <v>-29.6268319681579+43.5883560734365i</v>
      </c>
      <c r="AK303">
        <f t="shared" si="232"/>
        <v>52.703832475960908</v>
      </c>
      <c r="AL303">
        <f t="shared" si="233"/>
        <v>2.1677650890003894</v>
      </c>
      <c r="AM303" t="str">
        <f t="shared" si="215"/>
        <v>1+6188.27261096464i</v>
      </c>
      <c r="AN303">
        <f t="shared" si="234"/>
        <v>6188.2726917626314</v>
      </c>
      <c r="AO303">
        <f t="shared" si="235"/>
        <v>1.5706347308125987</v>
      </c>
      <c r="AP303" t="str">
        <f t="shared" si="216"/>
        <v>1+41.8126527767882i</v>
      </c>
      <c r="AQ303">
        <f t="shared" si="236"/>
        <v>41.824609170107664</v>
      </c>
      <c r="AR303">
        <f t="shared" si="237"/>
        <v>1.5468846795451019</v>
      </c>
      <c r="AS303" s="42" t="str">
        <f t="shared" si="238"/>
        <v>-0.087930334172403+0.0629126820202954i</v>
      </c>
      <c r="AT303">
        <f t="shared" si="239"/>
        <v>-19.321948054033555</v>
      </c>
      <c r="AU303" s="44">
        <f t="shared" si="240"/>
        <v>144.41691418808563</v>
      </c>
      <c r="AV303" s="42" t="str">
        <f t="shared" si="217"/>
        <v>0.0408851715299642+0.0465322999412026i</v>
      </c>
      <c r="AW303" s="20">
        <f t="shared" si="241"/>
        <v>-24.16024931268753</v>
      </c>
      <c r="AX303" s="44">
        <f t="shared" si="242"/>
        <v>48.696145225589227</v>
      </c>
    </row>
    <row r="304" spans="14:50" x14ac:dyDescent="0.3">
      <c r="N304" s="8">
        <v>86</v>
      </c>
      <c r="O304" s="35">
        <f t="shared" si="243"/>
        <v>7244.3596007499036</v>
      </c>
      <c r="P304" s="34" t="str">
        <f t="shared" si="208"/>
        <v>545.10556621881</v>
      </c>
      <c r="Q304" s="4" t="str">
        <f t="shared" si="209"/>
        <v>1+972.382892190721i</v>
      </c>
      <c r="R304" s="4">
        <f t="shared" si="218"/>
        <v>972.3834063913223</v>
      </c>
      <c r="S304" s="4">
        <f t="shared" si="219"/>
        <v>1.5697679256830561</v>
      </c>
      <c r="T304" s="4" t="str">
        <f t="shared" si="210"/>
        <v>1+0.0227588269016786i</v>
      </c>
      <c r="U304" s="4">
        <f t="shared" si="220"/>
        <v>1.0002589485737883</v>
      </c>
      <c r="V304" s="4">
        <f t="shared" si="221"/>
        <v>2.2754898703201656E-2</v>
      </c>
      <c r="W304" t="str">
        <f t="shared" si="211"/>
        <v>1-0.0236418693854637i</v>
      </c>
      <c r="X304" s="4">
        <f t="shared" si="222"/>
        <v>1.0002794299534703</v>
      </c>
      <c r="Y304" s="4">
        <f t="shared" si="223"/>
        <v>-2.3637466082437462E-2</v>
      </c>
      <c r="Z304" t="str">
        <f t="shared" si="212"/>
        <v>0.996641232254401+0.102379641791852i</v>
      </c>
      <c r="AA304" s="4">
        <f t="shared" si="224"/>
        <v>1.0018858901506693</v>
      </c>
      <c r="AB304" s="4">
        <f t="shared" si="225"/>
        <v>0.10236561156249108</v>
      </c>
      <c r="AC304" s="48" t="str">
        <f t="shared" si="226"/>
        <v>-0.057126412877977-0.556910866766016i</v>
      </c>
      <c r="AD304" s="20">
        <f t="shared" si="227"/>
        <v>-5.0388279868565933</v>
      </c>
      <c r="AE304" s="44">
        <f t="shared" si="228"/>
        <v>-95.856761852417421</v>
      </c>
      <c r="AF304" t="str">
        <f t="shared" si="213"/>
        <v>-0.979317078436135</v>
      </c>
      <c r="AG304" t="str">
        <f t="shared" si="229"/>
        <v>45517.6538033572i</v>
      </c>
      <c r="AH304">
        <f t="shared" si="230"/>
        <v>45517.6538033572</v>
      </c>
      <c r="AI304">
        <f t="shared" si="231"/>
        <v>1.5707963267948966</v>
      </c>
      <c r="AJ304" t="str">
        <f t="shared" si="214"/>
        <v>-31.0702300902162+44.6036593149858i</v>
      </c>
      <c r="AK304">
        <f t="shared" si="232"/>
        <v>54.358491720671353</v>
      </c>
      <c r="AL304">
        <f t="shared" si="233"/>
        <v>2.1792265159362643</v>
      </c>
      <c r="AM304" t="str">
        <f t="shared" si="215"/>
        <v>1+6332.41599712305i</v>
      </c>
      <c r="AN304">
        <f t="shared" si="234"/>
        <v>6332.416076081854</v>
      </c>
      <c r="AO304">
        <f t="shared" si="235"/>
        <v>1.5706384091861765</v>
      </c>
      <c r="AP304" t="str">
        <f t="shared" si="216"/>
        <v>1+42.7865945751559i</v>
      </c>
      <c r="AQ304">
        <f t="shared" si="236"/>
        <v>42.798278882903226</v>
      </c>
      <c r="AR304">
        <f t="shared" si="237"/>
        <v>1.5474287746646744</v>
      </c>
      <c r="AS304" s="42" t="str">
        <f t="shared" si="238"/>
        <v>-0.0865520625480756+0.0633660038562725i</v>
      </c>
      <c r="AT304">
        <f t="shared" si="239"/>
        <v>-19.390563816688054</v>
      </c>
      <c r="AU304" s="44">
        <f t="shared" si="240"/>
        <v>143.79160790674914</v>
      </c>
      <c r="AV304" s="42" t="str">
        <f t="shared" si="217"/>
        <v>0.0402336249916573+0.0445819116753143i</v>
      </c>
      <c r="AW304" s="20">
        <f t="shared" si="241"/>
        <v>-24.429391803544647</v>
      </c>
      <c r="AX304" s="44">
        <f t="shared" si="242"/>
        <v>47.934846054331686</v>
      </c>
    </row>
    <row r="305" spans="14:50" x14ac:dyDescent="0.3">
      <c r="N305" s="8">
        <v>87</v>
      </c>
      <c r="O305" s="35">
        <f t="shared" si="243"/>
        <v>7413.1024130091773</v>
      </c>
      <c r="P305" s="34" t="str">
        <f t="shared" si="208"/>
        <v>545.10556621881</v>
      </c>
      <c r="Q305" s="4" t="str">
        <f t="shared" si="209"/>
        <v>1+995.032599392456i</v>
      </c>
      <c r="R305" s="4">
        <f t="shared" si="218"/>
        <v>995.03310188842852</v>
      </c>
      <c r="S305" s="4">
        <f t="shared" si="219"/>
        <v>1.5697913349343877</v>
      </c>
      <c r="T305" s="4" t="str">
        <f t="shared" si="210"/>
        <v>1+0.0232889480810184i</v>
      </c>
      <c r="U305" s="4">
        <f t="shared" si="220"/>
        <v>1.0002711507899846</v>
      </c>
      <c r="V305" s="4">
        <f t="shared" si="221"/>
        <v>2.3284739002137376E-2</v>
      </c>
      <c r="W305" t="str">
        <f t="shared" si="211"/>
        <v>1-0.0241925592665618i</v>
      </c>
      <c r="X305" s="4">
        <f t="shared" si="222"/>
        <v>1.0002925971553853</v>
      </c>
      <c r="Y305" s="4">
        <f t="shared" si="223"/>
        <v>-2.4187841116898753E-2</v>
      </c>
      <c r="Z305" t="str">
        <f t="shared" si="212"/>
        <v>0.996482938407311+0.104764369997815i</v>
      </c>
      <c r="AA305" s="4">
        <f t="shared" si="224"/>
        <v>1.001974959646152</v>
      </c>
      <c r="AB305" s="4">
        <f t="shared" si="225"/>
        <v>0.10474932631089276</v>
      </c>
      <c r="AC305" s="48" t="str">
        <f t="shared" si="226"/>
        <v>-0.0571434762591212-0.544062342146153i</v>
      </c>
      <c r="AD305" s="20">
        <f t="shared" si="227"/>
        <v>-5.2393796421685099</v>
      </c>
      <c r="AE305" s="44">
        <f t="shared" si="228"/>
        <v>-95.995856452045842</v>
      </c>
      <c r="AF305" t="str">
        <f t="shared" si="213"/>
        <v>-0.979317078436135</v>
      </c>
      <c r="AG305" t="str">
        <f t="shared" si="229"/>
        <v>46577.8961620368i</v>
      </c>
      <c r="AH305">
        <f t="shared" si="230"/>
        <v>46577.896162036799</v>
      </c>
      <c r="AI305">
        <f t="shared" si="231"/>
        <v>1.5707963267948966</v>
      </c>
      <c r="AJ305" t="str">
        <f t="shared" si="214"/>
        <v>-32.5816534700262+45.6426120071031i</v>
      </c>
      <c r="AK305">
        <f t="shared" si="232"/>
        <v>56.078624926720721</v>
      </c>
      <c r="AL305">
        <f t="shared" si="233"/>
        <v>2.1907525212772923</v>
      </c>
      <c r="AM305" t="str">
        <f t="shared" si="215"/>
        <v>1+6479.91691406256i</v>
      </c>
      <c r="AN305">
        <f t="shared" si="234"/>
        <v>6479.9169912240432</v>
      </c>
      <c r="AO305">
        <f t="shared" si="235"/>
        <v>1.5706420038297531</v>
      </c>
      <c r="AP305" t="str">
        <f t="shared" si="216"/>
        <v>1+43.7832223923147i</v>
      </c>
      <c r="AQ305">
        <f t="shared" si="236"/>
        <v>43.794640802898336</v>
      </c>
      <c r="AR305">
        <f t="shared" si="237"/>
        <v>1.5479604980390127</v>
      </c>
      <c r="AS305" s="42" t="str">
        <f t="shared" si="238"/>
        <v>-0.0851544004400685+0.06379201777801i</v>
      </c>
      <c r="AT305">
        <f t="shared" si="239"/>
        <v>-19.461269697234169</v>
      </c>
      <c r="AU305" s="44">
        <f t="shared" si="240"/>
        <v>143.16188790918667</v>
      </c>
      <c r="AV305" s="42" t="str">
        <f t="shared" si="217"/>
        <v>0.0395728530624399+0.0426840048940559i</v>
      </c>
      <c r="AW305" s="20">
        <f t="shared" si="241"/>
        <v>-24.700649339402684</v>
      </c>
      <c r="AX305" s="44">
        <f t="shared" si="242"/>
        <v>47.166031457140825</v>
      </c>
    </row>
    <row r="306" spans="14:50" x14ac:dyDescent="0.3">
      <c r="N306" s="8">
        <v>88</v>
      </c>
      <c r="O306" s="35">
        <f t="shared" si="243"/>
        <v>7585.7757502918394</v>
      </c>
      <c r="P306" s="34" t="str">
        <f t="shared" si="208"/>
        <v>545.10556621881</v>
      </c>
      <c r="Q306" s="4" t="str">
        <f t="shared" si="209"/>
        <v>1+1018.2098860492i</v>
      </c>
      <c r="R306" s="4">
        <f t="shared" si="218"/>
        <v>1018.2103771069734</v>
      </c>
      <c r="S306" s="4">
        <f t="shared" si="219"/>
        <v>1.569814211327168</v>
      </c>
      <c r="T306" s="4" t="str">
        <f t="shared" si="210"/>
        <v>1+0.0238314173688965i</v>
      </c>
      <c r="U306" s="4">
        <f t="shared" si="220"/>
        <v>1.0002839279193736</v>
      </c>
      <c r="V306" s="4">
        <f t="shared" si="221"/>
        <v>2.3826907328756575E-2</v>
      </c>
      <c r="W306" t="str">
        <f t="shared" si="211"/>
        <v>1-0.0247560763628096i</v>
      </c>
      <c r="X306" s="4">
        <f t="shared" si="222"/>
        <v>1.0003063847226414</v>
      </c>
      <c r="Y306" s="4">
        <f t="shared" si="223"/>
        <v>-2.4751020857988613E-2</v>
      </c>
      <c r="Z306" t="str">
        <f t="shared" si="212"/>
        <v>0.996317184401042+0.107204645659473i</v>
      </c>
      <c r="AA306" s="4">
        <f t="shared" si="224"/>
        <v>1.0020682451728491</v>
      </c>
      <c r="AB306" s="4">
        <f t="shared" si="225"/>
        <v>0.10718851481322908</v>
      </c>
      <c r="AC306" s="48" t="str">
        <f t="shared" si="226"/>
        <v>-0.0571589531985195-0.531502315151727i</v>
      </c>
      <c r="AD306" s="20">
        <f t="shared" si="227"/>
        <v>-5.439957406428368</v>
      </c>
      <c r="AE306" s="44">
        <f t="shared" si="228"/>
        <v>-96.138126244794137</v>
      </c>
      <c r="AF306" t="str">
        <f t="shared" si="213"/>
        <v>-0.979317078436135</v>
      </c>
      <c r="AG306" t="str">
        <f t="shared" si="229"/>
        <v>47662.8347377929i</v>
      </c>
      <c r="AH306">
        <f t="shared" si="230"/>
        <v>47662.834737792902</v>
      </c>
      <c r="AI306">
        <f t="shared" si="231"/>
        <v>1.5707963267948966</v>
      </c>
      <c r="AJ306" t="str">
        <f t="shared" si="214"/>
        <v>-34.1643080392171+46.705765016258i</v>
      </c>
      <c r="AK306">
        <f t="shared" si="232"/>
        <v>57.867334736899913</v>
      </c>
      <c r="AL306">
        <f t="shared" si="233"/>
        <v>2.2023385458880735</v>
      </c>
      <c r="AM306" t="str">
        <f t="shared" si="215"/>
        <v>1+6630.85356872175i</v>
      </c>
      <c r="AN306">
        <f t="shared" si="234"/>
        <v>6630.8536441268234</v>
      </c>
      <c r="AO306">
        <f t="shared" si="235"/>
        <v>1.5706455166492563</v>
      </c>
      <c r="AP306" t="str">
        <f t="shared" si="216"/>
        <v>1+44.8030646535254i</v>
      </c>
      <c r="AQ306">
        <f t="shared" si="236"/>
        <v>44.81422321482296</v>
      </c>
      <c r="AR306">
        <f t="shared" si="237"/>
        <v>1.5484801303915268</v>
      </c>
      <c r="AS306" s="42" t="str">
        <f t="shared" si="238"/>
        <v>-0.0837384476709898+0.0641897048452097i</v>
      </c>
      <c r="AT306">
        <f t="shared" si="239"/>
        <v>-19.534094095877805</v>
      </c>
      <c r="AU306" s="44">
        <f t="shared" si="240"/>
        <v>142.52803160808352</v>
      </c>
      <c r="AV306" s="42" t="str">
        <f t="shared" si="217"/>
        <v>0.0389033787454778+0.0408381624692687i</v>
      </c>
      <c r="AW306" s="20">
        <f t="shared" si="241"/>
        <v>-24.974051502306164</v>
      </c>
      <c r="AX306" s="44">
        <f t="shared" si="242"/>
        <v>46.389905363289365</v>
      </c>
    </row>
    <row r="307" spans="14:50" x14ac:dyDescent="0.3">
      <c r="N307" s="8">
        <v>89</v>
      </c>
      <c r="O307" s="35">
        <f t="shared" si="243"/>
        <v>7762.4711662869322</v>
      </c>
      <c r="P307" s="34" t="str">
        <f t="shared" si="208"/>
        <v>545.10556621881</v>
      </c>
      <c r="Q307" s="4" t="str">
        <f t="shared" si="209"/>
        <v>1+1041.92704106514i</v>
      </c>
      <c r="R307" s="4">
        <f t="shared" si="218"/>
        <v>1041.9275209450789</v>
      </c>
      <c r="S307" s="4">
        <f t="shared" si="219"/>
        <v>1.5698365669906675</v>
      </c>
      <c r="T307" s="4" t="str">
        <f t="shared" si="210"/>
        <v>1+0.0243865223897096i</v>
      </c>
      <c r="U307" s="4">
        <f t="shared" si="220"/>
        <v>1.0002973070413934</v>
      </c>
      <c r="V307" s="4">
        <f t="shared" si="221"/>
        <v>2.4381689872203891E-2</v>
      </c>
      <c r="W307" t="str">
        <f t="shared" si="211"/>
        <v>1-0.0253327194584303i</v>
      </c>
      <c r="X307" s="4">
        <f t="shared" si="222"/>
        <v>1.0003208218742423</v>
      </c>
      <c r="Y307" s="4">
        <f t="shared" si="223"/>
        <v>-2.5327302481245234E-2</v>
      </c>
      <c r="Z307" t="str">
        <f t="shared" si="212"/>
        <v>0.996143618649124+0.10970176264328i</v>
      </c>
      <c r="AA307" s="4">
        <f t="shared" si="224"/>
        <v>1.0021659471875972</v>
      </c>
      <c r="AB307" s="4">
        <f t="shared" si="225"/>
        <v>0.1096844655165706</v>
      </c>
      <c r="AC307" s="48" t="str">
        <f t="shared" si="226"/>
        <v>-0.0571728765684657-0.519224128669851i</v>
      </c>
      <c r="AD307" s="20">
        <f t="shared" si="227"/>
        <v>-5.6405625179709427</v>
      </c>
      <c r="AE307" s="44">
        <f t="shared" si="228"/>
        <v>-96.283646377671488</v>
      </c>
      <c r="AF307" t="str">
        <f t="shared" si="213"/>
        <v>-0.979317078436135</v>
      </c>
      <c r="AG307" t="str">
        <f t="shared" si="229"/>
        <v>48773.0447794192i</v>
      </c>
      <c r="AH307">
        <f t="shared" si="230"/>
        <v>48773.0447794192</v>
      </c>
      <c r="AI307">
        <f t="shared" si="231"/>
        <v>1.5707963267948966</v>
      </c>
      <c r="AJ307" t="str">
        <f t="shared" si="214"/>
        <v>-35.82155082032+47.7936820402485i</v>
      </c>
      <c r="AK307">
        <f t="shared" si="232"/>
        <v>59.727879136439626</v>
      </c>
      <c r="AL307">
        <f t="shared" si="233"/>
        <v>2.2139798524346146</v>
      </c>
      <c r="AM307" t="str">
        <f t="shared" si="215"/>
        <v>1+6785.3059897128i</v>
      </c>
      <c r="AN307">
        <f t="shared" si="234"/>
        <v>6785.3060634014446</v>
      </c>
      <c r="AO307">
        <f t="shared" si="235"/>
        <v>1.5706489495072289</v>
      </c>
      <c r="AP307" t="str">
        <f t="shared" si="216"/>
        <v>1+45.8466620926542i</v>
      </c>
      <c r="AQ307">
        <f t="shared" si="236"/>
        <v>45.857566715189058</v>
      </c>
      <c r="AR307">
        <f t="shared" si="237"/>
        <v>1.5489879461150449</v>
      </c>
      <c r="AS307" s="42" t="str">
        <f t="shared" si="238"/>
        <v>-0.0823053723166304+0.0645580983828143i</v>
      </c>
      <c r="AT307">
        <f t="shared" si="239"/>
        <v>-19.609063703937146</v>
      </c>
      <c r="AU307" s="44">
        <f t="shared" si="240"/>
        <v>141.89032626095008</v>
      </c>
      <c r="AV307" s="42" t="str">
        <f t="shared" si="217"/>
        <v>0.0382257572737796+0.0390439630356146i</v>
      </c>
      <c r="AW307" s="20">
        <f t="shared" si="241"/>
        <v>-25.249626221908088</v>
      </c>
      <c r="AX307" s="44">
        <f t="shared" si="242"/>
        <v>45.606679883278616</v>
      </c>
    </row>
    <row r="308" spans="14:50" x14ac:dyDescent="0.3">
      <c r="N308" s="8">
        <v>90</v>
      </c>
      <c r="O308" s="35">
        <f t="shared" si="243"/>
        <v>7943.2823472428154</v>
      </c>
      <c r="P308" s="34" t="str">
        <f t="shared" si="208"/>
        <v>545.10556621881</v>
      </c>
      <c r="Q308" s="4" t="str">
        <f t="shared" si="209"/>
        <v>1+1066.19663958977i</v>
      </c>
      <c r="R308" s="4">
        <f t="shared" si="218"/>
        <v>1066.1971085463128</v>
      </c>
      <c r="S308" s="4">
        <f t="shared" si="219"/>
        <v>1.5698584137780653</v>
      </c>
      <c r="T308" s="4" t="str">
        <f t="shared" si="210"/>
        <v>1+0.0249545574674875i</v>
      </c>
      <c r="U308" s="4">
        <f t="shared" si="220"/>
        <v>1.0003113165102142</v>
      </c>
      <c r="V308" s="4">
        <f t="shared" si="221"/>
        <v>2.4949379418720618E-2</v>
      </c>
      <c r="W308" t="str">
        <f t="shared" si="211"/>
        <v>1-0.0259227942972259i</v>
      </c>
      <c r="X308" s="4">
        <f t="shared" si="222"/>
        <v>1.0003359392045137</v>
      </c>
      <c r="Y308" s="4">
        <f t="shared" si="223"/>
        <v>-2.5916990006868756E-2</v>
      </c>
      <c r="Z308" t="str">
        <f t="shared" si="212"/>
        <v>0.995961872995327+0.112257044953715i</v>
      </c>
      <c r="AA308" s="4">
        <f t="shared" si="224"/>
        <v>1.0022682757635804</v>
      </c>
      <c r="AB308" s="4">
        <f t="shared" si="225"/>
        <v>0.11223849660042949</v>
      </c>
      <c r="AC308" s="48" t="str">
        <f t="shared" si="226"/>
        <v>-0.05718527595048-0.507221275173181i</v>
      </c>
      <c r="AD308" s="20">
        <f t="shared" si="227"/>
        <v>-5.8411962743584054</v>
      </c>
      <c r="AE308" s="44">
        <f t="shared" si="228"/>
        <v>-96.432493699596307</v>
      </c>
      <c r="AF308" t="str">
        <f t="shared" si="213"/>
        <v>-0.979317078436135</v>
      </c>
      <c r="AG308" t="str">
        <f t="shared" si="229"/>
        <v>49909.114934975i</v>
      </c>
      <c r="AH308">
        <f t="shared" si="230"/>
        <v>49909.114934974998</v>
      </c>
      <c r="AI308">
        <f t="shared" si="231"/>
        <v>1.5707963267948966</v>
      </c>
      <c r="AJ308" t="str">
        <f t="shared" si="214"/>
        <v>-37.5568970474638+48.9069399070807i</v>
      </c>
      <c r="AK308">
        <f t="shared" si="232"/>
        <v>61.663678830480087</v>
      </c>
      <c r="AL308">
        <f t="shared" si="233"/>
        <v>2.2256715350519798</v>
      </c>
      <c r="AM308" t="str">
        <f t="shared" si="215"/>
        <v>1+6943.35606975372i</v>
      </c>
      <c r="AN308">
        <f t="shared" si="234"/>
        <v>6943.3561417650053</v>
      </c>
      <c r="AO308">
        <f t="shared" si="235"/>
        <v>1.5706523042238172</v>
      </c>
      <c r="AP308" t="str">
        <f t="shared" si="216"/>
        <v>1+46.9145680388766i</v>
      </c>
      <c r="AQ308">
        <f t="shared" si="236"/>
        <v>46.925224498923626</v>
      </c>
      <c r="AR308">
        <f t="shared" si="237"/>
        <v>1.5494842134119535</v>
      </c>
      <c r="AS308" s="42" t="str">
        <f t="shared" si="238"/>
        <v>-0.0808564076073726+0.0648962894054245i</v>
      </c>
      <c r="AT308">
        <f t="shared" si="239"/>
        <v>-19.686203403352188</v>
      </c>
      <c r="AU308" s="44">
        <f t="shared" si="240"/>
        <v>141.24906842429399</v>
      </c>
      <c r="AV308" s="42" t="str">
        <f t="shared" si="217"/>
        <v>0.0375405746476193+0.0373009779547226i</v>
      </c>
      <c r="AW308" s="20">
        <f t="shared" si="241"/>
        <v>-25.527399677710598</v>
      </c>
      <c r="AX308" s="44">
        <f t="shared" si="242"/>
        <v>44.816574724697702</v>
      </c>
    </row>
    <row r="309" spans="14:50" x14ac:dyDescent="0.3">
      <c r="N309" s="8">
        <v>91</v>
      </c>
      <c r="O309" s="35">
        <f t="shared" si="243"/>
        <v>8128.3051616410066</v>
      </c>
      <c r="P309" s="34" t="str">
        <f t="shared" si="208"/>
        <v>545.10556621881</v>
      </c>
      <c r="Q309" s="4" t="str">
        <f t="shared" si="209"/>
        <v>1+1091.03154968551i</v>
      </c>
      <c r="R309" s="4">
        <f t="shared" si="218"/>
        <v>1091.0320079673031</v>
      </c>
      <c r="S309" s="4">
        <f t="shared" si="219"/>
        <v>1.5698797632727339</v>
      </c>
      <c r="T309" s="4" t="str">
        <f t="shared" si="210"/>
        <v>1+0.0255358237819474i</v>
      </c>
      <c r="U309" s="4">
        <f t="shared" si="220"/>
        <v>1.0003259860146705</v>
      </c>
      <c r="V309" s="4">
        <f t="shared" si="221"/>
        <v>2.5530275500379285E-2</v>
      </c>
      <c r="W309" t="str">
        <f t="shared" si="211"/>
        <v>1-0.0265266137446869i</v>
      </c>
      <c r="X309" s="4">
        <f t="shared" si="222"/>
        <v>1.0003517687477541</v>
      </c>
      <c r="Y309" s="4">
        <f t="shared" si="223"/>
        <v>-2.6520394453628693E-2</v>
      </c>
      <c r="Z309" t="str">
        <f t="shared" si="212"/>
        <v>0.995771561932751+0.114871847435282i</v>
      </c>
      <c r="AA309" s="4">
        <f t="shared" si="224"/>
        <v>1.0023754510597243</v>
      </c>
      <c r="AB309" s="4">
        <f t="shared" si="225"/>
        <v>0.11485195664757454</v>
      </c>
      <c r="AC309" s="48" t="str">
        <f t="shared" si="226"/>
        <v>-0.0571961776985109-0.495487393281773i</v>
      </c>
      <c r="AD309" s="20">
        <f t="shared" si="227"/>
        <v>-6.0418600352497789</v>
      </c>
      <c r="AE309" s="44">
        <f t="shared" si="228"/>
        <v>-96.584746800486997</v>
      </c>
      <c r="AF309" t="str">
        <f t="shared" si="213"/>
        <v>-0.979317078436135</v>
      </c>
      <c r="AG309" t="str">
        <f t="shared" si="229"/>
        <v>51071.6475638948i</v>
      </c>
      <c r="AH309">
        <f t="shared" si="230"/>
        <v>51071.647563894803</v>
      </c>
      <c r="AI309">
        <f t="shared" si="231"/>
        <v>1.5707963267948966</v>
      </c>
      <c r="AJ309" t="str">
        <f t="shared" si="214"/>
        <v>-39.3740276226591+50.0461288808118i</v>
      </c>
      <c r="AK309">
        <f t="shared" si="232"/>
        <v>63.678324940161126</v>
      </c>
      <c r="AL309">
        <f t="shared" si="233"/>
        <v>2.2374085299324458</v>
      </c>
      <c r="AM309" t="str">
        <f t="shared" si="215"/>
        <v>1+7105.08760908905i</v>
      </c>
      <c r="AN309">
        <f t="shared" si="234"/>
        <v>7105.0876794611586</v>
      </c>
      <c r="AO309">
        <f t="shared" si="235"/>
        <v>1.5706555825777362</v>
      </c>
      <c r="AP309" t="str">
        <f t="shared" si="216"/>
        <v>1+48.0073487100612i</v>
      </c>
      <c r="AQ309">
        <f t="shared" si="236"/>
        <v>48.017762652683167</v>
      </c>
      <c r="AR309">
        <f t="shared" si="237"/>
        <v>1.5499691944314118</v>
      </c>
      <c r="AS309" s="42" t="str">
        <f t="shared" si="238"/>
        <v>-0.0793928483258184+0.0652034318338506i</v>
      </c>
      <c r="AT309">
        <f t="shared" si="239"/>
        <v>-19.765536171240683</v>
      </c>
      <c r="AU309" s="44">
        <f t="shared" si="240"/>
        <v>140.60456335487885</v>
      </c>
      <c r="AV309" s="42" t="str">
        <f t="shared" si="217"/>
        <v>0.0368484459332148+0.0356087683884533i</v>
      </c>
      <c r="AW309" s="20">
        <f t="shared" si="241"/>
        <v>-25.807396206490463</v>
      </c>
      <c r="AX309" s="44">
        <f t="shared" si="242"/>
        <v>44.019816554391902</v>
      </c>
    </row>
    <row r="310" spans="14:50" x14ac:dyDescent="0.3">
      <c r="N310" s="8">
        <v>92</v>
      </c>
      <c r="O310" s="35">
        <f t="shared" si="243"/>
        <v>8317.6377110267094</v>
      </c>
      <c r="P310" s="34" t="str">
        <f t="shared" si="208"/>
        <v>545.10556621881</v>
      </c>
      <c r="Q310" s="4" t="str">
        <f t="shared" si="209"/>
        <v>1+1116.44493915039i</v>
      </c>
      <c r="R310" s="4">
        <f t="shared" si="218"/>
        <v>1116.4453870004199</v>
      </c>
      <c r="S310" s="4">
        <f t="shared" si="219"/>
        <v>1.56990062679438</v>
      </c>
      <c r="T310" s="4" t="str">
        <f t="shared" si="210"/>
        <v>1+0.026130629528183i</v>
      </c>
      <c r="U310" s="4">
        <f t="shared" si="220"/>
        <v>1.0003413466410049</v>
      </c>
      <c r="V310" s="4">
        <f t="shared" si="221"/>
        <v>2.6124684546931221E-2</v>
      </c>
      <c r="W310" t="str">
        <f t="shared" si="211"/>
        <v>1-0.0271444979538764i</v>
      </c>
      <c r="X310" s="4">
        <f t="shared" si="222"/>
        <v>1.0003683440459159</v>
      </c>
      <c r="Y310" s="4">
        <f t="shared" si="223"/>
        <v>-2.7137833995961112E-2</v>
      </c>
      <c r="Z310" t="str">
        <f t="shared" si="212"/>
        <v>0.995572281786119+0.117547556490868i</v>
      </c>
      <c r="AA310" s="4">
        <f t="shared" si="224"/>
        <v>1.0024877038137643</v>
      </c>
      <c r="AB310" s="4">
        <f t="shared" si="225"/>
        <v>0.11752622532871068</v>
      </c>
      <c r="AC310" s="48" t="str">
        <f t="shared" si="226"/>
        <v>-0.0572056049953829-0.484016264403459i</v>
      </c>
      <c r="AD310" s="20">
        <f t="shared" si="227"/>
        <v>-6.2425552254091032</v>
      </c>
      <c r="AE310" s="44">
        <f t="shared" si="228"/>
        <v>-96.740486051144572</v>
      </c>
      <c r="AF310" t="str">
        <f t="shared" si="213"/>
        <v>-0.979317078436135</v>
      </c>
      <c r="AG310" t="str">
        <f t="shared" si="229"/>
        <v>52261.2590563659i</v>
      </c>
      <c r="AH310">
        <f t="shared" si="230"/>
        <v>52261.259056365903</v>
      </c>
      <c r="AI310">
        <f t="shared" si="231"/>
        <v>1.5707963267948966</v>
      </c>
      <c r="AJ310" t="str">
        <f t="shared" si="214"/>
        <v>-41.2767969234819+51.2118529745141i</v>
      </c>
      <c r="AK310">
        <f t="shared" si="232"/>
        <v>65.775587031554608</v>
      </c>
      <c r="AL310">
        <f t="shared" si="233"/>
        <v>2.2491856267935262</v>
      </c>
      <c r="AM310" t="str">
        <f t="shared" si="215"/>
        <v>1+7270.58635992162i</v>
      </c>
      <c r="AN310">
        <f t="shared" si="234"/>
        <v>7270.5864286918641</v>
      </c>
      <c r="AO310">
        <f t="shared" si="235"/>
        <v>1.5706587863072123</v>
      </c>
      <c r="AP310" t="str">
        <f t="shared" si="216"/>
        <v>1+49.1255835129841i</v>
      </c>
      <c r="AQ310">
        <f t="shared" si="236"/>
        <v>49.135760455000337</v>
      </c>
      <c r="AR310">
        <f t="shared" si="237"/>
        <v>1.550443145403686</v>
      </c>
      <c r="AS310" s="42" t="str">
        <f t="shared" si="238"/>
        <v>-0.0779160467160625+0.0654787474503996i</v>
      </c>
      <c r="AT310">
        <f t="shared" si="239"/>
        <v>-19.847082990247511</v>
      </c>
      <c r="AU310" s="44">
        <f t="shared" si="240"/>
        <v>139.95712436040722</v>
      </c>
      <c r="AV310" s="42" t="str">
        <f t="shared" si="217"/>
        <v>0.0361500133300008+0.033966882506354i</v>
      </c>
      <c r="AW310" s="20">
        <f t="shared" si="241"/>
        <v>-26.089638215656613</v>
      </c>
      <c r="AX310" s="44">
        <f t="shared" si="242"/>
        <v>43.21663830926267</v>
      </c>
    </row>
    <row r="311" spans="14:50" x14ac:dyDescent="0.3">
      <c r="N311" s="8">
        <v>93</v>
      </c>
      <c r="O311" s="35">
        <f t="shared" si="243"/>
        <v>8511.3803820237772</v>
      </c>
      <c r="P311" s="34" t="str">
        <f t="shared" si="208"/>
        <v>545.10556621881</v>
      </c>
      <c r="Q311" s="4" t="str">
        <f t="shared" si="209"/>
        <v>1+1142.45028249991i</v>
      </c>
      <c r="R311" s="4">
        <f t="shared" si="218"/>
        <v>1142.4507201556328</v>
      </c>
      <c r="S311" s="4">
        <f t="shared" si="219"/>
        <v>1.5699210154050462</v>
      </c>
      <c r="T311" s="4" t="str">
        <f t="shared" si="210"/>
        <v>1+0.0267392900800742i</v>
      </c>
      <c r="U311" s="4">
        <f t="shared" si="220"/>
        <v>1.0003574309385552</v>
      </c>
      <c r="V311" s="4">
        <f t="shared" si="221"/>
        <v>2.6732920040815737E-2</v>
      </c>
      <c r="W311" t="str">
        <f t="shared" si="211"/>
        <v>1-0.027776774535181i</v>
      </c>
      <c r="X311" s="4">
        <f t="shared" si="222"/>
        <v>1.0003857002194594</v>
      </c>
      <c r="Y311" s="4">
        <f t="shared" si="223"/>
        <v>-2.7769634124306442E-2</v>
      </c>
      <c r="Z311" t="str">
        <f t="shared" si="212"/>
        <v>0.99536360985552+0.120285590816831i</v>
      </c>
      <c r="AA311" s="4">
        <f t="shared" si="224"/>
        <v>1.0026052758602291</v>
      </c>
      <c r="AB311" s="4">
        <f t="shared" si="225"/>
        <v>0.12026271410118722</v>
      </c>
      <c r="AC311" s="48" t="str">
        <f t="shared" si="226"/>
        <v>-0.0572135779025369-0.472801809450573i</v>
      </c>
      <c r="AD311" s="20">
        <f t="shared" si="227"/>
        <v>-6.4432833378674568</v>
      </c>
      <c r="AE311" s="44">
        <f t="shared" si="228"/>
        <v>-96.899793643934089</v>
      </c>
      <c r="AF311" t="str">
        <f t="shared" si="213"/>
        <v>-0.979317078436135</v>
      </c>
      <c r="AG311" t="str">
        <f t="shared" si="229"/>
        <v>53478.5801601484i</v>
      </c>
      <c r="AH311">
        <f t="shared" si="230"/>
        <v>53478.580160148398</v>
      </c>
      <c r="AI311">
        <f t="shared" si="231"/>
        <v>1.5707963267948966</v>
      </c>
      <c r="AJ311" t="str">
        <f t="shared" si="214"/>
        <v>-43.2692409787284+52.4047302705326i</v>
      </c>
      <c r="AK311">
        <f t="shared" si="232"/>
        <v>67.959421492553517</v>
      </c>
      <c r="AL311">
        <f t="shared" si="233"/>
        <v>2.2609974811761235</v>
      </c>
      <c r="AM311" t="str">
        <f t="shared" si="215"/>
        <v>1+7439.94007187985i</v>
      </c>
      <c r="AN311">
        <f t="shared" si="234"/>
        <v>7439.9401390846924</v>
      </c>
      <c r="AO311">
        <f t="shared" si="235"/>
        <v>1.5706619171109051</v>
      </c>
      <c r="AP311" t="str">
        <f t="shared" si="216"/>
        <v>1+50.2698653505396i</v>
      </c>
      <c r="AQ311">
        <f t="shared" si="236"/>
        <v>50.279810683428217</v>
      </c>
      <c r="AR311">
        <f t="shared" si="237"/>
        <v>1.5509063167716601</v>
      </c>
      <c r="AS311" s="42" t="str">
        <f t="shared" si="238"/>
        <v>-0.0764274079263714+0.0657215305406914i</v>
      </c>
      <c r="AT311">
        <f t="shared" si="239"/>
        <v>-19.930862765408715</v>
      </c>
      <c r="AU311" s="44">
        <f t="shared" si="240"/>
        <v>139.30707210247559</v>
      </c>
      <c r="AV311" s="42" t="str">
        <f t="shared" si="217"/>
        <v>0.0354459440167844+0.0323748528517417i</v>
      </c>
      <c r="AW311" s="20">
        <f t="shared" si="241"/>
        <v>-26.374146103276168</v>
      </c>
      <c r="AX311" s="44">
        <f t="shared" si="242"/>
        <v>42.407278458541533</v>
      </c>
    </row>
    <row r="312" spans="14:50" x14ac:dyDescent="0.3">
      <c r="N312" s="8">
        <v>94</v>
      </c>
      <c r="O312" s="35">
        <f t="shared" si="243"/>
        <v>8709.6358995608189</v>
      </c>
      <c r="P312" s="34" t="str">
        <f t="shared" si="208"/>
        <v>545.10556621881</v>
      </c>
      <c r="Q312" s="4" t="str">
        <f t="shared" si="209"/>
        <v>1+1169.06136811132i</v>
      </c>
      <c r="R312" s="4">
        <f t="shared" si="218"/>
        <v>1169.061795804786</v>
      </c>
      <c r="S312" s="4">
        <f t="shared" si="219"/>
        <v>1.569940939914976</v>
      </c>
      <c r="T312" s="4" t="str">
        <f t="shared" si="210"/>
        <v>1+0.0273621281575022i</v>
      </c>
      <c r="U312" s="4">
        <f t="shared" si="220"/>
        <v>1.0003742729885188</v>
      </c>
      <c r="V312" s="4">
        <f t="shared" si="221"/>
        <v>2.7355302675376007E-2</v>
      </c>
      <c r="W312" t="str">
        <f t="shared" si="211"/>
        <v>1-0.0284237787300132i</v>
      </c>
      <c r="X312" s="4">
        <f t="shared" si="222"/>
        <v>1.0004038740415258</v>
      </c>
      <c r="Y312" s="4">
        <f t="shared" si="223"/>
        <v>-2.8416127808728105E-2</v>
      </c>
      <c r="Z312" t="str">
        <f t="shared" si="212"/>
        <v>0.995145103519813+0.123087402155214i</v>
      </c>
      <c r="AA312" s="4">
        <f t="shared" si="224"/>
        <v>1.0027284206747005</v>
      </c>
      <c r="AB312" s="4">
        <f t="shared" si="225"/>
        <v>0.12306286692189845</v>
      </c>
      <c r="AC312" s="48" t="str">
        <f t="shared" si="226"/>
        <v>-0.0572201134032469-0.461838085631774i</v>
      </c>
      <c r="AD312" s="20">
        <f t="shared" si="227"/>
        <v>-6.644045937239337</v>
      </c>
      <c r="AE312" s="44">
        <f t="shared" si="228"/>
        <v>-97.062753634277044</v>
      </c>
      <c r="AF312" t="str">
        <f t="shared" si="213"/>
        <v>-0.979317078436135</v>
      </c>
      <c r="AG312" t="str">
        <f t="shared" si="229"/>
        <v>54724.2563150044i</v>
      </c>
      <c r="AH312">
        <f t="shared" si="230"/>
        <v>54724.256315004401</v>
      </c>
      <c r="AI312">
        <f t="shared" si="231"/>
        <v>1.5707963267948966</v>
      </c>
      <c r="AJ312" t="str">
        <f t="shared" si="214"/>
        <v>-45.3555860293712+53.6253932481991i</v>
      </c>
      <c r="AK312">
        <f t="shared" si="232"/>
        <v>70.233980273737089</v>
      </c>
      <c r="AL312">
        <f t="shared" si="233"/>
        <v>2.2728386275140391</v>
      </c>
      <c r="AM312" t="str">
        <f t="shared" si="215"/>
        <v>1+7613.23853854341i</v>
      </c>
      <c r="AN312">
        <f t="shared" si="234"/>
        <v>7613.2386042184826</v>
      </c>
      <c r="AO312">
        <f t="shared" si="235"/>
        <v>1.5706649766488074</v>
      </c>
      <c r="AP312" t="str">
        <f t="shared" si="216"/>
        <v>1+51.4408009361043i</v>
      </c>
      <c r="AQ312">
        <f t="shared" si="236"/>
        <v>51.450519928839483</v>
      </c>
      <c r="AR312">
        <f t="shared" si="237"/>
        <v>1.5513589533195637</v>
      </c>
      <c r="AS312" s="42" t="str">
        <f t="shared" si="238"/>
        <v>-0.0749283850133635+0.0659311521718297i</v>
      </c>
      <c r="AT312">
        <f t="shared" si="239"/>
        <v>-20.016892248211427</v>
      </c>
      <c r="AU312" s="44">
        <f t="shared" si="240"/>
        <v>138.65473385517353</v>
      </c>
      <c r="AV312" s="42" t="str">
        <f t="shared" si="217"/>
        <v>0.0347369277901218+0.0308321938899735i</v>
      </c>
      <c r="AW312" s="20">
        <f t="shared" si="241"/>
        <v>-26.66093818545076</v>
      </c>
      <c r="AX312" s="44">
        <f t="shared" si="242"/>
        <v>41.591980220896502</v>
      </c>
    </row>
    <row r="313" spans="14:50" x14ac:dyDescent="0.3">
      <c r="N313" s="8">
        <v>95</v>
      </c>
      <c r="O313" s="35">
        <f t="shared" si="243"/>
        <v>8912.5093813374679</v>
      </c>
      <c r="P313" s="34" t="str">
        <f t="shared" si="208"/>
        <v>545.10556621881</v>
      </c>
      <c r="Q313" s="4" t="str">
        <f t="shared" si="209"/>
        <v>1+1196.29230553447i</v>
      </c>
      <c r="R313" s="4">
        <f t="shared" si="218"/>
        <v>1196.2927234924475</v>
      </c>
      <c r="S313" s="4">
        <f t="shared" si="219"/>
        <v>1.5699604108883451</v>
      </c>
      <c r="T313" s="4" t="str">
        <f t="shared" si="210"/>
        <v>1+0.0279994739974599i</v>
      </c>
      <c r="U313" s="4">
        <f t="shared" si="220"/>
        <v>1.0003919084759405</v>
      </c>
      <c r="V313" s="4">
        <f t="shared" si="221"/>
        <v>2.7992160516328978E-2</v>
      </c>
      <c r="W313" t="str">
        <f t="shared" si="211"/>
        <v>1-0.0290858535885613i</v>
      </c>
      <c r="X313" s="4">
        <f t="shared" si="222"/>
        <v>1.0004229040155843</v>
      </c>
      <c r="Y313" s="4">
        <f t="shared" si="223"/>
        <v>-2.9077655665860267E-2</v>
      </c>
      <c r="Z313" t="str">
        <f t="shared" si="212"/>
        <v>0.994916299297765+0.125954476063473i</v>
      </c>
      <c r="AA313" s="4">
        <f t="shared" si="224"/>
        <v>1.0028574039457374</v>
      </c>
      <c r="AB313" s="4">
        <f t="shared" si="225"/>
        <v>0.1259281609745197</v>
      </c>
      <c r="AC313" s="48" t="str">
        <f t="shared" si="226"/>
        <v>-0.0572252254393554-0.451119283317021i</v>
      </c>
      <c r="AD313" s="20">
        <f t="shared" si="227"/>
        <v>-6.8448446632073132</v>
      </c>
      <c r="AE313" s="44">
        <f t="shared" si="228"/>
        <v>-97.229451982960839</v>
      </c>
      <c r="AF313" t="str">
        <f t="shared" si="213"/>
        <v>-0.979317078436135</v>
      </c>
      <c r="AG313" t="str">
        <f t="shared" si="229"/>
        <v>55998.9479949198i</v>
      </c>
      <c r="AH313">
        <f t="shared" si="230"/>
        <v>55998.947994919799</v>
      </c>
      <c r="AI313">
        <f t="shared" si="231"/>
        <v>1.5707963267948966</v>
      </c>
      <c r="AJ313" t="str">
        <f t="shared" si="214"/>
        <v>-47.540257492984+54.8744891191818i</v>
      </c>
      <c r="AK313">
        <f t="shared" si="232"/>
        <v>72.603620010233811</v>
      </c>
      <c r="AL313">
        <f t="shared" si="233"/>
        <v>2.2847034929077403</v>
      </c>
      <c r="AM313" t="str">
        <f t="shared" si="215"/>
        <v>1+7790.57364505324i</v>
      </c>
      <c r="AN313">
        <f t="shared" si="234"/>
        <v>7790.5737092333666</v>
      </c>
      <c r="AO313">
        <f t="shared" si="235"/>
        <v>1.5706679665431271</v>
      </c>
      <c r="AP313" t="str">
        <f t="shared" si="216"/>
        <v>1+52.6390111152247i</v>
      </c>
      <c r="AQ313">
        <f t="shared" si="236"/>
        <v>52.648508917050528</v>
      </c>
      <c r="AR313">
        <f t="shared" si="237"/>
        <v>1.5518012942989714</v>
      </c>
      <c r="AS313" s="42" t="str">
        <f t="shared" si="238"/>
        <v>-0.0734204735418342+0.0661070640596331i</v>
      </c>
      <c r="AT313">
        <f t="shared" si="239"/>
        <v>-20.105185968485927</v>
      </c>
      <c r="AU313" s="44">
        <f t="shared" si="240"/>
        <v>138.00044272317498</v>
      </c>
      <c r="AV313" s="42" t="str">
        <f t="shared" si="217"/>
        <v>0.0340236745110698+0.0293383997610421i</v>
      </c>
      <c r="AW313" s="20">
        <f t="shared" si="241"/>
        <v>-26.950030631693238</v>
      </c>
      <c r="AX313" s="44">
        <f t="shared" si="242"/>
        <v>40.770990740214081</v>
      </c>
    </row>
    <row r="314" spans="14:50" x14ac:dyDescent="0.3">
      <c r="N314" s="8">
        <v>96</v>
      </c>
      <c r="O314" s="35">
        <f t="shared" si="243"/>
        <v>9120.1083935591087</v>
      </c>
      <c r="P314" s="34" t="str">
        <f t="shared" si="208"/>
        <v>545.10556621881</v>
      </c>
      <c r="Q314" s="4" t="str">
        <f t="shared" si="209"/>
        <v>1+1224.15753297281i</v>
      </c>
      <c r="R314" s="4">
        <f t="shared" si="218"/>
        <v>1224.1579414169059</v>
      </c>
      <c r="S314" s="4">
        <f t="shared" si="219"/>
        <v>1.5699794386488619</v>
      </c>
      <c r="T314" s="4" t="str">
        <f t="shared" si="210"/>
        <v>1+0.0286516655291479i</v>
      </c>
      <c r="U314" s="4">
        <f t="shared" si="220"/>
        <v>1.0004103747650732</v>
      </c>
      <c r="V314" s="4">
        <f t="shared" si="221"/>
        <v>2.8643829166534032E-2</v>
      </c>
      <c r="W314" t="str">
        <f t="shared" si="211"/>
        <v>1-0.0297633501516788i</v>
      </c>
      <c r="X314" s="4">
        <f t="shared" si="222"/>
        <v>1.000442830456719</v>
      </c>
      <c r="Y314" s="4">
        <f t="shared" si="223"/>
        <v>-2.9754566129225748E-2</v>
      </c>
      <c r="Z314" t="str">
        <f t="shared" si="212"/>
        <v>0.994676711864943+0.128888332702146i</v>
      </c>
      <c r="AA314" s="4">
        <f t="shared" si="224"/>
        <v>1.0029925041759755</v>
      </c>
      <c r="AB314" s="4">
        <f t="shared" si="225"/>
        <v>0.12886010741123155</v>
      </c>
      <c r="AC314" s="48" t="str">
        <f t="shared" si="226"/>
        <v>-0.0572289249416561-0.440639722974348i</v>
      </c>
      <c r="AD314" s="20">
        <f t="shared" si="227"/>
        <v>-7.0456812341794475</v>
      </c>
      <c r="AE314" s="44">
        <f t="shared" si="228"/>
        <v>-97.399976599275377</v>
      </c>
      <c r="AF314" t="str">
        <f t="shared" si="213"/>
        <v>-0.979317078436135</v>
      </c>
      <c r="AG314" t="str">
        <f t="shared" si="229"/>
        <v>57303.3310582958i</v>
      </c>
      <c r="AH314">
        <f t="shared" si="230"/>
        <v>57303.3310582958</v>
      </c>
      <c r="AI314">
        <f t="shared" si="231"/>
        <v>1.5707963267948966</v>
      </c>
      <c r="AJ314" t="str">
        <f t="shared" si="214"/>
        <v>-49.8278893506452+56.1526801706452i</v>
      </c>
      <c r="AK314">
        <f t="shared" si="232"/>
        <v>75.072911542625747</v>
      </c>
      <c r="AL314">
        <f t="shared" si="233"/>
        <v>2.2965864115273229</v>
      </c>
      <c r="AM314" t="str">
        <f t="shared" si="215"/>
        <v>1+7972.03941683011i</v>
      </c>
      <c r="AN314">
        <f t="shared" si="234"/>
        <v>7972.0394795493175</v>
      </c>
      <c r="AO314">
        <f t="shared" si="235"/>
        <v>1.5706708883791451</v>
      </c>
      <c r="AP314" t="str">
        <f t="shared" si="216"/>
        <v>1+53.8651311947982i</v>
      </c>
      <c r="AQ314">
        <f t="shared" si="236"/>
        <v>53.874412837940262</v>
      </c>
      <c r="AR314">
        <f t="shared" si="237"/>
        <v>1.5522335735521211</v>
      </c>
      <c r="AS314" s="42" t="str">
        <f t="shared" si="238"/>
        <v>-0.0719052058201259+0.066248801981336i</v>
      </c>
      <c r="AT314">
        <f t="shared" si="239"/>
        <v>-20.19575617470916</v>
      </c>
      <c r="AU314" s="44">
        <f t="shared" si="240"/>
        <v>137.3445368236244</v>
      </c>
      <c r="AV314" s="42" t="str">
        <f t="shared" si="217"/>
        <v>0.0333069113792326+0.0278929422569292i</v>
      </c>
      <c r="AW314" s="20">
        <f t="shared" si="241"/>
        <v>-27.241437408888615</v>
      </c>
      <c r="AX314" s="44">
        <f t="shared" si="242"/>
        <v>39.944560224349026</v>
      </c>
    </row>
    <row r="315" spans="14:50" x14ac:dyDescent="0.3">
      <c r="N315" s="8">
        <v>97</v>
      </c>
      <c r="O315" s="35">
        <f t="shared" si="243"/>
        <v>9332.5430079699217</v>
      </c>
      <c r="P315" s="34" t="str">
        <f t="shared" si="208"/>
        <v>545.10556621881</v>
      </c>
      <c r="Q315" s="4" t="str">
        <f t="shared" si="209"/>
        <v>1+1252.67182493877i</v>
      </c>
      <c r="R315" s="4">
        <f t="shared" si="218"/>
        <v>1252.6722240855461</v>
      </c>
      <c r="S315" s="4">
        <f t="shared" si="219"/>
        <v>1.5699980332852419</v>
      </c>
      <c r="T315" s="4" t="str">
        <f t="shared" si="210"/>
        <v>1+0.0293190485531491i</v>
      </c>
      <c r="U315" s="4">
        <f t="shared" si="220"/>
        <v>1.0004297109782685</v>
      </c>
      <c r="V315" s="4">
        <f t="shared" si="221"/>
        <v>2.9310651934104575E-2</v>
      </c>
      <c r="W315" t="str">
        <f t="shared" si="211"/>
        <v>1-0.0304566276370112i</v>
      </c>
      <c r="X315" s="4">
        <f t="shared" si="222"/>
        <v>1.0004636955767159</v>
      </c>
      <c r="Y315" s="4">
        <f t="shared" si="223"/>
        <v>-3.0447215622967257E-2</v>
      </c>
      <c r="Z315" t="str">
        <f t="shared" si="212"/>
        <v>0.994425833024281+0.131890527640857i</v>
      </c>
      <c r="AA315" s="4">
        <f t="shared" si="224"/>
        <v>1.0031340133139834</v>
      </c>
      <c r="AB315" s="4">
        <f t="shared" si="225"/>
        <v>0.13186025210902971</v>
      </c>
      <c r="AC315" s="48" t="str">
        <f t="shared" si="226"/>
        <v>-0.0572312198539676-0.430393852176741i</v>
      </c>
      <c r="AD315" s="20">
        <f t="shared" si="227"/>
        <v>-7.2465574511315776</v>
      </c>
      <c r="AE315" s="44">
        <f t="shared" si="228"/>
        <v>-97.574417384982183</v>
      </c>
      <c r="AF315" t="str">
        <f t="shared" si="213"/>
        <v>-0.979317078436135</v>
      </c>
      <c r="AG315" t="str">
        <f t="shared" si="229"/>
        <v>58638.0971062981i</v>
      </c>
      <c r="AH315">
        <f t="shared" si="230"/>
        <v>58638.097106298097</v>
      </c>
      <c r="AI315">
        <f t="shared" si="231"/>
        <v>1.5707963267948966</v>
      </c>
      <c r="AJ315" t="str">
        <f t="shared" si="214"/>
        <v>-52.2233339762329+57.4606441164037i</v>
      </c>
      <c r="AK315">
        <f t="shared" si="232"/>
        <v>77.64664985603153</v>
      </c>
      <c r="AL315">
        <f t="shared" si="233"/>
        <v>2.3084816395624319</v>
      </c>
      <c r="AM315" t="str">
        <f t="shared" si="215"/>
        <v>1+8157.73206942821i</v>
      </c>
      <c r="AN315">
        <f t="shared" si="234"/>
        <v>8157.7321307197544</v>
      </c>
      <c r="AO315">
        <f t="shared" si="235"/>
        <v>1.5706737437060576</v>
      </c>
      <c r="AP315" t="str">
        <f t="shared" si="216"/>
        <v>1+55.1198112799204i</v>
      </c>
      <c r="AQ315">
        <f t="shared" si="236"/>
        <v>55.128881682236582</v>
      </c>
      <c r="AR315">
        <f t="shared" si="237"/>
        <v>1.5526560196326005</v>
      </c>
      <c r="AS315" s="42" t="str">
        <f t="shared" si="238"/>
        <v>-0.0703841448162204+0.0663559886946394i</v>
      </c>
      <c r="AT315">
        <f t="shared" si="239"/>
        <v>-20.288612783235571</v>
      </c>
      <c r="AU315" s="44">
        <f t="shared" si="240"/>
        <v>136.68735843653147</v>
      </c>
      <c r="AV315" s="42" t="str">
        <f t="shared" si="217"/>
        <v>0.0325873800554927+0.0264952690420084i</v>
      </c>
      <c r="AW315" s="20">
        <f t="shared" si="241"/>
        <v>-27.535170234367158</v>
      </c>
      <c r="AX315" s="44">
        <f t="shared" si="242"/>
        <v>39.112941051549328</v>
      </c>
    </row>
    <row r="316" spans="14:50" x14ac:dyDescent="0.3">
      <c r="N316" s="8">
        <v>98</v>
      </c>
      <c r="O316" s="35">
        <f t="shared" si="243"/>
        <v>9549.9258602143691</v>
      </c>
      <c r="P316" s="34" t="str">
        <f t="shared" si="208"/>
        <v>545.10556621881</v>
      </c>
      <c r="Q316" s="4" t="str">
        <f t="shared" si="209"/>
        <v>1+1281.85030008739i</v>
      </c>
      <c r="R316" s="4">
        <f t="shared" si="218"/>
        <v>1281.8506901484789</v>
      </c>
      <c r="S316" s="4">
        <f t="shared" si="219"/>
        <v>1.5700162046565562</v>
      </c>
      <c r="T316" s="4" t="str">
        <f t="shared" si="210"/>
        <v>1+0.0300019769247766i</v>
      </c>
      <c r="U316" s="4">
        <f t="shared" si="220"/>
        <v>1.0004499580785613</v>
      </c>
      <c r="V316" s="4">
        <f t="shared" si="221"/>
        <v>2.9992980003905031E-2</v>
      </c>
      <c r="W316" t="str">
        <f t="shared" si="211"/>
        <v>1-0.0311660536294579i</v>
      </c>
      <c r="X316" s="4">
        <f t="shared" si="222"/>
        <v>1.0004855435731363</v>
      </c>
      <c r="Y316" s="4">
        <f t="shared" si="223"/>
        <v>-3.1155968739031255E-2</v>
      </c>
      <c r="Z316" t="str">
        <f t="shared" si="212"/>
        <v>0.994163130628122+0.1349626526831i</v>
      </c>
      <c r="AA316" s="4">
        <f t="shared" si="224"/>
        <v>1.0032822374185479</v>
      </c>
      <c r="AB316" s="4">
        <f t="shared" si="225"/>
        <v>0.13493017644074484</v>
      </c>
      <c r="AC316" s="48" t="str">
        <f t="shared" si="226"/>
        <v>-0.0572321151509717-0.420376242677705i</v>
      </c>
      <c r="AD316" s="20">
        <f t="shared" si="227"/>
        <v>-7.4474752016427113</v>
      </c>
      <c r="AE316" s="44">
        <f t="shared" si="228"/>
        <v>-97.752866279122571</v>
      </c>
      <c r="AF316" t="str">
        <f t="shared" si="213"/>
        <v>-0.979317078436135</v>
      </c>
      <c r="AG316" t="str">
        <f t="shared" si="229"/>
        <v>60003.9538495533i</v>
      </c>
      <c r="AH316">
        <f t="shared" si="230"/>
        <v>60003.953849553298</v>
      </c>
      <c r="AI316">
        <f t="shared" si="231"/>
        <v>1.5707963267948966</v>
      </c>
      <c r="AJ316" t="str">
        <f t="shared" si="214"/>
        <v>-54.7316724289607+58.7990744562543i</v>
      </c>
      <c r="AK316">
        <f t="shared" si="232"/>
        <v>80.329864457642373</v>
      </c>
      <c r="AL316">
        <f t="shared" si="233"/>
        <v>2.3203833706305987</v>
      </c>
      <c r="AM316" t="str">
        <f t="shared" si="215"/>
        <v>1+8347.75005954985i</v>
      </c>
      <c r="AN316">
        <f t="shared" si="234"/>
        <v>8347.7501194462275</v>
      </c>
      <c r="AO316">
        <f t="shared" si="235"/>
        <v>1.5706765340377964</v>
      </c>
      <c r="AP316" t="str">
        <f t="shared" si="216"/>
        <v>1+56.4037166185802i</v>
      </c>
      <c r="AQ316">
        <f t="shared" si="236"/>
        <v>56.412580586152053</v>
      </c>
      <c r="AR316">
        <f t="shared" si="237"/>
        <v>1.5530688559234465</v>
      </c>
      <c r="AS316" s="42" t="str">
        <f t="shared" si="238"/>
        <v>-0.0688588778044496+0.0664283363291831i</v>
      </c>
      <c r="AT316">
        <f t="shared" si="239"/>
        <v>-20.383763336898628</v>
      </c>
      <c r="AU316" s="44">
        <f t="shared" si="240"/>
        <v>136.02925312875311</v>
      </c>
      <c r="AV316" s="42" t="str">
        <f t="shared" si="217"/>
        <v>0.0318658336570638+0.0251448021323585i</v>
      </c>
      <c r="AW316" s="20">
        <f t="shared" si="241"/>
        <v>-27.831238538541335</v>
      </c>
      <c r="AX316" s="44">
        <f t="shared" si="242"/>
        <v>38.276386849630597</v>
      </c>
    </row>
    <row r="317" spans="14:50" x14ac:dyDescent="0.3">
      <c r="N317" s="8">
        <v>99</v>
      </c>
      <c r="O317" s="35">
        <f t="shared" si="243"/>
        <v>9772.3722095581161</v>
      </c>
      <c r="P317" s="34" t="str">
        <f t="shared" si="208"/>
        <v>545.10556621881</v>
      </c>
      <c r="Q317" s="4" t="str">
        <f t="shared" si="209"/>
        <v>1+1311.7084292324i</v>
      </c>
      <c r="R317" s="4">
        <f t="shared" si="218"/>
        <v>1311.7088104146171</v>
      </c>
      <c r="S317" s="4">
        <f t="shared" si="219"/>
        <v>1.570033962397458</v>
      </c>
      <c r="T317" s="4" t="str">
        <f t="shared" si="210"/>
        <v>1+0.0307008127416929i</v>
      </c>
      <c r="U317" s="4">
        <f t="shared" si="220"/>
        <v>1.0004711589561193</v>
      </c>
      <c r="V317" s="4">
        <f t="shared" si="221"/>
        <v>3.0691172612475271E-2</v>
      </c>
      <c r="W317" t="str">
        <f t="shared" si="211"/>
        <v>1-0.0318920042760704i</v>
      </c>
      <c r="X317" s="4">
        <f t="shared" si="222"/>
        <v>1.000508420722557</v>
      </c>
      <c r="Y317" s="4">
        <f t="shared" si="223"/>
        <v>-3.188119841784294E-2</v>
      </c>
      <c r="Z317" t="str">
        <f t="shared" si="212"/>
        <v>0.993888047449463+0.138106336710237i</v>
      </c>
      <c r="AA317" s="4">
        <f t="shared" si="224"/>
        <v>1.0034374973571734</v>
      </c>
      <c r="AB317" s="4">
        <f t="shared" si="225"/>
        <v>0.13807149806085042</v>
      </c>
      <c r="AC317" s="48" t="str">
        <f t="shared" si="226"/>
        <v>-0.0572316128498751-0.410581587554088i</v>
      </c>
      <c r="AD317" s="20">
        <f t="shared" si="227"/>
        <v>-7.6484364641332014</v>
      </c>
      <c r="AE317" s="44">
        <f t="shared" si="228"/>
        <v>-97.93541730367042</v>
      </c>
      <c r="AF317" t="str">
        <f t="shared" si="213"/>
        <v>-0.979317078436135</v>
      </c>
      <c r="AG317" t="str">
        <f t="shared" si="229"/>
        <v>61401.6254833857i</v>
      </c>
      <c r="AH317">
        <f t="shared" si="230"/>
        <v>61401.625483385702</v>
      </c>
      <c r="AI317">
        <f t="shared" si="231"/>
        <v>1.5707963267948966</v>
      </c>
      <c r="AJ317" t="str">
        <f t="shared" si="214"/>
        <v>-57.3582252309861+60.1686808436793i</v>
      </c>
      <c r="AK317">
        <f t="shared" si="232"/>
        <v>83.127830214177195</v>
      </c>
      <c r="AL317">
        <f t="shared" si="233"/>
        <v>2.3322857515500184</v>
      </c>
      <c r="AM317" t="str">
        <f t="shared" si="215"/>
        <v>1+8542.19413724862i</v>
      </c>
      <c r="AN317">
        <f t="shared" si="234"/>
        <v>8542.1941957815907</v>
      </c>
      <c r="AO317">
        <f t="shared" si="235"/>
        <v>1.5706792608538322</v>
      </c>
      <c r="AP317" t="str">
        <f t="shared" si="216"/>
        <v>1+57.7175279543827i</v>
      </c>
      <c r="AQ317">
        <f t="shared" si="236"/>
        <v>57.726190184048598</v>
      </c>
      <c r="AR317">
        <f t="shared" si="237"/>
        <v>1.5534723007527125</v>
      </c>
      <c r="AS317" s="42" t="str">
        <f t="shared" si="238"/>
        <v>-0.0673310097967394+0.0664656482223173i</v>
      </c>
      <c r="AT317">
        <f t="shared" si="239"/>
        <v>-20.481212973349155</v>
      </c>
      <c r="AU317" s="44">
        <f t="shared" si="240"/>
        <v>135.37056885694707</v>
      </c>
      <c r="AV317" s="42" t="str">
        <f t="shared" si="217"/>
        <v>0.0311430336504087+0.0238409366470895i</v>
      </c>
      <c r="AW317" s="20">
        <f t="shared" si="241"/>
        <v>-28.129649437482357</v>
      </c>
      <c r="AX317" s="44">
        <f t="shared" si="242"/>
        <v>37.435151553276725</v>
      </c>
    </row>
    <row r="318" spans="14:50" x14ac:dyDescent="0.3">
      <c r="N318" s="8">
        <v>100</v>
      </c>
      <c r="O318" s="35">
        <f t="shared" si="243"/>
        <v>10000</v>
      </c>
      <c r="P318" s="34" t="str">
        <f t="shared" si="208"/>
        <v>545.10556621881</v>
      </c>
      <c r="Q318" s="4" t="str">
        <f t="shared" si="209"/>
        <v>1+1342.26204354911i</v>
      </c>
      <c r="R318" s="4">
        <f t="shared" si="218"/>
        <v>1342.2624160545631</v>
      </c>
      <c r="S318" s="4">
        <f t="shared" si="219"/>
        <v>1.5700513159232921</v>
      </c>
      <c r="T318" s="4" t="str">
        <f t="shared" si="210"/>
        <v>1+0.0314159265358979i</v>
      </c>
      <c r="U318" s="4">
        <f t="shared" si="220"/>
        <v>1.0004933585187405</v>
      </c>
      <c r="V318" s="4">
        <f t="shared" si="221"/>
        <v>3.1405597226420098E-2</v>
      </c>
      <c r="W318" t="str">
        <f t="shared" si="211"/>
        <v>1-0.0326348644854907i</v>
      </c>
      <c r="X318" s="4">
        <f t="shared" si="222"/>
        <v>1.0005323754781683</v>
      </c>
      <c r="Y318" s="4">
        <f t="shared" si="223"/>
        <v>-3.2623286132509269E-2</v>
      </c>
      <c r="Z318" t="str">
        <f t="shared" si="212"/>
        <v>0.9936+0.141323246545152i</v>
      </c>
      <c r="AA318" s="4">
        <f t="shared" si="224"/>
        <v>1.003600129540676</v>
      </c>
      <c r="AB318" s="4">
        <f t="shared" si="225"/>
        <v>0.14128587170611695</v>
      </c>
      <c r="AC318" s="48" t="str">
        <f t="shared" si="226"/>
        <v>-0.0572297120159105-0.401004698414658i</v>
      </c>
      <c r="AD318" s="20">
        <f t="shared" si="227"/>
        <v>-7.8494433123185541</v>
      </c>
      <c r="AE318" s="44">
        <f t="shared" si="228"/>
        <v>-98.122166610031812</v>
      </c>
      <c r="AF318" t="str">
        <f t="shared" si="213"/>
        <v>-0.979317078436135</v>
      </c>
      <c r="AG318" t="str">
        <f t="shared" si="229"/>
        <v>62831.8530717959i</v>
      </c>
      <c r="AH318">
        <f t="shared" si="230"/>
        <v>62831.8530717959</v>
      </c>
      <c r="AI318">
        <f t="shared" si="231"/>
        <v>1.5707963267948966</v>
      </c>
      <c r="AJ318" t="str">
        <f t="shared" si="214"/>
        <v>-60.1085636529498+61.5701894621142i</v>
      </c>
      <c r="AK318">
        <f t="shared" si="232"/>
        <v>86.046078671961325</v>
      </c>
      <c r="AL318">
        <f t="shared" si="233"/>
        <v>2.3441828983784583</v>
      </c>
      <c r="AM318" t="str">
        <f t="shared" si="215"/>
        <v>1+8741.16739934825i</v>
      </c>
      <c r="AN318">
        <f t="shared" si="234"/>
        <v>8741.1674565488447</v>
      </c>
      <c r="AO318">
        <f t="shared" si="235"/>
        <v>1.5706819255999587</v>
      </c>
      <c r="AP318" t="str">
        <f t="shared" si="216"/>
        <v>1+59.0619418874883i</v>
      </c>
      <c r="AQ318">
        <f t="shared" si="236"/>
        <v>59.070406969319635</v>
      </c>
      <c r="AR318">
        <f t="shared" si="237"/>
        <v>1.5538665675065433</v>
      </c>
      <c r="AS318" s="42" t="str">
        <f t="shared" si="238"/>
        <v>-0.0658021568155737+0.0664678201773968i</v>
      </c>
      <c r="AT318">
        <f t="shared" si="239"/>
        <v>-20.580964403412196</v>
      </c>
      <c r="AU318" s="44">
        <f t="shared" si="240"/>
        <v>134.71165505513335</v>
      </c>
      <c r="AV318" s="42" t="str">
        <f t="shared" si="217"/>
        <v>0.0304197466690978+0.0225830398417854i</v>
      </c>
      <c r="AW318" s="20">
        <f t="shared" si="241"/>
        <v>-28.430407715730752</v>
      </c>
      <c r="AX318" s="44">
        <f t="shared" si="242"/>
        <v>36.589488445101516</v>
      </c>
    </row>
    <row r="319" spans="14:50" x14ac:dyDescent="0.3">
      <c r="N319" s="8">
        <v>1</v>
      </c>
      <c r="O319" s="35">
        <f>10^(4+(N319/100))</f>
        <v>10232.929922807549</v>
      </c>
      <c r="P319" s="34" t="str">
        <f t="shared" si="208"/>
        <v>545.10556621881</v>
      </c>
      <c r="Q319" s="4" t="str">
        <f t="shared" si="209"/>
        <v>1+1373.52734296825i</v>
      </c>
      <c r="R319" s="4">
        <f t="shared" si="218"/>
        <v>1373.5277069944459</v>
      </c>
      <c r="S319" s="4">
        <f t="shared" si="219"/>
        <v>1.5700682744350853</v>
      </c>
      <c r="T319" s="4" t="str">
        <f t="shared" si="210"/>
        <v>1+0.0321476974701913i</v>
      </c>
      <c r="U319" s="4">
        <f t="shared" si="220"/>
        <v>1.0005166037865814</v>
      </c>
      <c r="V319" s="4">
        <f t="shared" si="221"/>
        <v>3.2136629724305213E-2</v>
      </c>
      <c r="W319" t="str">
        <f t="shared" si="211"/>
        <v>1-0.0333950281320347i</v>
      </c>
      <c r="X319" s="4">
        <f t="shared" si="222"/>
        <v>1.0005574585719401</v>
      </c>
      <c r="Y319" s="4">
        <f t="shared" si="223"/>
        <v>-3.3382622076582893E-2</v>
      </c>
      <c r="Z319" t="str">
        <f t="shared" si="212"/>
        <v>0.993298377292474+0.144615087836019i</v>
      </c>
      <c r="AA319" s="4">
        <f t="shared" si="224"/>
        <v>1.003770486695879</v>
      </c>
      <c r="AB319" s="4">
        <f t="shared" si="225"/>
        <v>0.14457499001114835</v>
      </c>
      <c r="AC319" s="48" t="str">
        <f t="shared" si="226"/>
        <v>-0.057226408761722-0.391640502673194i</v>
      </c>
      <c r="AD319" s="20">
        <f t="shared" si="227"/>
        <v>-8.0504979198876132</v>
      </c>
      <c r="AE319" s="44">
        <f t="shared" si="228"/>
        <v>-98.313212526394196</v>
      </c>
      <c r="AF319" t="str">
        <f t="shared" si="213"/>
        <v>-0.979317078436135</v>
      </c>
      <c r="AG319" t="str">
        <f t="shared" si="229"/>
        <v>64295.3949403827i</v>
      </c>
      <c r="AH319">
        <f t="shared" si="230"/>
        <v>64295.394940382699</v>
      </c>
      <c r="AI319">
        <f t="shared" si="231"/>
        <v>1.5707963267948966</v>
      </c>
      <c r="AJ319" t="str">
        <f t="shared" si="214"/>
        <v>-62.9885215313892+63.0043434099799i</v>
      </c>
      <c r="AK319">
        <f t="shared" si="232"/>
        <v>89.090409883628666</v>
      </c>
      <c r="AL319">
        <f t="shared" si="233"/>
        <v>2.3560689126168617</v>
      </c>
      <c r="AM319" t="str">
        <f t="shared" si="215"/>
        <v>1+8944.77534410604i</v>
      </c>
      <c r="AN319">
        <f t="shared" si="234"/>
        <v>8944.7754000045916</v>
      </c>
      <c r="AO319">
        <f t="shared" si="235"/>
        <v>1.5706845296890595</v>
      </c>
      <c r="AP319" t="str">
        <f t="shared" si="216"/>
        <v>1+60.4376712439599i</v>
      </c>
      <c r="AQ319">
        <f t="shared" si="236"/>
        <v>60.44594366368166</v>
      </c>
      <c r="AR319">
        <f t="shared" si="237"/>
        <v>1.5542518647398107</v>
      </c>
      <c r="AS319" s="42" t="str">
        <f t="shared" si="238"/>
        <v>-0.0642739390682778+0.0664348411295747i</v>
      </c>
      <c r="AT319">
        <f t="shared" si="239"/>
        <v>-20.683017899655923</v>
      </c>
      <c r="AU319" s="44">
        <f t="shared" si="240"/>
        <v>134.05286171267966</v>
      </c>
      <c r="AV319" s="42" t="str">
        <f t="shared" si="217"/>
        <v>0.0296967412848477+0.0213704504309855i</v>
      </c>
      <c r="AW319" s="20">
        <f t="shared" si="241"/>
        <v>-28.733515819543534</v>
      </c>
      <c r="AX319" s="44">
        <f t="shared" si="242"/>
        <v>35.739649186285504</v>
      </c>
    </row>
    <row r="320" spans="14:50" x14ac:dyDescent="0.3">
      <c r="N320" s="8">
        <v>2</v>
      </c>
      <c r="O320" s="35">
        <f t="shared" ref="O320:O383" si="244">10^(4+(N320/100))</f>
        <v>10471.285480509003</v>
      </c>
      <c r="P320" s="34" t="str">
        <f t="shared" si="208"/>
        <v>545.10556621881</v>
      </c>
      <c r="Q320" s="4" t="str">
        <f t="shared" si="209"/>
        <v>1+1405.52090476542i</v>
      </c>
      <c r="R320" s="4">
        <f t="shared" si="218"/>
        <v>1405.5212605053703</v>
      </c>
      <c r="S320" s="4">
        <f t="shared" si="219"/>
        <v>1.5700848469244266</v>
      </c>
      <c r="T320" s="4" t="str">
        <f t="shared" si="210"/>
        <v>1+0.0328965135392085i</v>
      </c>
      <c r="U320" s="4">
        <f t="shared" si="220"/>
        <v>1.0005409439913167</v>
      </c>
      <c r="V320" s="4">
        <f t="shared" si="221"/>
        <v>3.2884654582090174E-2</v>
      </c>
      <c r="W320" t="str">
        <f t="shared" si="211"/>
        <v>1-0.0341728982645297i</v>
      </c>
      <c r="X320" s="4">
        <f t="shared" si="222"/>
        <v>1.0005837231215577</v>
      </c>
      <c r="Y320" s="4">
        <f t="shared" si="223"/>
        <v>-3.415960535541953E-2</v>
      </c>
      <c r="Z320" t="str">
        <f t="shared" si="212"/>
        <v>0.992982539544684+0.147983605960664i</v>
      </c>
      <c r="AA320" s="4">
        <f t="shared" si="224"/>
        <v>1.0039489386785221</v>
      </c>
      <c r="AB320" s="4">
        <f t="shared" si="225"/>
        <v>0.14794058433882029</v>
      </c>
      <c r="AC320" s="48" t="str">
        <f t="shared" si="226"/>
        <v>-0.0572216962406404-0.382484040884658i</v>
      </c>
      <c r="AD320" s="20">
        <f t="shared" si="227"/>
        <v>-8.2516025654194785</v>
      </c>
      <c r="AE320" s="44">
        <f t="shared" si="228"/>
        <v>-98.508655605925853</v>
      </c>
      <c r="AF320" t="str">
        <f t="shared" si="213"/>
        <v>-0.979317078436135</v>
      </c>
      <c r="AG320" t="str">
        <f t="shared" si="229"/>
        <v>65793.0270784171i</v>
      </c>
      <c r="AH320">
        <f t="shared" si="230"/>
        <v>65793.027078417101</v>
      </c>
      <c r="AI320">
        <f t="shared" si="231"/>
        <v>1.5707963267948966</v>
      </c>
      <c r="AJ320" t="str">
        <f t="shared" si="214"/>
        <v>-66.0042076430874+64.4719030946825i</v>
      </c>
      <c r="AK320">
        <f t="shared" si="232"/>
        <v>92.266904766779334</v>
      </c>
      <c r="AL320">
        <f t="shared" si="233"/>
        <v>2.3679378974741194</v>
      </c>
      <c r="AM320" t="str">
        <f t="shared" si="215"/>
        <v>1+9153.12592714939i</v>
      </c>
      <c r="AN320">
        <f t="shared" si="234"/>
        <v>9153.1259817755363</v>
      </c>
      <c r="AO320">
        <f t="shared" si="235"/>
        <v>1.5706870745018571</v>
      </c>
      <c r="AP320" t="str">
        <f t="shared" si="216"/>
        <v>1+61.8454454537122i</v>
      </c>
      <c r="AQ320">
        <f t="shared" si="236"/>
        <v>61.853529595069119</v>
      </c>
      <c r="AR320">
        <f t="shared" si="237"/>
        <v>1.5546283962843541</v>
      </c>
      <c r="AS320" s="42" t="str">
        <f t="shared" si="238"/>
        <v>-0.0627479740837351+0.0663667932111125i</v>
      </c>
      <c r="AT320">
        <f t="shared" si="239"/>
        <v>-20.787371295275577</v>
      </c>
      <c r="AU320" s="44">
        <f t="shared" si="240"/>
        <v>133.39453844864298</v>
      </c>
      <c r="AV320" s="42" t="str">
        <f t="shared" si="217"/>
        <v>0.0289747847606779+0.0202024782032811i</v>
      </c>
      <c r="AW320" s="20">
        <f t="shared" si="241"/>
        <v>-29.038973860695052</v>
      </c>
      <c r="AX320" s="44">
        <f t="shared" si="242"/>
        <v>34.885882842717052</v>
      </c>
    </row>
    <row r="321" spans="14:50" x14ac:dyDescent="0.3">
      <c r="N321" s="8">
        <v>3</v>
      </c>
      <c r="O321" s="35">
        <f t="shared" si="244"/>
        <v>10715.193052376071</v>
      </c>
      <c r="P321" s="34" t="str">
        <f t="shared" si="208"/>
        <v>545.10556621881</v>
      </c>
      <c r="Q321" s="4" t="str">
        <f t="shared" si="209"/>
        <v>1+1438.25969235056i</v>
      </c>
      <c r="R321" s="4">
        <f t="shared" si="218"/>
        <v>1438.2600399928822</v>
      </c>
      <c r="S321" s="4">
        <f t="shared" si="219"/>
        <v>1.5701010421782322</v>
      </c>
      <c r="T321" s="4" t="str">
        <f t="shared" si="210"/>
        <v>1+0.033662771775141i</v>
      </c>
      <c r="U321" s="4">
        <f t="shared" si="220"/>
        <v>1.0005664306799349</v>
      </c>
      <c r="V321" s="4">
        <f t="shared" si="221"/>
        <v>3.3650065062135769E-2</v>
      </c>
      <c r="W321" t="str">
        <f t="shared" si="211"/>
        <v>1-0.0349688873200164i</v>
      </c>
      <c r="X321" s="4">
        <f t="shared" si="222"/>
        <v>1.0006112247423571</v>
      </c>
      <c r="Y321" s="4">
        <f t="shared" si="223"/>
        <v>-3.4954644181156652E-2</v>
      </c>
      <c r="Z321" t="str">
        <f t="shared" si="212"/>
        <v>0.99265181682242+0.151430586951984i</v>
      </c>
      <c r="AA321" s="4">
        <f t="shared" si="224"/>
        <v>1.0041358733286416</v>
      </c>
      <c r="AB321" s="4">
        <f t="shared" si="225"/>
        <v>0.15138442562558133</v>
      </c>
      <c r="AC321" s="48" t="str">
        <f t="shared" si="226"/>
        <v>-0.0572155646338586-0.373530464143251i</v>
      </c>
      <c r="AD321" s="20">
        <f t="shared" si="227"/>
        <v>-8.4527596375501126</v>
      </c>
      <c r="AE321" s="44">
        <f t="shared" si="228"/>
        <v>-98.708598675823481</v>
      </c>
      <c r="AF321" t="str">
        <f t="shared" si="213"/>
        <v>-0.979317078436135</v>
      </c>
      <c r="AG321" t="str">
        <f t="shared" si="229"/>
        <v>67325.5435502821i</v>
      </c>
      <c r="AH321">
        <f t="shared" si="230"/>
        <v>67325.543550282106</v>
      </c>
      <c r="AI321">
        <f t="shared" si="231"/>
        <v>1.5707963267948966</v>
      </c>
      <c r="AJ321" t="str">
        <f t="shared" si="214"/>
        <v>-69.162018662607+65.9736466357925i</v>
      </c>
      <c r="AK321">
        <f t="shared" si="232"/>
        <v>95.581938021318734</v>
      </c>
      <c r="AL321">
        <f t="shared" si="233"/>
        <v>2.3797839740887627</v>
      </c>
      <c r="AM321" t="str">
        <f t="shared" si="215"/>
        <v>1+9366.32961871525i</v>
      </c>
      <c r="AN321">
        <f t="shared" si="234"/>
        <v>9366.3296720979524</v>
      </c>
      <c r="AO321">
        <f t="shared" si="235"/>
        <v>1.5706895613876444</v>
      </c>
      <c r="AP321" t="str">
        <f t="shared" si="216"/>
        <v>1+63.2860109372653i</v>
      </c>
      <c r="AQ321">
        <f t="shared" si="236"/>
        <v>63.293911084334674</v>
      </c>
      <c r="AR321">
        <f t="shared" si="237"/>
        <v>1.5549963613548725</v>
      </c>
      <c r="AS321" s="42" t="str">
        <f t="shared" si="238"/>
        <v>-0.0612258698732288+0.0662638512154127i</v>
      </c>
      <c r="AT321">
        <f t="shared" si="239"/>
        <v>-20.89401999330283</v>
      </c>
      <c r="AU321" s="44">
        <f t="shared" si="240"/>
        <v>132.73703358844392</v>
      </c>
      <c r="AV321" s="42" t="str">
        <f t="shared" si="217"/>
        <v>0.0282546398154084+0.0190784039292176i</v>
      </c>
      <c r="AW321" s="20">
        <f t="shared" si="241"/>
        <v>-29.346779630852936</v>
      </c>
      <c r="AX321" s="44">
        <f t="shared" si="242"/>
        <v>34.028434912620405</v>
      </c>
    </row>
    <row r="322" spans="14:50" x14ac:dyDescent="0.3">
      <c r="N322" s="8">
        <v>4</v>
      </c>
      <c r="O322" s="35">
        <f t="shared" si="244"/>
        <v>10964.781961431856</v>
      </c>
      <c r="P322" s="34" t="str">
        <f t="shared" si="208"/>
        <v>545.10556621881</v>
      </c>
      <c r="Q322" s="4" t="str">
        <f t="shared" si="209"/>
        <v>1+1471.7610642622i</v>
      </c>
      <c r="R322" s="4">
        <f t="shared" si="218"/>
        <v>1471.7614039912189</v>
      </c>
      <c r="S322" s="4">
        <f t="shared" si="219"/>
        <v>1.5701168687834064</v>
      </c>
      <c r="T322" s="4" t="str">
        <f t="shared" si="210"/>
        <v>1+0.0344468784582482i</v>
      </c>
      <c r="U322" s="4">
        <f t="shared" si="220"/>
        <v>1.0005931178233824</v>
      </c>
      <c r="V322" s="4">
        <f t="shared" si="221"/>
        <v>3.4433263405814131E-2</v>
      </c>
      <c r="W322" t="str">
        <f t="shared" si="211"/>
        <v>1-0.0357834173424281i</v>
      </c>
      <c r="X322" s="4">
        <f t="shared" si="222"/>
        <v>1.0006400216644857</v>
      </c>
      <c r="Y322" s="4">
        <f t="shared" si="223"/>
        <v>-3.5768156071338243E-2</v>
      </c>
      <c r="Z322" t="str">
        <f t="shared" si="212"/>
        <v>0.992305507618449+0.154957858444927i</v>
      </c>
      <c r="AA322" s="4">
        <f t="shared" si="224"/>
        <v>1.0043316973708167</v>
      </c>
      <c r="AB322" s="4">
        <f t="shared" si="225"/>
        <v>0.15490832524156675</v>
      </c>
      <c r="AC322" s="48" t="str">
        <f t="shared" si="226"/>
        <v>-0.0572080011314897-0.364775031541052i</v>
      </c>
      <c r="AD322" s="20">
        <f t="shared" si="227"/>
        <v>-8.653971640403503</v>
      </c>
      <c r="AE322" s="44">
        <f t="shared" si="228"/>
        <v>-98.913146887204391</v>
      </c>
      <c r="AF322" t="str">
        <f t="shared" si="213"/>
        <v>-0.979317078436135</v>
      </c>
      <c r="AG322" t="str">
        <f t="shared" si="229"/>
        <v>68893.7569164964i</v>
      </c>
      <c r="AH322">
        <f t="shared" si="230"/>
        <v>68893.756916496393</v>
      </c>
      <c r="AI322">
        <f t="shared" si="231"/>
        <v>1.5707963267948966</v>
      </c>
      <c r="AJ322" t="str">
        <f t="shared" si="214"/>
        <v>-72.4686527304957+67.5103702776132i</v>
      </c>
      <c r="AK322">
        <f t="shared" si="232"/>
        <v>99.042191633634715</v>
      </c>
      <c r="AL322">
        <f t="shared" si="233"/>
        <v>2.3916012976038541</v>
      </c>
      <c r="AM322" t="str">
        <f t="shared" si="215"/>
        <v>1+9584.49946222298i</v>
      </c>
      <c r="AN322">
        <f t="shared" si="234"/>
        <v>9584.4995143905453</v>
      </c>
      <c r="AO322">
        <f t="shared" si="235"/>
        <v>1.5706919916650015</v>
      </c>
      <c r="AP322" t="str">
        <f t="shared" si="216"/>
        <v>1+64.7601315015068i</v>
      </c>
      <c r="AQ322">
        <f t="shared" si="236"/>
        <v>64.767851840959295</v>
      </c>
      <c r="AR322">
        <f t="shared" si="237"/>
        <v>1.5553559546525131</v>
      </c>
      <c r="AS322" s="42" t="str">
        <f t="shared" si="238"/>
        <v>-0.0597092181767348+0.0661262814662018i</v>
      </c>
      <c r="AT322">
        <f t="shared" si="239"/>
        <v>-21.002956986057399</v>
      </c>
      <c r="AU322" s="44">
        <f t="shared" si="240"/>
        <v>132.08069324882015</v>
      </c>
      <c r="AV322" s="42" t="str">
        <f t="shared" si="217"/>
        <v>0.0275370614285413+0.0179974795587703i</v>
      </c>
      <c r="AW322" s="20">
        <f t="shared" si="241"/>
        <v>-29.656928626460896</v>
      </c>
      <c r="AX322" s="44">
        <f t="shared" si="242"/>
        <v>33.167546361615706</v>
      </c>
    </row>
    <row r="323" spans="14:50" x14ac:dyDescent="0.3">
      <c r="N323" s="8">
        <v>5</v>
      </c>
      <c r="O323" s="35">
        <f t="shared" si="244"/>
        <v>11220.184543019639</v>
      </c>
      <c r="P323" s="34" t="str">
        <f t="shared" si="208"/>
        <v>545.10556621881</v>
      </c>
      <c r="Q323" s="4" t="str">
        <f t="shared" si="209"/>
        <v>1+1506.04278337117i</v>
      </c>
      <c r="R323" s="4">
        <f t="shared" si="218"/>
        <v>1506.0431153670138</v>
      </c>
      <c r="S323" s="4">
        <f t="shared" si="219"/>
        <v>1.5701323351313929</v>
      </c>
      <c r="T323" s="4" t="str">
        <f t="shared" si="210"/>
        <v>1+0.0352492493322722i</v>
      </c>
      <c r="U323" s="4">
        <f t="shared" si="220"/>
        <v>1.0006210619302838</v>
      </c>
      <c r="V323" s="4">
        <f t="shared" si="221"/>
        <v>3.5234661029748898E-2</v>
      </c>
      <c r="W323" t="str">
        <f t="shared" si="211"/>
        <v>1-0.0366169202063643i</v>
      </c>
      <c r="X323" s="4">
        <f t="shared" si="222"/>
        <v>1.0006701748555311</v>
      </c>
      <c r="Y323" s="4">
        <f t="shared" si="223"/>
        <v>-3.6600568051208746E-2</v>
      </c>
      <c r="Z323" t="str">
        <f t="shared" si="212"/>
        <v>0.991942877364517+0.158567290645526i</v>
      </c>
      <c r="AA323" s="4">
        <f t="shared" si="224"/>
        <v>1.0045368373618062</v>
      </c>
      <c r="AB323" s="4">
        <f t="shared" si="225"/>
        <v>0.15851413586541968</v>
      </c>
      <c r="AC323" s="48" t="str">
        <f t="shared" si="226"/>
        <v>-0.0571989899075069-0.356213107686105i</v>
      </c>
      <c r="AD323" s="20">
        <f t="shared" si="227"/>
        <v>-8.8552411993002274</v>
      </c>
      <c r="AE323" s="44">
        <f t="shared" si="228"/>
        <v>-99.122407765838162</v>
      </c>
      <c r="AF323" t="str">
        <f t="shared" si="213"/>
        <v>-0.979317078436135</v>
      </c>
      <c r="AG323" t="str">
        <f t="shared" si="229"/>
        <v>70498.4986645445i</v>
      </c>
      <c r="AH323">
        <f t="shared" si="230"/>
        <v>70498.498664544502</v>
      </c>
      <c r="AI323">
        <f t="shared" si="231"/>
        <v>1.5707963267948966</v>
      </c>
      <c r="AJ323" t="str">
        <f t="shared" si="214"/>
        <v>-75.9311236609397+69.0828888113605i</v>
      </c>
      <c r="AK323">
        <f t="shared" si="232"/>
        <v>102.65466899725368</v>
      </c>
      <c r="AL323">
        <f t="shared" si="233"/>
        <v>2.4033840729930036</v>
      </c>
      <c r="AM323" t="str">
        <f t="shared" si="215"/>
        <v>1+9807.75113421143i</v>
      </c>
      <c r="AN323">
        <f t="shared" si="234"/>
        <v>9807.7511851915151</v>
      </c>
      <c r="AO323">
        <f t="shared" si="235"/>
        <v>1.5706943666224931</v>
      </c>
      <c r="AP323" t="str">
        <f t="shared" si="216"/>
        <v>1+66.268588744672i</v>
      </c>
      <c r="AQ323">
        <f t="shared" si="236"/>
        <v>66.276133367981487</v>
      </c>
      <c r="AR323">
        <f t="shared" si="237"/>
        <v>1.5557073664662042</v>
      </c>
      <c r="AS323" s="42" t="str">
        <f t="shared" si="238"/>
        <v>-0.0581995878546681+0.0659544401053624i</v>
      </c>
      <c r="AT323">
        <f t="shared" si="239"/>
        <v>-21.114172884667624</v>
      </c>
      <c r="AU323" s="44">
        <f t="shared" si="240"/>
        <v>131.42586043690758</v>
      </c>
      <c r="AV323" s="42" t="str">
        <f t="shared" si="217"/>
        <v>0.0268227937139484+0.0169589287018199i</v>
      </c>
      <c r="AW323" s="20">
        <f t="shared" si="241"/>
        <v>-29.969414083967862</v>
      </c>
      <c r="AX323" s="44">
        <f t="shared" si="242"/>
        <v>32.303452671069422</v>
      </c>
    </row>
    <row r="324" spans="14:50" x14ac:dyDescent="0.3">
      <c r="N324" s="8">
        <v>6</v>
      </c>
      <c r="O324" s="35">
        <f t="shared" si="244"/>
        <v>11481.536214968832</v>
      </c>
      <c r="P324" s="34" t="str">
        <f t="shared" si="208"/>
        <v>545.10556621881</v>
      </c>
      <c r="Q324" s="4" t="str">
        <f t="shared" si="209"/>
        <v>1+1541.12302629872i</v>
      </c>
      <c r="R324" s="4">
        <f t="shared" si="218"/>
        <v>1541.1233507374177</v>
      </c>
      <c r="S324" s="4">
        <f t="shared" si="219"/>
        <v>1.5701474494226246</v>
      </c>
      <c r="T324" s="4" t="str">
        <f t="shared" si="210"/>
        <v>1+0.0360703098248712i</v>
      </c>
      <c r="U324" s="4">
        <f t="shared" si="220"/>
        <v>1.0006503221659713</v>
      </c>
      <c r="V324" s="4">
        <f t="shared" si="221"/>
        <v>3.6054678725710873E-2</v>
      </c>
      <c r="W324" t="str">
        <f t="shared" si="211"/>
        <v>1-0.0374698378460761i</v>
      </c>
      <c r="X324" s="4">
        <f t="shared" si="222"/>
        <v>1.0007017481488734</v>
      </c>
      <c r="Y324" s="4">
        <f t="shared" si="223"/>
        <v>-3.7452316859692449E-2</v>
      </c>
      <c r="Z324" t="str">
        <f t="shared" si="212"/>
        <v>0.991563156873239+0.162260797322513i</v>
      </c>
      <c r="AA324" s="4">
        <f t="shared" si="224"/>
        <v>1.0047517406882962</v>
      </c>
      <c r="AB324" s="4">
        <f t="shared" si="225"/>
        <v>0.16220375237368054</v>
      </c>
      <c r="AC324" s="48" t="str">
        <f t="shared" si="226"/>
        <v>-0.0571885120885221-0.347840160278755i</v>
      </c>
      <c r="AD324" s="20">
        <f t="shared" si="227"/>
        <v>-9.0565710667595738</v>
      </c>
      <c r="AE324" s="44">
        <f t="shared" si="228"/>
        <v>-99.336491263707956</v>
      </c>
      <c r="AF324" t="str">
        <f t="shared" si="213"/>
        <v>-0.979317078436135</v>
      </c>
      <c r="AG324" t="str">
        <f t="shared" si="229"/>
        <v>72140.6196497425i</v>
      </c>
      <c r="AH324">
        <f t="shared" si="230"/>
        <v>72140.619649742497</v>
      </c>
      <c r="AI324">
        <f t="shared" si="231"/>
        <v>1.5707963267948966</v>
      </c>
      <c r="AJ324" t="str">
        <f t="shared" si="214"/>
        <v>-79.5567758190041+70.6920360071757i</v>
      </c>
      <c r="AK324">
        <f t="shared" si="232"/>
        <v>106.42670968114679</v>
      </c>
      <c r="AL324">
        <f t="shared" si="233"/>
        <v>2.4151265705384528</v>
      </c>
      <c r="AM324" t="str">
        <f t="shared" si="215"/>
        <v>1+10036.2030056722i</v>
      </c>
      <c r="AN324">
        <f t="shared" si="234"/>
        <v>10036.203055491836</v>
      </c>
      <c r="AO324">
        <f t="shared" si="235"/>
        <v>1.5706966875193533</v>
      </c>
      <c r="AP324" t="str">
        <f t="shared" si="216"/>
        <v>1+67.8121824707581i</v>
      </c>
      <c r="AQ324">
        <f t="shared" si="236"/>
        <v>67.81955537636172</v>
      </c>
      <c r="AR324">
        <f t="shared" si="237"/>
        <v>1.5560507827717747</v>
      </c>
      <c r="AS324" s="42" t="str">
        <f t="shared" si="238"/>
        <v>-0.0566985184828761+0.0657487708197542i</v>
      </c>
      <c r="AT324">
        <f t="shared" si="239"/>
        <v>-21.22765595839622</v>
      </c>
      <c r="AU324" s="44">
        <f t="shared" si="240"/>
        <v>130.77287416913046</v>
      </c>
      <c r="AV324" s="42" t="str">
        <f t="shared" si="217"/>
        <v>0.0261125668897337+0.0159619473818206i</v>
      </c>
      <c r="AW324" s="20">
        <f t="shared" si="241"/>
        <v>-30.284227025155786</v>
      </c>
      <c r="AX324" s="44">
        <f t="shared" si="242"/>
        <v>31.436382905422519</v>
      </c>
    </row>
    <row r="325" spans="14:50" x14ac:dyDescent="0.3">
      <c r="N325" s="8">
        <v>7</v>
      </c>
      <c r="O325" s="35">
        <f t="shared" si="244"/>
        <v>11748.975549395318</v>
      </c>
      <c r="P325" s="34" t="str">
        <f t="shared" si="208"/>
        <v>545.10556621881</v>
      </c>
      <c r="Q325" s="4" t="str">
        <f t="shared" si="209"/>
        <v>1+1577.02039305399i</v>
      </c>
      <c r="R325" s="4">
        <f t="shared" si="218"/>
        <v>1577.0207101075625</v>
      </c>
      <c r="S325" s="4">
        <f t="shared" si="219"/>
        <v>1.5701622196708709</v>
      </c>
      <c r="T325" s="4" t="str">
        <f t="shared" si="210"/>
        <v>1+0.0369104952731864i</v>
      </c>
      <c r="U325" s="4">
        <f t="shared" si="220"/>
        <v>1.0006809604770703</v>
      </c>
      <c r="V325" s="4">
        <f t="shared" si="221"/>
        <v>3.6893746864187671E-2</v>
      </c>
      <c r="W325" t="str">
        <f t="shared" si="211"/>
        <v>1-0.038342622489786i</v>
      </c>
      <c r="X325" s="4">
        <f t="shared" si="222"/>
        <v>1.000734808378021</v>
      </c>
      <c r="Y325" s="4">
        <f t="shared" si="223"/>
        <v>-3.8323849159073255E-2</v>
      </c>
      <c r="Z325" t="str">
        <f t="shared" si="212"/>
        <v>0.991165540706542+0.166040336822015i</v>
      </c>
      <c r="AA325" s="4">
        <f t="shared" si="224"/>
        <v>1.0049768766175966</v>
      </c>
      <c r="AB325" s="4">
        <f t="shared" si="225"/>
        <v>0.16597911274452967</v>
      </c>
      <c r="AC325" s="48" t="str">
        <f t="shared" si="226"/>
        <v>-0.057176545716377-0.339651757745166i</v>
      </c>
      <c r="AD325" s="20">
        <f t="shared" si="227"/>
        <v>-9.2579641288101246</v>
      </c>
      <c r="AE325" s="44">
        <f t="shared" si="228"/>
        <v>-99.555509811390678</v>
      </c>
      <c r="AF325" t="str">
        <f t="shared" si="213"/>
        <v>-0.979317078436135</v>
      </c>
      <c r="AG325" t="str">
        <f t="shared" si="229"/>
        <v>73820.9905463729i</v>
      </c>
      <c r="AH325">
        <f t="shared" si="230"/>
        <v>73820.990546372894</v>
      </c>
      <c r="AI325">
        <f t="shared" si="231"/>
        <v>1.5707963267948966</v>
      </c>
      <c r="AJ325" t="str">
        <f t="shared" si="214"/>
        <v>-83.3532996990159+72.3386650562017i</v>
      </c>
      <c r="AK325">
        <f t="shared" si="232"/>
        <v>110.36600487843756</v>
      </c>
      <c r="AL325">
        <f t="shared" si="233"/>
        <v>2.4268231408661998</v>
      </c>
      <c r="AM325" t="str">
        <f t="shared" si="215"/>
        <v>1+10269.9762048114i</v>
      </c>
      <c r="AN325">
        <f t="shared" si="234"/>
        <v>10269.976253497005</v>
      </c>
      <c r="AO325">
        <f t="shared" si="235"/>
        <v>1.5706989555861521</v>
      </c>
      <c r="AP325" t="str">
        <f t="shared" si="216"/>
        <v>1+69.3917311135907i</v>
      </c>
      <c r="AQ325">
        <f t="shared" si="236"/>
        <v>69.398936209000141</v>
      </c>
      <c r="AR325">
        <f t="shared" si="237"/>
        <v>1.5563863853289031</v>
      </c>
      <c r="AS325" s="42" t="str">
        <f t="shared" si="238"/>
        <v>-0.0552075142055733+0.0655098020337925i</v>
      </c>
      <c r="AT325">
        <f t="shared" si="239"/>
        <v>-21.34339218342452</v>
      </c>
      <c r="AU325" s="44">
        <f t="shared" si="240"/>
        <v>130.12206861534511</v>
      </c>
      <c r="AV325" s="42" t="str">
        <f t="shared" si="217"/>
        <v>0.025407094370178+0.0150057050498082i</v>
      </c>
      <c r="AW325" s="20">
        <f t="shared" si="241"/>
        <v>-30.601356312234639</v>
      </c>
      <c r="AX325" s="44">
        <f t="shared" si="242"/>
        <v>30.566558803954351</v>
      </c>
    </row>
    <row r="326" spans="14:50" x14ac:dyDescent="0.3">
      <c r="N326" s="8">
        <v>8</v>
      </c>
      <c r="O326" s="35">
        <f t="shared" si="244"/>
        <v>12022.644346174151</v>
      </c>
      <c r="P326" s="34" t="str">
        <f t="shared" si="208"/>
        <v>545.10556621881</v>
      </c>
      <c r="Q326" s="4" t="str">
        <f t="shared" si="209"/>
        <v>1+1613.75391689599i</v>
      </c>
      <c r="R326" s="4">
        <f t="shared" si="218"/>
        <v>1613.7542267325434</v>
      </c>
      <c r="S326" s="4">
        <f t="shared" si="219"/>
        <v>1.5701766537074873</v>
      </c>
      <c r="T326" s="4" t="str">
        <f t="shared" si="210"/>
        <v>1+0.0377702511546636i</v>
      </c>
      <c r="U326" s="4">
        <f t="shared" si="220"/>
        <v>1.0007130417218946</v>
      </c>
      <c r="V326" s="4">
        <f t="shared" si="221"/>
        <v>3.7752305601645275E-2</v>
      </c>
      <c r="W326" t="str">
        <f t="shared" si="211"/>
        <v>1-0.0392357368994644i</v>
      </c>
      <c r="X326" s="4">
        <f t="shared" si="222"/>
        <v>1.0007694255172086</v>
      </c>
      <c r="Y326" s="4">
        <f t="shared" si="223"/>
        <v>-3.9215621748381439E-2</v>
      </c>
      <c r="Z326" t="str">
        <f t="shared" si="212"/>
        <v>0.990749185467226+0.169907913105904i</v>
      </c>
      <c r="AA326" s="4">
        <f t="shared" si="224"/>
        <v>1.0052127374043642</v>
      </c>
      <c r="AB326" s="4">
        <f t="shared" si="225"/>
        <v>0.1698421989756578</v>
      </c>
      <c r="AC326" s="48" t="str">
        <f t="shared" si="226"/>
        <v>-0.0571630657044961-0.331643566926926i</v>
      </c>
      <c r="AD326" s="20">
        <f t="shared" si="227"/>
        <v>-9.4594234116263554</v>
      </c>
      <c r="AE326" s="44">
        <f t="shared" si="228"/>
        <v>-99.7795783712413</v>
      </c>
      <c r="AF326" t="str">
        <f t="shared" si="213"/>
        <v>-0.979317078436135</v>
      </c>
      <c r="AG326" t="str">
        <f t="shared" si="229"/>
        <v>75540.5023093271i</v>
      </c>
      <c r="AH326">
        <f t="shared" si="230"/>
        <v>75540.502309327101</v>
      </c>
      <c r="AI326">
        <f t="shared" si="231"/>
        <v>1.5707963267948966</v>
      </c>
      <c r="AJ326" t="str">
        <f t="shared" si="214"/>
        <v>-87.3287482371326+74.0236490229559i</v>
      </c>
      <c r="AK326">
        <f t="shared" si="232"/>
        <v>114.48061356988897</v>
      </c>
      <c r="AL326">
        <f t="shared" si="233"/>
        <v>2.4384682294483491</v>
      </c>
      <c r="AM326" t="str">
        <f t="shared" si="215"/>
        <v>1+10509.1946812736i</v>
      </c>
      <c r="AN326">
        <f t="shared" si="234"/>
        <v>10509.194728850985</v>
      </c>
      <c r="AO326">
        <f t="shared" si="235"/>
        <v>1.5707011720254485</v>
      </c>
      <c r="AP326" t="str">
        <f t="shared" si="216"/>
        <v>1+71.0080721707676i</v>
      </c>
      <c r="AQ326">
        <f t="shared" si="236"/>
        <v>71.015113274632895</v>
      </c>
      <c r="AR326">
        <f t="shared" si="237"/>
        <v>1.5567143517759452</v>
      </c>
      <c r="AS326" s="42" t="str">
        <f t="shared" si="238"/>
        <v>-0.0537280378970563+0.0652381436005041i</v>
      </c>
      <c r="AT326">
        <f t="shared" si="239"/>
        <v>-21.461365300666909</v>
      </c>
      <c r="AU326" s="44">
        <f t="shared" si="240"/>
        <v>129.47377227338669</v>
      </c>
      <c r="AV326" s="42" t="str">
        <f t="shared" si="217"/>
        <v>0.0247070700038453+0.0140893458430898i</v>
      </c>
      <c r="AW326" s="20">
        <f t="shared" si="241"/>
        <v>-30.920788712293263</v>
      </c>
      <c r="AX326" s="44">
        <f t="shared" si="242"/>
        <v>29.694193902145297</v>
      </c>
    </row>
    <row r="327" spans="14:50" x14ac:dyDescent="0.3">
      <c r="N327" s="8">
        <v>9</v>
      </c>
      <c r="O327" s="35">
        <f t="shared" si="244"/>
        <v>12302.687708123816</v>
      </c>
      <c r="P327" s="34" t="str">
        <f t="shared" si="208"/>
        <v>545.10556621881</v>
      </c>
      <c r="Q327" s="4" t="str">
        <f t="shared" si="209"/>
        <v>1+1651.34307442528i</v>
      </c>
      <c r="R327" s="4">
        <f t="shared" si="218"/>
        <v>1651.3433772090939</v>
      </c>
      <c r="S327" s="4">
        <f t="shared" si="219"/>
        <v>1.5701907591855671</v>
      </c>
      <c r="T327" s="4" t="str">
        <f t="shared" si="210"/>
        <v>1+0.0386500333232513i</v>
      </c>
      <c r="U327" s="4">
        <f t="shared" si="220"/>
        <v>1.0007466338069233</v>
      </c>
      <c r="V327" s="4">
        <f t="shared" si="221"/>
        <v>3.8630805091492741E-2</v>
      </c>
      <c r="W327" t="str">
        <f t="shared" si="211"/>
        <v>1-0.0401496546161933i</v>
      </c>
      <c r="X327" s="4">
        <f t="shared" si="222"/>
        <v>1.0008056728285464</v>
      </c>
      <c r="Y327" s="4">
        <f t="shared" si="223"/>
        <v>-4.0128101780494418E-2</v>
      </c>
      <c r="Z327" t="str">
        <f t="shared" si="212"/>
        <v>0.990313208010008+0.173865576814319i</v>
      </c>
      <c r="AA327" s="4">
        <f t="shared" si="224"/>
        <v>1.0054598394565788</v>
      </c>
      <c r="AB327" s="4">
        <f t="shared" si="225"/>
        <v>0.17379503801591728</v>
      </c>
      <c r="AC327" s="48" t="str">
        <f t="shared" si="226"/>
        <v>-0.0571480437879441-0.32381135082574i</v>
      </c>
      <c r="AD327" s="20">
        <f t="shared" si="227"/>
        <v>-9.6609520885085001</v>
      </c>
      <c r="AE327" s="44">
        <f t="shared" si="228"/>
        <v>-100.00881449136206</v>
      </c>
      <c r="AF327" t="str">
        <f t="shared" si="213"/>
        <v>-0.979317078436135</v>
      </c>
      <c r="AG327" t="str">
        <f t="shared" si="229"/>
        <v>77300.0666465025i</v>
      </c>
      <c r="AH327">
        <f t="shared" si="230"/>
        <v>77300.066646502499</v>
      </c>
      <c r="AI327">
        <f t="shared" si="231"/>
        <v>1.5707963267948966</v>
      </c>
      <c r="AJ327" t="str">
        <f t="shared" si="214"/>
        <v>-91.4915538927021+75.7478813082407i</v>
      </c>
      <c r="AK327">
        <f t="shared" si="232"/>
        <v>118.7789794382345</v>
      </c>
      <c r="AL327">
        <f t="shared" si="233"/>
        <v>2.450056390488994</v>
      </c>
      <c r="AM327" t="str">
        <f t="shared" si="215"/>
        <v>1+10753.9852718614i</v>
      </c>
      <c r="AN327">
        <f t="shared" si="234"/>
        <v>10753.98531835579</v>
      </c>
      <c r="AO327">
        <f t="shared" si="235"/>
        <v>1.5707033380124278</v>
      </c>
      <c r="AP327" t="str">
        <f t="shared" si="216"/>
        <v>1+72.6620626477125i</v>
      </c>
      <c r="AQ327">
        <f t="shared" si="236"/>
        <v>72.668943491839059</v>
      </c>
      <c r="AR327">
        <f t="shared" si="237"/>
        <v>1.5570348557226767</v>
      </c>
      <c r="AS327" s="42" t="str">
        <f t="shared" si="238"/>
        <v>-0.0522615056784545+0.0649344830290948i</v>
      </c>
      <c r="AT327">
        <f t="shared" si="239"/>
        <v>-21.581556882116061</v>
      </c>
      <c r="AU327" s="44">
        <f t="shared" si="240"/>
        <v>128.82830717881717</v>
      </c>
      <c r="AV327" s="42" t="str">
        <f t="shared" si="217"/>
        <v>0.0240131654797585+0.0132119900704332i</v>
      </c>
      <c r="AW327" s="20">
        <f t="shared" si="241"/>
        <v>-31.242508970624559</v>
      </c>
      <c r="AX327" s="44">
        <f t="shared" si="242"/>
        <v>28.819492687455067</v>
      </c>
    </row>
    <row r="328" spans="14:50" x14ac:dyDescent="0.3">
      <c r="N328" s="8">
        <v>10</v>
      </c>
      <c r="O328" s="35">
        <f t="shared" si="244"/>
        <v>12589.254117941671</v>
      </c>
      <c r="P328" s="34" t="str">
        <f t="shared" si="208"/>
        <v>545.10556621881</v>
      </c>
      <c r="Q328" s="4" t="str">
        <f t="shared" si="209"/>
        <v>1+1689.80779591075i</v>
      </c>
      <c r="R328" s="4">
        <f t="shared" si="218"/>
        <v>1689.8080918023638</v>
      </c>
      <c r="S328" s="4">
        <f t="shared" si="219"/>
        <v>1.5702045435839989</v>
      </c>
      <c r="T328" s="4" t="str">
        <f t="shared" si="210"/>
        <v>1+0.0395503082511006i</v>
      </c>
      <c r="U328" s="4">
        <f t="shared" si="220"/>
        <v>1.0007818078296373</v>
      </c>
      <c r="V328" s="4">
        <f t="shared" si="221"/>
        <v>3.9529705698757148E-2</v>
      </c>
      <c r="W328" t="str">
        <f t="shared" si="211"/>
        <v>1-0.0410848602112432i</v>
      </c>
      <c r="X328" s="4">
        <f t="shared" si="222"/>
        <v>1.0008436270160175</v>
      </c>
      <c r="Y328" s="4">
        <f t="shared" si="223"/>
        <v>-4.106176698294519E-2</v>
      </c>
      <c r="Z328" t="str">
        <f t="shared" si="212"/>
        <v>0.989856683568249+0.177915426352944i</v>
      </c>
      <c r="AA328" s="4">
        <f t="shared" si="224"/>
        <v>1.0057187245642205</v>
      </c>
      <c r="AB328" s="4">
        <f t="shared" si="225"/>
        <v>0.17783970271038654</v>
      </c>
      <c r="AC328" s="48" t="str">
        <f t="shared" si="226"/>
        <v>-0.057131448467128-0.316150966402232i</v>
      </c>
      <c r="AD328" s="20">
        <f t="shared" si="227"/>
        <v>-9.8625534872245471</v>
      </c>
      <c r="AE328" s="44">
        <f t="shared" si="228"/>
        <v>-100.2433383603346</v>
      </c>
      <c r="AF328" t="str">
        <f t="shared" si="213"/>
        <v>-0.979317078436135</v>
      </c>
      <c r="AG328" t="str">
        <f t="shared" si="229"/>
        <v>79100.6165022012i</v>
      </c>
      <c r="AH328">
        <f t="shared" si="230"/>
        <v>79100.616502201199</v>
      </c>
      <c r="AI328">
        <f t="shared" si="231"/>
        <v>1.5707963267948966</v>
      </c>
      <c r="AJ328" t="str">
        <f t="shared" si="214"/>
        <v>-95.8505465346366+77.512276122837i</v>
      </c>
      <c r="AK328">
        <f t="shared" si="232"/>
        <v>123.26994857113985</v>
      </c>
      <c r="AL328">
        <f t="shared" si="233"/>
        <v>2.461582300116909</v>
      </c>
      <c r="AM328" t="str">
        <f t="shared" si="215"/>
        <v>1+11004.4777677862i</v>
      </c>
      <c r="AN328">
        <f t="shared" si="234"/>
        <v>11004.477813222251</v>
      </c>
      <c r="AO328">
        <f t="shared" si="235"/>
        <v>1.570705454695525</v>
      </c>
      <c r="AP328" t="str">
        <f t="shared" si="216"/>
        <v>1+74.3545795120693i</v>
      </c>
      <c r="AQ328">
        <f t="shared" si="236"/>
        <v>74.361303743389513</v>
      </c>
      <c r="AR328">
        <f t="shared" si="237"/>
        <v>1.5573480668409971</v>
      </c>
      <c r="AS328" s="42" t="str">
        <f t="shared" si="238"/>
        <v>-0.0508092818306197+0.0645995812917147i</v>
      </c>
      <c r="AT328">
        <f t="shared" si="239"/>
        <v>-21.703946405151587</v>
      </c>
      <c r="AU328" s="44">
        <f t="shared" si="240"/>
        <v>128.18598815427282</v>
      </c>
      <c r="AV328" s="42" t="str">
        <f t="shared" si="217"/>
        <v>0.023326027921113+0.0123727359033881i</v>
      </c>
      <c r="AW328" s="20">
        <f t="shared" si="241"/>
        <v>-31.566499892376136</v>
      </c>
      <c r="AX328" s="44">
        <f t="shared" si="242"/>
        <v>27.942649793938088</v>
      </c>
    </row>
    <row r="329" spans="14:50" x14ac:dyDescent="0.3">
      <c r="N329" s="8">
        <v>11</v>
      </c>
      <c r="O329" s="35">
        <f t="shared" si="244"/>
        <v>12882.49551693136</v>
      </c>
      <c r="P329" s="34" t="str">
        <f t="shared" si="208"/>
        <v>545.10556621881</v>
      </c>
      <c r="Q329" s="4" t="str">
        <f t="shared" si="209"/>
        <v>1+1729.16847585686i</v>
      </c>
      <c r="R329" s="4">
        <f t="shared" si="218"/>
        <v>1729.1687650131598</v>
      </c>
      <c r="S329" s="4">
        <f t="shared" si="219"/>
        <v>1.5702180142114321</v>
      </c>
      <c r="T329" s="4" t="str">
        <f t="shared" si="210"/>
        <v>1+0.040471553275895i</v>
      </c>
      <c r="U329" s="4">
        <f t="shared" si="220"/>
        <v>1.0008186382280075</v>
      </c>
      <c r="V329" s="4">
        <f t="shared" si="221"/>
        <v>4.0449478218470399E-2</v>
      </c>
      <c r="W329" t="str">
        <f t="shared" si="211"/>
        <v>1-0.0420418495429996i</v>
      </c>
      <c r="X329" s="4">
        <f t="shared" si="222"/>
        <v>1.0008833683866449</v>
      </c>
      <c r="Y329" s="4">
        <f t="shared" si="223"/>
        <v>-4.2017105882433341E-2</v>
      </c>
      <c r="Z329" t="str">
        <f t="shared" si="212"/>
        <v>0.9893786437924+0.18205960900561i</v>
      </c>
      <c r="AA329" s="4">
        <f t="shared" si="224"/>
        <v>1.0059899611943273</v>
      </c>
      <c r="AB329" s="4">
        <f t="shared" si="225"/>
        <v>0.18197831275837101</v>
      </c>
      <c r="AC329" s="48" t="str">
        <f t="shared" si="226"/>
        <v>-0.0571132449450679-0.308658362427932i</v>
      </c>
      <c r="AD329" s="20">
        <f t="shared" si="227"/>
        <v>-10.06423109773414</v>
      </c>
      <c r="AE329" s="44">
        <f t="shared" si="228"/>
        <v>-100.48327286268756</v>
      </c>
      <c r="AF329" t="str">
        <f t="shared" si="213"/>
        <v>-0.979317078436135</v>
      </c>
      <c r="AG329" t="str">
        <f t="shared" si="229"/>
        <v>80943.10655179i</v>
      </c>
      <c r="AH329">
        <f t="shared" si="230"/>
        <v>80943.106551789999</v>
      </c>
      <c r="AI329">
        <f t="shared" si="231"/>
        <v>1.5707963267948966</v>
      </c>
      <c r="AJ329" t="str">
        <f t="shared" si="214"/>
        <v>-100.41497217075+79.3177689722301i</v>
      </c>
      <c r="AK329">
        <f t="shared" si="232"/>
        <v>127.96278799238694</v>
      </c>
      <c r="AL329">
        <f t="shared" si="233"/>
        <v>2.4730407688161695</v>
      </c>
      <c r="AM329" t="str">
        <f t="shared" si="215"/>
        <v>1+11260.804983485i</v>
      </c>
      <c r="AN329">
        <f t="shared" si="234"/>
        <v>11260.8050278868</v>
      </c>
      <c r="AO329">
        <f t="shared" si="235"/>
        <v>1.5707075231970333</v>
      </c>
      <c r="AP329" t="str">
        <f t="shared" si="216"/>
        <v>1+76.0865201586828i</v>
      </c>
      <c r="AQ329">
        <f t="shared" si="236"/>
        <v>76.093091341183168</v>
      </c>
      <c r="AR329">
        <f t="shared" si="237"/>
        <v>1.5576541509536348</v>
      </c>
      <c r="AS329" s="42" t="str">
        <f t="shared" si="238"/>
        <v>-0.0493726741385854+0.0642342682559707i</v>
      </c>
      <c r="AT329">
        <f t="shared" si="239"/>
        <v>-21.828511334189045</v>
      </c>
      <c r="AU329" s="44">
        <f t="shared" si="240"/>
        <v>127.54712210235886</v>
      </c>
      <c r="AV329" s="42" t="str">
        <f t="shared" si="217"/>
        <v>0.0226462776833145+0.0115706612515332i</v>
      </c>
      <c r="AW329" s="20">
        <f t="shared" si="241"/>
        <v>-31.892742431923175</v>
      </c>
      <c r="AX329" s="44">
        <f t="shared" si="242"/>
        <v>27.06384923967121</v>
      </c>
    </row>
    <row r="330" spans="14:50" x14ac:dyDescent="0.3">
      <c r="N330" s="8">
        <v>12</v>
      </c>
      <c r="O330" s="35">
        <f t="shared" si="244"/>
        <v>13182.567385564091</v>
      </c>
      <c r="P330" s="34" t="str">
        <f t="shared" si="208"/>
        <v>545.10556621881</v>
      </c>
      <c r="Q330" s="4" t="str">
        <f t="shared" si="209"/>
        <v>1+1769.44598381711i</v>
      </c>
      <c r="R330" s="4">
        <f t="shared" si="218"/>
        <v>1769.4462663914098</v>
      </c>
      <c r="S330" s="4">
        <f t="shared" si="219"/>
        <v>1.5702311782101523</v>
      </c>
      <c r="T330" s="4" t="str">
        <f t="shared" si="210"/>
        <v>1+0.0414142568539405i</v>
      </c>
      <c r="U330" s="4">
        <f t="shared" si="220"/>
        <v>1.0008572029369445</v>
      </c>
      <c r="V330" s="4">
        <f t="shared" si="221"/>
        <v>4.1390604097762747E-2</v>
      </c>
      <c r="W330" t="str">
        <f t="shared" si="211"/>
        <v>1-0.0430211300198733i</v>
      </c>
      <c r="X330" s="4">
        <f t="shared" si="222"/>
        <v>1.0009249810191505</v>
      </c>
      <c r="Y330" s="4">
        <f t="shared" si="223"/>
        <v>-4.2994618033021507E-2</v>
      </c>
      <c r="Z330" t="str">
        <f t="shared" si="212"/>
        <v>0.988878074696004+0.186300322072815i</v>
      </c>
      <c r="AA330" s="4">
        <f t="shared" si="224"/>
        <v>1.0062741458563418</v>
      </c>
      <c r="AB330" s="4">
        <f t="shared" si="225"/>
        <v>0.18621303568378944</v>
      </c>
      <c r="AC330" s="48" t="str">
        <f t="shared" si="226"/>
        <v>-0.0570933950581577-0.301329577389565i</v>
      </c>
      <c r="AD330" s="20">
        <f t="shared" si="227"/>
        <v>-10.265988580315293</v>
      </c>
      <c r="AE330" s="44">
        <f t="shared" si="228"/>
        <v>-100.72874363506702</v>
      </c>
      <c r="AF330" t="str">
        <f t="shared" si="213"/>
        <v>-0.979317078436135</v>
      </c>
      <c r="AG330" t="str">
        <f t="shared" si="229"/>
        <v>82828.5137078811i</v>
      </c>
      <c r="AH330">
        <f t="shared" si="230"/>
        <v>82828.513707881095</v>
      </c>
      <c r="AI330">
        <f t="shared" si="231"/>
        <v>1.5707963267948966</v>
      </c>
      <c r="AJ330" t="str">
        <f t="shared" si="214"/>
        <v>-105.19451255978+81.1653171526269i</v>
      </c>
      <c r="AK330">
        <f t="shared" si="232"/>
        <v>132.86720506270996</v>
      </c>
      <c r="AL330">
        <f t="shared" si="233"/>
        <v>2.4844267530340725</v>
      </c>
      <c r="AM330" t="str">
        <f t="shared" si="215"/>
        <v>1+11523.1028270404i</v>
      </c>
      <c r="AN330">
        <f t="shared" si="234"/>
        <v>11523.10287043149</v>
      </c>
      <c r="AO330">
        <f t="shared" si="235"/>
        <v>1.5707095446136994</v>
      </c>
      <c r="AP330" t="str">
        <f t="shared" si="216"/>
        <v>1+77.8588028854084i</v>
      </c>
      <c r="AQ330">
        <f t="shared" si="236"/>
        <v>77.86522450201295</v>
      </c>
      <c r="AR330">
        <f t="shared" si="237"/>
        <v>1.5579532701208958</v>
      </c>
      <c r="AS330" s="42" t="str">
        <f t="shared" si="238"/>
        <v>-0.0479529296970297+0.0638394377928024i</v>
      </c>
      <c r="AT330">
        <f t="shared" si="239"/>
        <v>-21.955227208995964</v>
      </c>
      <c r="AU330" s="44">
        <f t="shared" si="240"/>
        <v>126.91200734556965</v>
      </c>
      <c r="AV330" s="42" t="str">
        <f t="shared" si="217"/>
        <v>0.0219745063702812+0.0108048257980023i</v>
      </c>
      <c r="AW330" s="20">
        <f t="shared" si="241"/>
        <v>-32.221215789311245</v>
      </c>
      <c r="AX330" s="44">
        <f t="shared" si="242"/>
        <v>26.183263710502501</v>
      </c>
    </row>
    <row r="331" spans="14:50" x14ac:dyDescent="0.3">
      <c r="N331" s="8">
        <v>13</v>
      </c>
      <c r="O331" s="35">
        <f t="shared" si="244"/>
        <v>13489.628825916556</v>
      </c>
      <c r="P331" s="34" t="str">
        <f t="shared" si="208"/>
        <v>545.10556621881</v>
      </c>
      <c r="Q331" s="4" t="str">
        <f t="shared" si="209"/>
        <v>1+1810.66167545938i</v>
      </c>
      <c r="R331" s="4">
        <f t="shared" si="218"/>
        <v>1810.6619516015044</v>
      </c>
      <c r="S331" s="4">
        <f t="shared" si="219"/>
        <v>1.5702440425598676</v>
      </c>
      <c r="T331" s="4" t="str">
        <f t="shared" si="210"/>
        <v>1+0.0423789188191526i</v>
      </c>
      <c r="U331" s="4">
        <f t="shared" si="220"/>
        <v>1.0008975835520237</v>
      </c>
      <c r="V331" s="4">
        <f t="shared" si="221"/>
        <v>4.2353575661654923E-2</v>
      </c>
      <c r="W331" t="str">
        <f t="shared" si="211"/>
        <v>1-0.0440232208693355i</v>
      </c>
      <c r="X331" s="4">
        <f t="shared" si="222"/>
        <v>1.0009685529404559</v>
      </c>
      <c r="Y331" s="4">
        <f t="shared" si="223"/>
        <v>-4.3994814247996221E-2</v>
      </c>
      <c r="Z331" t="str">
        <f t="shared" si="212"/>
        <v>0.988353914504896+0.190639814036759i</v>
      </c>
      <c r="AA331" s="4">
        <f t="shared" si="224"/>
        <v>1.0065719045419066</v>
      </c>
      <c r="AB331" s="4">
        <f t="shared" si="225"/>
        <v>0.19054608781728613</v>
      </c>
      <c r="AC331" s="48" t="str">
        <f t="shared" si="226"/>
        <v>-0.0570718572003212-0.294160737444785i</v>
      </c>
      <c r="AD331" s="20">
        <f t="shared" si="227"/>
        <v>-10.46782977411684</v>
      </c>
      <c r="AE331" s="44">
        <f t="shared" si="228"/>
        <v>-100.97987912307225</v>
      </c>
      <c r="AF331" t="str">
        <f t="shared" si="213"/>
        <v>-0.979317078436135</v>
      </c>
      <c r="AG331" t="str">
        <f t="shared" si="229"/>
        <v>84757.8376383051i</v>
      </c>
      <c r="AH331">
        <f t="shared" si="230"/>
        <v>84757.837638305107</v>
      </c>
      <c r="AI331">
        <f t="shared" si="231"/>
        <v>1.5707963267948966</v>
      </c>
      <c r="AJ331" t="str">
        <f t="shared" si="214"/>
        <v>-110.199305747696+83.055900258528i</v>
      </c>
      <c r="AK331">
        <f t="shared" si="232"/>
        <v>137.9933677936325</v>
      </c>
      <c r="AL331">
        <f t="shared" si="233"/>
        <v>2.4957353659145767</v>
      </c>
      <c r="AM331" t="str">
        <f t="shared" si="215"/>
        <v>1+11791.510372241i</v>
      </c>
      <c r="AN331">
        <f t="shared" si="234"/>
        <v>11791.510414644388</v>
      </c>
      <c r="AO331">
        <f t="shared" si="235"/>
        <v>1.5707115200173054</v>
      </c>
      <c r="AP331" t="str">
        <f t="shared" si="216"/>
        <v>1+79.672367380007i</v>
      </c>
      <c r="AQ331">
        <f t="shared" si="236"/>
        <v>79.678642834418326</v>
      </c>
      <c r="AR331">
        <f t="shared" si="237"/>
        <v>1.5582455827254964</v>
      </c>
      <c r="AS331" s="42" t="str">
        <f t="shared" si="238"/>
        <v>-0.0465512311999101+0.0634160426115607i</v>
      </c>
      <c r="AT331">
        <f t="shared" si="239"/>
        <v>-22.08406773896218</v>
      </c>
      <c r="AU331" s="44">
        <f t="shared" si="240"/>
        <v>126.28093301620102</v>
      </c>
      <c r="AV331" s="42" t="str">
        <f t="shared" si="217"/>
        <v>0.021311275079987+0.0100742731705918i</v>
      </c>
      <c r="AW331" s="20">
        <f t="shared" si="241"/>
        <v>-32.551897513079012</v>
      </c>
      <c r="AX331" s="44">
        <f t="shared" si="242"/>
        <v>25.301053893128856</v>
      </c>
    </row>
    <row r="332" spans="14:50" x14ac:dyDescent="0.3">
      <c r="N332" s="8">
        <v>14</v>
      </c>
      <c r="O332" s="35">
        <f t="shared" si="244"/>
        <v>13803.842646028841</v>
      </c>
      <c r="P332" s="34" t="str">
        <f t="shared" si="208"/>
        <v>545.10556621881</v>
      </c>
      <c r="Q332" s="4" t="str">
        <f t="shared" si="209"/>
        <v>1+1852.83740388891i</v>
      </c>
      <c r="R332" s="4">
        <f t="shared" si="218"/>
        <v>1852.8376737452732</v>
      </c>
      <c r="S332" s="4">
        <f t="shared" si="219"/>
        <v>1.5702566140814094</v>
      </c>
      <c r="T332" s="4" t="str">
        <f t="shared" si="210"/>
        <v>1+0.0433660506480737i</v>
      </c>
      <c r="U332" s="4">
        <f t="shared" si="220"/>
        <v>1.0009398655008257</v>
      </c>
      <c r="V332" s="4">
        <f t="shared" si="221"/>
        <v>4.3338896342527272E-2</v>
      </c>
      <c r="W332" t="str">
        <f t="shared" si="211"/>
        <v>1-0.0450486534132188i</v>
      </c>
      <c r="X332" s="4">
        <f t="shared" si="222"/>
        <v>1.0010141763103779</v>
      </c>
      <c r="Y332" s="4">
        <f t="shared" si="223"/>
        <v>-4.5018216835361058E-2</v>
      </c>
      <c r="Z332" t="str">
        <f t="shared" si="212"/>
        <v>0.987805051405035+0.195080385753521i</v>
      </c>
      <c r="AA332" s="4">
        <f t="shared" si="224"/>
        <v>1.006883894243545</v>
      </c>
      <c r="AB332" s="4">
        <f t="shared" si="225"/>
        <v>0.19497973528931742</v>
      </c>
      <c r="AC332" s="48" t="str">
        <f t="shared" si="226"/>
        <v>-0.0570485862404901-0.287148054428643i</v>
      </c>
      <c r="AD332" s="20">
        <f t="shared" si="227"/>
        <v>-10.669758706157834</v>
      </c>
      <c r="AE332" s="44">
        <f t="shared" si="228"/>
        <v>-101.23681063871273</v>
      </c>
      <c r="AF332" t="str">
        <f t="shared" si="213"/>
        <v>-0.979317078436135</v>
      </c>
      <c r="AG332" t="str">
        <f t="shared" si="229"/>
        <v>86732.1012961474i</v>
      </c>
      <c r="AH332">
        <f t="shared" si="230"/>
        <v>86732.101296147404</v>
      </c>
      <c r="AI332">
        <f t="shared" si="231"/>
        <v>1.5707963267948966</v>
      </c>
      <c r="AJ332" t="str">
        <f t="shared" si="214"/>
        <v>-115.439967571852+84.9905207021208i</v>
      </c>
      <c r="AK332">
        <f t="shared" si="232"/>
        <v>143.35192611963001</v>
      </c>
      <c r="AL332">
        <f t="shared" si="233"/>
        <v>2.506961887114608</v>
      </c>
      <c r="AM332" t="str">
        <f t="shared" si="215"/>
        <v>1+12066.16993232i</v>
      </c>
      <c r="AN332">
        <f t="shared" si="234"/>
        <v>12066.169973758168</v>
      </c>
      <c r="AO332">
        <f t="shared" si="235"/>
        <v>1.5707134504552362</v>
      </c>
      <c r="AP332" t="str">
        <f t="shared" si="216"/>
        <v>1+81.5281752183788i</v>
      </c>
      <c r="AQ332">
        <f t="shared" si="236"/>
        <v>81.534307836877318</v>
      </c>
      <c r="AR332">
        <f t="shared" si="237"/>
        <v>1.558531243555517</v>
      </c>
      <c r="AS332" s="42" t="str">
        <f t="shared" si="238"/>
        <v>-0.0451686937310717+0.0629650888754943i</v>
      </c>
      <c r="AT332">
        <f t="shared" si="239"/>
        <v>-22.215004902582351</v>
      </c>
      <c r="AU332" s="44">
        <f t="shared" si="240"/>
        <v>125.65417849870363</v>
      </c>
      <c r="AV332" s="42" t="str">
        <f t="shared" si="217"/>
        <v>0.0206571128872121+0.00937803322310672i</v>
      </c>
      <c r="AW332" s="20">
        <f t="shared" si="241"/>
        <v>-32.884763608740187</v>
      </c>
      <c r="AX332" s="44">
        <f t="shared" si="242"/>
        <v>24.417367859990893</v>
      </c>
    </row>
    <row r="333" spans="14:50" x14ac:dyDescent="0.3">
      <c r="N333" s="8">
        <v>15</v>
      </c>
      <c r="O333" s="35">
        <f t="shared" si="244"/>
        <v>14125.375446227561</v>
      </c>
      <c r="P333" s="34" t="str">
        <f t="shared" si="208"/>
        <v>545.10556621881</v>
      </c>
      <c r="Q333" s="4" t="str">
        <f t="shared" si="209"/>
        <v>1+1895.99553123519i</v>
      </c>
      <c r="R333" s="4">
        <f t="shared" si="218"/>
        <v>1895.9957949488733</v>
      </c>
      <c r="S333" s="4">
        <f t="shared" si="219"/>
        <v>1.5702688994403491</v>
      </c>
      <c r="T333" s="4" t="str">
        <f t="shared" si="210"/>
        <v>1+0.0443761757310661i</v>
      </c>
      <c r="U333" s="4">
        <f t="shared" si="220"/>
        <v>1.0009841382222369</v>
      </c>
      <c r="V333" s="4">
        <f t="shared" si="221"/>
        <v>4.4347080913245421E-2</v>
      </c>
      <c r="W333" t="str">
        <f t="shared" si="211"/>
        <v>1-0.0460979713494314i</v>
      </c>
      <c r="X333" s="4">
        <f t="shared" si="222"/>
        <v>1.0010619476148981</v>
      </c>
      <c r="Y333" s="4">
        <f t="shared" si="223"/>
        <v>-4.6065359836924058E-2</v>
      </c>
      <c r="Z333" t="str">
        <f t="shared" si="212"/>
        <v>0.987230321184199+0.199624391673005i</v>
      </c>
      <c r="AA333" s="4">
        <f t="shared" si="224"/>
        <v>1.0072108045569577</v>
      </c>
      <c r="AB333" s="4">
        <f t="shared" si="225"/>
        <v>0.19951629503332333</v>
      </c>
      <c r="AC333" s="48" t="str">
        <f t="shared" si="226"/>
        <v>-0.0570235334332722-0.280287823909943i</v>
      </c>
      <c r="AD333" s="20">
        <f t="shared" si="227"/>
        <v>-10.87177960080192</v>
      </c>
      <c r="AE333" s="44">
        <f t="shared" si="228"/>
        <v>-101.49967241843407</v>
      </c>
      <c r="AF333" t="str">
        <f t="shared" si="213"/>
        <v>-0.979317078436135</v>
      </c>
      <c r="AG333" t="str">
        <f t="shared" si="229"/>
        <v>88752.3514621323i</v>
      </c>
      <c r="AH333">
        <f t="shared" si="230"/>
        <v>88752.351462132297</v>
      </c>
      <c r="AI333">
        <f t="shared" si="231"/>
        <v>1.5707963267948966</v>
      </c>
      <c r="AJ333" t="str">
        <f t="shared" si="214"/>
        <v>-120.927614178608+86.9702042447727i</v>
      </c>
      <c r="AK333">
        <f t="shared" si="232"/>
        <v>148.95403417600934</v>
      </c>
      <c r="AL333">
        <f t="shared" si="233"/>
        <v>2.5181017716698806</v>
      </c>
      <c r="AM333" t="str">
        <f t="shared" si="215"/>
        <v>1+12347.2271354118i</v>
      </c>
      <c r="AN333">
        <f t="shared" si="234"/>
        <v>12347.227175906723</v>
      </c>
      <c r="AO333">
        <f t="shared" si="235"/>
        <v>1.5707153369510356</v>
      </c>
      <c r="AP333" t="str">
        <f t="shared" si="216"/>
        <v>1+83.4272103744046i</v>
      </c>
      <c r="AQ333">
        <f t="shared" si="236"/>
        <v>83.433203407607223</v>
      </c>
      <c r="AR333">
        <f t="shared" si="237"/>
        <v>1.5588104038855193</v>
      </c>
      <c r="AS333" s="42" t="str">
        <f t="shared" si="238"/>
        <v>-0.0438063620662644+0.0624876306513912i</v>
      </c>
      <c r="AT333">
        <f t="shared" si="239"/>
        <v>-22.348009051387507</v>
      </c>
      <c r="AU333" s="44">
        <f t="shared" si="240"/>
        <v>125.03201292638731</v>
      </c>
      <c r="AV333" s="42" t="str">
        <f t="shared" si="217"/>
        <v>0.0200125155684424+0.00871512440134875i</v>
      </c>
      <c r="AW333" s="20">
        <f t="shared" si="241"/>
        <v>-33.219788652189408</v>
      </c>
      <c r="AX333" s="44">
        <f t="shared" si="242"/>
        <v>23.53234050795318</v>
      </c>
    </row>
    <row r="334" spans="14:50" x14ac:dyDescent="0.3">
      <c r="N334" s="8">
        <v>16</v>
      </c>
      <c r="O334" s="35">
        <f t="shared" si="244"/>
        <v>14454.397707459291</v>
      </c>
      <c r="P334" s="34" t="str">
        <f t="shared" si="208"/>
        <v>545.10556621881</v>
      </c>
      <c r="Q334" s="4" t="str">
        <f t="shared" si="209"/>
        <v>1+1940.15894050859i</v>
      </c>
      <c r="R334" s="4">
        <f t="shared" si="218"/>
        <v>1940.1591982194179</v>
      </c>
      <c r="S334" s="4">
        <f t="shared" si="219"/>
        <v>1.5702809051505313</v>
      </c>
      <c r="T334" s="4" t="str">
        <f t="shared" si="210"/>
        <v>1+0.0454098296498193i</v>
      </c>
      <c r="U334" s="4">
        <f t="shared" si="220"/>
        <v>1.0010304953540754</v>
      </c>
      <c r="V334" s="4">
        <f t="shared" si="221"/>
        <v>4.5378655723903712E-2</v>
      </c>
      <c r="W334" t="str">
        <f t="shared" si="211"/>
        <v>1-0.0471717310402321i</v>
      </c>
      <c r="X334" s="4">
        <f t="shared" si="222"/>
        <v>1.001111967868396</v>
      </c>
      <c r="Y334" s="4">
        <f t="shared" si="223"/>
        <v>-4.7136789270928799E-2</v>
      </c>
      <c r="Z334" t="str">
        <f t="shared" si="212"/>
        <v>0.986628504762534+0.204274241087294i</v>
      </c>
      <c r="AA334" s="4">
        <f t="shared" si="224"/>
        <v>1.0075533593719708</v>
      </c>
      <c r="AB334" s="4">
        <f t="shared" si="225"/>
        <v>0.20415813579796016</v>
      </c>
      <c r="AC334" s="48" t="str">
        <f t="shared" si="226"/>
        <v>-0.0569966463227354-0.273576423296915i</v>
      </c>
      <c r="AD334" s="20">
        <f t="shared" si="227"/>
        <v>-11.073896889729472</v>
      </c>
      <c r="AE334" s="44">
        <f t="shared" si="228"/>
        <v>-101.7686016816549</v>
      </c>
      <c r="AF334" t="str">
        <f t="shared" si="213"/>
        <v>-0.979317078436135</v>
      </c>
      <c r="AG334" t="str">
        <f t="shared" si="229"/>
        <v>90819.6592996385i</v>
      </c>
      <c r="AH334">
        <f t="shared" si="230"/>
        <v>90819.659299638501</v>
      </c>
      <c r="AI334">
        <f t="shared" si="231"/>
        <v>1.5707963267948966</v>
      </c>
      <c r="AJ334" t="str">
        <f t="shared" si="214"/>
        <v>-126.673885602156+88.9960005409018i</v>
      </c>
      <c r="AK334">
        <f t="shared" si="232"/>
        <v>154.81137363199224</v>
      </c>
      <c r="AL334">
        <f t="shared" si="233"/>
        <v>2.5291506578860607</v>
      </c>
      <c r="AM334" t="str">
        <f t="shared" si="215"/>
        <v>1+12634.8310017657i</v>
      </c>
      <c r="AN334">
        <f t="shared" si="234"/>
        <v>12634.831041338844</v>
      </c>
      <c r="AO334">
        <f t="shared" si="235"/>
        <v>1.5707171805049485</v>
      </c>
      <c r="AP334" t="str">
        <f t="shared" si="216"/>
        <v>1+85.3704797416604i</v>
      </c>
      <c r="AQ334">
        <f t="shared" si="236"/>
        <v>85.376336366239386</v>
      </c>
      <c r="AR334">
        <f t="shared" si="237"/>
        <v>1.5590832115558648</v>
      </c>
      <c r="AS334" s="42" t="str">
        <f t="shared" si="238"/>
        <v>-0.0424652084907887+0.0619847642468422i</v>
      </c>
      <c r="AT334">
        <f t="shared" si="239"/>
        <v>-22.483049017550464</v>
      </c>
      <c r="AU334" s="44">
        <f t="shared" si="240"/>
        <v>124.41469473386812</v>
      </c>
      <c r="AV334" s="42" t="str">
        <f t="shared" si="217"/>
        <v>0.0193779445709243+0.00808455616829236i</v>
      </c>
      <c r="AW334" s="20">
        <f t="shared" si="241"/>
        <v>-33.556945907279932</v>
      </c>
      <c r="AX334" s="44">
        <f t="shared" si="242"/>
        <v>22.646093052213203</v>
      </c>
    </row>
    <row r="335" spans="14:50" x14ac:dyDescent="0.3">
      <c r="N335" s="8">
        <v>17</v>
      </c>
      <c r="O335" s="35">
        <f t="shared" si="244"/>
        <v>14791.083881682089</v>
      </c>
      <c r="P335" s="34" t="str">
        <f t="shared" si="208"/>
        <v>545.10556621881</v>
      </c>
      <c r="Q335" s="4" t="str">
        <f t="shared" si="209"/>
        <v>1+1985.35104773329i</v>
      </c>
      <c r="R335" s="4">
        <f t="shared" si="218"/>
        <v>1985.3512995779042</v>
      </c>
      <c r="S335" s="4">
        <f t="shared" si="219"/>
        <v>1.5702926375775292</v>
      </c>
      <c r="T335" s="4" t="str">
        <f t="shared" si="210"/>
        <v>1+0.0464675604613229i</v>
      </c>
      <c r="U335" s="4">
        <f t="shared" si="220"/>
        <v>1.0010790349294238</v>
      </c>
      <c r="V335" s="4">
        <f t="shared" si="221"/>
        <v>4.6434158942148057E-2</v>
      </c>
      <c r="W335" t="str">
        <f t="shared" si="211"/>
        <v>1-0.048270501807222i</v>
      </c>
      <c r="X335" s="4">
        <f t="shared" si="222"/>
        <v>1.001164342825253</v>
      </c>
      <c r="Y335" s="4">
        <f t="shared" si="223"/>
        <v>-4.823306337817309E-2</v>
      </c>
      <c r="Z335" t="str">
        <f t="shared" si="212"/>
        <v>0.985998325606723+0.209032399408098i</v>
      </c>
      <c r="AA335" s="4">
        <f t="shared" si="224"/>
        <v>1.007912318657515</v>
      </c>
      <c r="AB335" s="4">
        <f t="shared" si="225"/>
        <v>0.20890767916725272</v>
      </c>
      <c r="AC335" s="48" t="str">
        <f t="shared" si="226"/>
        <v>-0.0569678686391794-0.267010309991484i</v>
      </c>
      <c r="AD335" s="20">
        <f t="shared" si="227"/>
        <v>-11.276115222437832</v>
      </c>
      <c r="AE335" s="44">
        <f t="shared" si="228"/>
        <v>-102.04373868974683</v>
      </c>
      <c r="AF335" t="str">
        <f t="shared" si="213"/>
        <v>-0.979317078436135</v>
      </c>
      <c r="AG335" t="str">
        <f t="shared" si="229"/>
        <v>92935.1209226457i</v>
      </c>
      <c r="AH335">
        <f t="shared" si="230"/>
        <v>92935.120922645699</v>
      </c>
      <c r="AI335">
        <f t="shared" si="231"/>
        <v>1.5707963267948966</v>
      </c>
      <c r="AJ335" t="str">
        <f t="shared" si="214"/>
        <v>-132.690970454602+91.068983694519i</v>
      </c>
      <c r="AK335">
        <f t="shared" si="232"/>
        <v>160.93617813076284</v>
      </c>
      <c r="AL335">
        <f t="shared" si="233"/>
        <v>2.5401043742405238</v>
      </c>
      <c r="AM335" t="str">
        <f t="shared" si="215"/>
        <v>1+12929.1340227585i</v>
      </c>
      <c r="AN335">
        <f t="shared" si="234"/>
        <v>12929.13406143085</v>
      </c>
      <c r="AO335">
        <f t="shared" si="235"/>
        <v>1.5707189820944514</v>
      </c>
      <c r="AP335" t="str">
        <f t="shared" si="216"/>
        <v>1+87.3590136672872i</v>
      </c>
      <c r="AQ335">
        <f t="shared" si="236"/>
        <v>87.364736987650076</v>
      </c>
      <c r="AR335">
        <f t="shared" si="237"/>
        <v>1.5593498110502706</v>
      </c>
      <c r="AS335" s="42" t="str">
        <f t="shared" si="238"/>
        <v>-0.0411461311309416+0.0614576224875512i</v>
      </c>
      <c r="AT335">
        <f t="shared" si="239"/>
        <v>-22.620092224391357</v>
      </c>
      <c r="AU335" s="44">
        <f t="shared" si="240"/>
        <v>123.80247126609872</v>
      </c>
      <c r="AV335" s="42" t="str">
        <f t="shared" si="217"/>
        <v>0.0187538262250186+0.00748533146347587i</v>
      </c>
      <c r="AW335" s="20">
        <f t="shared" si="241"/>
        <v>-33.89620744682918</v>
      </c>
      <c r="AX335" s="44">
        <f t="shared" si="242"/>
        <v>21.758732576351864</v>
      </c>
    </row>
    <row r="336" spans="14:50" x14ac:dyDescent="0.3">
      <c r="N336" s="8">
        <v>18</v>
      </c>
      <c r="O336" s="35">
        <f t="shared" si="244"/>
        <v>15135.612484362096</v>
      </c>
      <c r="P336" s="34" t="str">
        <f t="shared" si="208"/>
        <v>545.10556621881</v>
      </c>
      <c r="Q336" s="4" t="str">
        <f t="shared" si="209"/>
        <v>1+2031.59581436273i</v>
      </c>
      <c r="R336" s="4">
        <f t="shared" si="218"/>
        <v>2031.5960604746615</v>
      </c>
      <c r="S336" s="4">
        <f t="shared" si="219"/>
        <v>1.5703041029420175</v>
      </c>
      <c r="T336" s="4" t="str">
        <f t="shared" si="210"/>
        <v>1+0.0475499289884539i</v>
      </c>
      <c r="U336" s="4">
        <f t="shared" si="220"/>
        <v>1.0011298595820659</v>
      </c>
      <c r="V336" s="4">
        <f t="shared" si="221"/>
        <v>4.7514140797024249E-2</v>
      </c>
      <c r="W336" t="str">
        <f t="shared" si="211"/>
        <v>1-0.0493948662332058i</v>
      </c>
      <c r="X336" s="4">
        <f t="shared" si="222"/>
        <v>1.0012191832012591</v>
      </c>
      <c r="Y336" s="4">
        <f t="shared" si="223"/>
        <v>-4.9354752871541466E-2</v>
      </c>
      <c r="Z336" t="str">
        <f t="shared" si="212"/>
        <v>0.985338447022286+0.213901389473938i</v>
      </c>
      <c r="AA336" s="4">
        <f t="shared" si="224"/>
        <v>1.0082884803463599</v>
      </c>
      <c r="AB336" s="4">
        <f t="shared" si="225"/>
        <v>0.21376740058729951</v>
      </c>
      <c r="AC336" s="48" t="str">
        <f t="shared" si="226"/>
        <v>-0.0569371401887935-0.26058601959163i</v>
      </c>
      <c r="AD336" s="20">
        <f t="shared" si="227"/>
        <v>-11.478439477296664</v>
      </c>
      <c r="AE336" s="44">
        <f t="shared" si="228"/>
        <v>-102.32522680537969</v>
      </c>
      <c r="AF336" t="str">
        <f t="shared" si="213"/>
        <v>-0.979317078436135</v>
      </c>
      <c r="AG336" t="str">
        <f t="shared" si="229"/>
        <v>95099.8579769078i</v>
      </c>
      <c r="AH336">
        <f t="shared" si="230"/>
        <v>95099.857976907806</v>
      </c>
      <c r="AI336">
        <f t="shared" si="231"/>
        <v>1.5707963267948966</v>
      </c>
      <c r="AJ336" t="str">
        <f t="shared" si="214"/>
        <v>-138.991631779643+93.1902528287316i</v>
      </c>
      <c r="AK336">
        <f t="shared" si="232"/>
        <v>167.34125889048042</v>
      </c>
      <c r="AL336">
        <f t="shared" si="233"/>
        <v>2.5509589452886612</v>
      </c>
      <c r="AM336" t="str">
        <f t="shared" si="215"/>
        <v>1+13230.2922417474i</v>
      </c>
      <c r="AN336">
        <f t="shared" si="234"/>
        <v>13230.292279539459</v>
      </c>
      <c r="AO336">
        <f t="shared" si="235"/>
        <v>1.5707207426747711</v>
      </c>
      <c r="AP336" t="str">
        <f t="shared" si="216"/>
        <v>1+89.3938664982936i</v>
      </c>
      <c r="AQ336">
        <f t="shared" si="236"/>
        <v>89.399459548225124</v>
      </c>
      <c r="AR336">
        <f t="shared" si="237"/>
        <v>1.5596103435716411</v>
      </c>
      <c r="AS336" s="42" t="str">
        <f t="shared" si="238"/>
        <v>-0.0398499527918086+0.060907368985386i</v>
      </c>
      <c r="AT336">
        <f t="shared" si="239"/>
        <v>-22.759104799011762</v>
      </c>
      <c r="AU336" s="44">
        <f t="shared" si="240"/>
        <v>123.19557844433783</v>
      </c>
      <c r="AV336" s="42" t="str">
        <f t="shared" si="217"/>
        <v>0.0181405511963244+0.00691644917248027i</v>
      </c>
      <c r="AW336" s="20">
        <f t="shared" si="241"/>
        <v>-34.237544276308448</v>
      </c>
      <c r="AX336" s="44">
        <f t="shared" si="242"/>
        <v>20.870351638958176</v>
      </c>
    </row>
    <row r="337" spans="14:50" x14ac:dyDescent="0.3">
      <c r="N337" s="8">
        <v>19</v>
      </c>
      <c r="O337" s="35">
        <f t="shared" si="244"/>
        <v>15488.166189124853</v>
      </c>
      <c r="P337" s="34" t="str">
        <f t="shared" si="208"/>
        <v>545.10556621881</v>
      </c>
      <c r="Q337" s="4" t="str">
        <f t="shared" si="209"/>
        <v>1+2078.9177599843i</v>
      </c>
      <c r="R337" s="4">
        <f t="shared" si="218"/>
        <v>2078.9180004940404</v>
      </c>
      <c r="S337" s="4">
        <f t="shared" si="219"/>
        <v>1.5703153073230725</v>
      </c>
      <c r="T337" s="4" t="str">
        <f t="shared" si="210"/>
        <v>1+0.0486575091173324i</v>
      </c>
      <c r="U337" s="4">
        <f t="shared" si="220"/>
        <v>1.0011830767614398</v>
      </c>
      <c r="V337" s="4">
        <f t="shared" si="221"/>
        <v>4.8619163826288538E-2</v>
      </c>
      <c r="W337" t="str">
        <f t="shared" si="211"/>
        <v>1-0.0505454204710848i</v>
      </c>
      <c r="X337" s="4">
        <f t="shared" si="222"/>
        <v>1.0012766049052573</v>
      </c>
      <c r="Y337" s="4">
        <f t="shared" si="223"/>
        <v>-5.0502441188871317E-2</v>
      </c>
      <c r="Z337" t="str">
        <f t="shared" si="212"/>
        <v>0.984647469318275+0.218883792887797i</v>
      </c>
      <c r="AA337" s="4">
        <f t="shared" si="224"/>
        <v>1.0086826823257307</v>
      </c>
      <c r="AB337" s="4">
        <f t="shared" si="225"/>
        <v>0.21873983039805431</v>
      </c>
      <c r="AC337" s="48" t="str">
        <f t="shared" si="226"/>
        <v>-0.0569043967360811-0.254300164141254i</v>
      </c>
      <c r="AD337" s="20">
        <f t="shared" si="227"/>
        <v>-11.680874773191247</v>
      </c>
      <c r="AE337" s="44">
        <f t="shared" si="228"/>
        <v>-102.6132125521453</v>
      </c>
      <c r="AF337" t="str">
        <f t="shared" si="213"/>
        <v>-0.979317078436135</v>
      </c>
      <c r="AG337" t="str">
        <f t="shared" si="229"/>
        <v>97315.0182346649i</v>
      </c>
      <c r="AH337">
        <f t="shared" si="230"/>
        <v>97315.018234664894</v>
      </c>
      <c r="AI337">
        <f t="shared" si="231"/>
        <v>1.5707963267948966</v>
      </c>
      <c r="AJ337" t="str">
        <f t="shared" si="214"/>
        <v>-145.589234124694+95.3609326685129i</v>
      </c>
      <c r="AK337">
        <f t="shared" si="232"/>
        <v>174.04003152270346</v>
      </c>
      <c r="AL337">
        <f t="shared" si="233"/>
        <v>2.5617105965774414</v>
      </c>
      <c r="AM337" t="str">
        <f t="shared" si="215"/>
        <v>1+13538.4653368066i</v>
      </c>
      <c r="AN337">
        <f t="shared" si="234"/>
        <v>13538.465373738405</v>
      </c>
      <c r="AO337">
        <f t="shared" si="235"/>
        <v>1.5707224631793903</v>
      </c>
      <c r="AP337" t="str">
        <f t="shared" si="216"/>
        <v>1+91.4761171405852i</v>
      </c>
      <c r="AQ337">
        <f t="shared" si="236"/>
        <v>91.481582884852102</v>
      </c>
      <c r="AR337">
        <f t="shared" si="237"/>
        <v>1.5598649471162132</v>
      </c>
      <c r="AS337" s="42" t="str">
        <f t="shared" si="238"/>
        <v>-0.0385774202886315+0.0603351924454683i</v>
      </c>
      <c r="AT337">
        <f t="shared" si="239"/>
        <v>-22.900051686306035</v>
      </c>
      <c r="AU337" s="44">
        <f t="shared" si="240"/>
        <v>122.59424048890057</v>
      </c>
      <c r="AV337" s="42" t="str">
        <f t="shared" si="217"/>
        <v>0.0175384741715356+0.0063769065834804i</v>
      </c>
      <c r="AW337" s="20">
        <f t="shared" si="241"/>
        <v>-34.58092645949727</v>
      </c>
      <c r="AX337" s="44">
        <f t="shared" si="242"/>
        <v>19.981027936755229</v>
      </c>
    </row>
    <row r="338" spans="14:50" x14ac:dyDescent="0.3">
      <c r="N338" s="8">
        <v>20</v>
      </c>
      <c r="O338" s="35">
        <f t="shared" si="244"/>
        <v>15848.931924611146</v>
      </c>
      <c r="P338" s="34" t="str">
        <f t="shared" si="208"/>
        <v>545.10556621881</v>
      </c>
      <c r="Q338" s="4" t="str">
        <f t="shared" si="209"/>
        <v>1+2127.34197531993i</v>
      </c>
      <c r="R338" s="4">
        <f t="shared" si="218"/>
        <v>2127.342210355001</v>
      </c>
      <c r="S338" s="4">
        <f t="shared" si="219"/>
        <v>1.5703262566613938</v>
      </c>
      <c r="T338" s="4" t="str">
        <f t="shared" si="210"/>
        <v>1+0.0497908881016031i</v>
      </c>
      <c r="U338" s="4">
        <f t="shared" si="220"/>
        <v>1.0012387989575446</v>
      </c>
      <c r="V338" s="4">
        <f t="shared" si="221"/>
        <v>4.9749803127106161E-2</v>
      </c>
      <c r="W338" t="str">
        <f t="shared" si="211"/>
        <v>1-0.0517227745599452i</v>
      </c>
      <c r="X338" s="4">
        <f t="shared" si="222"/>
        <v>1.0013367292815034</v>
      </c>
      <c r="Y338" s="4">
        <f t="shared" si="223"/>
        <v>-5.1676724749057067E-2</v>
      </c>
      <c r="Z338" t="str">
        <f t="shared" si="212"/>
        <v>0.983923926838339+0.223982251385915i</v>
      </c>
      <c r="AA338" s="4">
        <f t="shared" si="224"/>
        <v>1.0090958045403222</v>
      </c>
      <c r="AB338" s="4">
        <f t="shared" si="225"/>
        <v>0.22382755486843628</v>
      </c>
      <c r="AC338" s="48" t="str">
        <f t="shared" si="226"/>
        <v>-0.0568695698789493-0.248149430427161i</v>
      </c>
      <c r="AD338" s="20">
        <f t="shared" si="227"/>
        <v>-11.883426481783857</v>
      </c>
      <c r="AE338" s="44">
        <f t="shared" si="228"/>
        <v>-102.90784567435966</v>
      </c>
      <c r="AF338" t="str">
        <f t="shared" si="213"/>
        <v>-0.979317078436135</v>
      </c>
      <c r="AG338" t="str">
        <f t="shared" si="229"/>
        <v>99581.7762032062i</v>
      </c>
      <c r="AH338">
        <f t="shared" si="230"/>
        <v>99581.776203206202</v>
      </c>
      <c r="AI338">
        <f t="shared" si="231"/>
        <v>1.5707963267948966</v>
      </c>
      <c r="AJ338" t="str">
        <f t="shared" si="214"/>
        <v>-152.497771888884+97.5821741370459i</v>
      </c>
      <c r="AK338">
        <f t="shared" si="232"/>
        <v>181.04654412715766</v>
      </c>
      <c r="AL338">
        <f t="shared" si="233"/>
        <v>2.5723557585769976</v>
      </c>
      <c r="AM338" t="str">
        <f t="shared" si="215"/>
        <v>1+13853.81670539i</v>
      </c>
      <c r="AN338">
        <f t="shared" si="234"/>
        <v>13853.816741481136</v>
      </c>
      <c r="AO338">
        <f t="shared" si="235"/>
        <v>1.5707241445205438</v>
      </c>
      <c r="AP338" t="str">
        <f t="shared" si="216"/>
        <v>1+93.6068696310141i</v>
      </c>
      <c r="AQ338">
        <f t="shared" si="236"/>
        <v>93.612210966933532</v>
      </c>
      <c r="AR338">
        <f t="shared" si="237"/>
        <v>1.5601137565460468</v>
      </c>
      <c r="AS338" s="42" t="str">
        <f t="shared" si="238"/>
        <v>-0.0373292042542201+0.0597423010576905i</v>
      </c>
      <c r="AT338">
        <f t="shared" si="239"/>
        <v>-23.04289676361789</v>
      </c>
      <c r="AU338" s="44">
        <f t="shared" si="240"/>
        <v>121.99866969807755</v>
      </c>
      <c r="AV338" s="42" t="str">
        <f t="shared" si="217"/>
        <v>0.0169479137697348+0.00586570180925432i</v>
      </c>
      <c r="AW338" s="20">
        <f t="shared" si="241"/>
        <v>-34.926323245401754</v>
      </c>
      <c r="AX338" s="44">
        <f t="shared" si="242"/>
        <v>19.090824023717907</v>
      </c>
    </row>
    <row r="339" spans="14:50" x14ac:dyDescent="0.3">
      <c r="N339" s="8">
        <v>21</v>
      </c>
      <c r="O339" s="35">
        <f t="shared" si="244"/>
        <v>16218.100973589309</v>
      </c>
      <c r="P339" s="34" t="str">
        <f t="shared" ref="P339:P402" si="245">COMPLEX(Adc,0)</f>
        <v>545.10556621881</v>
      </c>
      <c r="Q339" s="4" t="str">
        <f t="shared" ref="Q339:Q402" si="246">IMSUM(COMPLEX(1,0),IMDIV(COMPLEX(0,2*PI()*O339),COMPLEX(wp_lf,0)))</f>
        <v>1+2176.89413552958i</v>
      </c>
      <c r="R339" s="4">
        <f t="shared" si="218"/>
        <v>2176.8943652146004</v>
      </c>
      <c r="S339" s="4">
        <f t="shared" si="219"/>
        <v>1.5703369567624552</v>
      </c>
      <c r="T339" s="4" t="str">
        <f t="shared" ref="T339:T402" si="247">IMSUM(COMPLEX(1,0),IMDIV(COMPLEX(0,2*PI()*O339),COMPLEX(wz_esr,0)))</f>
        <v>1+0.0509506668738055i</v>
      </c>
      <c r="U339" s="4">
        <f t="shared" si="220"/>
        <v>1.001297143936247</v>
      </c>
      <c r="V339" s="4">
        <f t="shared" si="221"/>
        <v>5.0906646610052467E-2</v>
      </c>
      <c r="W339" t="str">
        <f t="shared" ref="W339:W402" si="248">IMSUB(COMPLEX(1,0),IMDIV(COMPLEX(0,2*PI()*O339),COMPLEX(wz_rhp,0)))</f>
        <v>1-0.052927552748509i</v>
      </c>
      <c r="X339" s="4">
        <f t="shared" si="222"/>
        <v>1.0013996833632144</v>
      </c>
      <c r="Y339" s="4">
        <f t="shared" si="223"/>
        <v>-5.2878213211282721E-2</v>
      </c>
      <c r="Z339" t="str">
        <f t="shared" ref="Z339:Z402" si="249">IMSUM(COMPLEX(1,0),IMDIV(COMPLEX(0,2*PI()*O339),COMPLEX(Q*(wsl/2),0)),IMDIV(IMPOWER(COMPLEX(0,2*PI()*O339),2),IMPOWER(COMPLEX(wsl/2,0),2)))</f>
        <v>0.98316628485187+0.229199468238472i</v>
      </c>
      <c r="AA339" s="4">
        <f t="shared" si="224"/>
        <v>1.0095287712146823</v>
      </c>
      <c r="AB339" s="4">
        <f t="shared" si="225"/>
        <v>0.22903321723284484</v>
      </c>
      <c r="AC339" s="48" t="str">
        <f t="shared" si="226"/>
        <v>-0.0568325869163333-0.242130578322676i</v>
      </c>
      <c r="AD339" s="20">
        <f t="shared" si="227"/>
        <v>-12.086100240430353</v>
      </c>
      <c r="AE339" s="44">
        <f t="shared" si="228"/>
        <v>-103.20927919693072</v>
      </c>
      <c r="AF339" t="str">
        <f t="shared" ref="AF339:AF402" si="250">COMPLEX(Adc_ea_iso,0)</f>
        <v>-0.979317078436135</v>
      </c>
      <c r="AG339" t="str">
        <f t="shared" si="229"/>
        <v>101901.333747611i</v>
      </c>
      <c r="AH339">
        <f t="shared" si="230"/>
        <v>101901.333747611</v>
      </c>
      <c r="AI339">
        <f t="shared" si="231"/>
        <v>1.5707963267948966</v>
      </c>
      <c r="AJ339" t="str">
        <f t="shared" ref="AJ339:AJ402" si="251">IMSUM(IMPRODUCT(COMPLEX(wpA_ea_iso,0),IMPOWER(COMPLEX(0,2*PI()*O339),2)),COMPLEX(0,wpB_ea_iso*2*PI()*O339),COMPLEX(1,0))</f>
        <v>-159.731899007054+99.8551549659593i</v>
      </c>
      <c r="AK339">
        <f t="shared" si="232"/>
        <v>188.37550672440261</v>
      </c>
      <c r="AL339">
        <f t="shared" si="233"/>
        <v>2.5828910696486105</v>
      </c>
      <c r="AM339" t="str">
        <f t="shared" ref="AM339:AM402" si="252">IMSUM(COMPLEX(1,0),IMDIV(COMPLEX(0,2*PI()*O339),COMPLEX(wz1_ea_iso,0)))</f>
        <v>1+14176.5135509676i</v>
      </c>
      <c r="AN339">
        <f t="shared" si="234"/>
        <v>14176.513586237203</v>
      </c>
      <c r="AO339">
        <f t="shared" si="235"/>
        <v>1.5707257875897003</v>
      </c>
      <c r="AP339" t="str">
        <f t="shared" ref="AP339:AP402" si="253">IMSUM(COMPLEX(1,0),IMDIV(COMPLEX(0,2*PI()*O339),COMPLEX(wz2_ea_iso,0)))</f>
        <v>1+95.7872537227546i</v>
      </c>
      <c r="AQ339">
        <f t="shared" si="236"/>
        <v>95.792473481726987</v>
      </c>
      <c r="AR339">
        <f t="shared" si="237"/>
        <v>1.5603569036599019</v>
      </c>
      <c r="AS339" s="42" t="str">
        <f t="shared" si="238"/>
        <v>-0.0361058994006023+0.0591299170146444i</v>
      </c>
      <c r="AT339">
        <f t="shared" si="239"/>
        <v>-23.187602955341706</v>
      </c>
      <c r="AU339" s="44">
        <f t="shared" si="240"/>
        <v>121.40906628216942</v>
      </c>
      <c r="AV339" s="42" t="str">
        <f t="shared" ref="AV339:AV402" si="254">IMPRODUCT(AC339,AS339)</f>
        <v>0.0163691526688048+0.00538183615463784i</v>
      </c>
      <c r="AW339" s="20">
        <f t="shared" si="241"/>
        <v>-35.273703195772065</v>
      </c>
      <c r="AX339" s="44">
        <f t="shared" si="242"/>
        <v>18.19978708523869</v>
      </c>
    </row>
    <row r="340" spans="14:50" x14ac:dyDescent="0.3">
      <c r="N340" s="8">
        <v>22</v>
      </c>
      <c r="O340" s="35">
        <f t="shared" si="244"/>
        <v>16595.869074375616</v>
      </c>
      <c r="P340" s="34" t="str">
        <f t="shared" si="245"/>
        <v>545.10556621881</v>
      </c>
      <c r="Q340" s="4" t="str">
        <f t="shared" si="246"/>
        <v>1+2227.6005138245i</v>
      </c>
      <c r="R340" s="4">
        <f t="shared" ref="R340:R403" si="255">IMABS(Q340)</f>
        <v>2227.6007382812518</v>
      </c>
      <c r="S340" s="4">
        <f t="shared" ref="S340:S403" si="256">IMARGUMENT(Q340)</f>
        <v>1.5703474132995821</v>
      </c>
      <c r="T340" s="4" t="str">
        <f t="shared" si="247"/>
        <v>1+0.0521374603639965i</v>
      </c>
      <c r="U340" s="4">
        <f t="shared" ref="U340:U403" si="257">IMABS(T340)</f>
        <v>1.0013582349854657</v>
      </c>
      <c r="V340" s="4">
        <f t="shared" ref="V340:V403" si="258">IMARGUMENT(T340)</f>
        <v>5.2090295256315283E-2</v>
      </c>
      <c r="W340" t="str">
        <f t="shared" si="248"/>
        <v>1-0.0541603938261194i</v>
      </c>
      <c r="X340" s="4">
        <f t="shared" ref="X340:X403" si="259">IMABS(W340)</f>
        <v>1.0014656001378182</v>
      </c>
      <c r="Y340" s="4">
        <f t="shared" ref="Y340:Y403" si="260">IMARGUMENT(W340)</f>
        <v>-5.4107529737258672E-2</v>
      </c>
      <c r="Z340" t="str">
        <f t="shared" si="249"/>
        <v>0.982372936298636+0.234538209682904i</v>
      </c>
      <c r="AA340" s="4">
        <f t="shared" ref="AA340:AA403" si="261">IMABS(Z340)</f>
        <v>1.0099825532024134</v>
      </c>
      <c r="AB340" s="4">
        <f t="shared" ref="AB340:AB403" si="262">IMARGUMENT(Z340)</f>
        <v>0.23435951872689059</v>
      </c>
      <c r="AC340" s="48" t="str">
        <f t="shared" ref="AC340:AC403" si="263">(IMDIV(IMPRODUCT(P340,T340,W340),IMPRODUCT(Q340,Z340)))</f>
        <v>-0.0567933707082741-0.236240439177641i</v>
      </c>
      <c r="AD340" s="20">
        <f t="shared" ref="AD340:AD403" si="264">20*LOG(IMABS(AC340))</f>
        <v>-12.288901965785135</v>
      </c>
      <c r="AE340" s="44">
        <f t="shared" ref="AE340:AE403" si="265">(180/PI())*IMARGUMENT(AC340)</f>
        <v>-103.51766948516634</v>
      </c>
      <c r="AF340" t="str">
        <f t="shared" si="250"/>
        <v>-0.979317078436135</v>
      </c>
      <c r="AG340" t="str">
        <f t="shared" ref="AG340:AG403" si="266">COMPLEX(0,1*2*PI()*O340)</f>
        <v>104274.920727993i</v>
      </c>
      <c r="AH340">
        <f t="shared" ref="AH340:AH403" si="267">IMABS(AG340)</f>
        <v>104274.920727993</v>
      </c>
      <c r="AI340">
        <f t="shared" ref="AI340:AI403" si="268">IMARGUMENT(AG340)</f>
        <v>1.5707963267948966</v>
      </c>
      <c r="AJ340" t="str">
        <f t="shared" si="251"/>
        <v>-167.306960032721+102.181080319775i</v>
      </c>
      <c r="AK340">
        <f t="shared" ref="AK340:AK403" si="269">IMABS(AJ340)</f>
        <v>196.04232209068226</v>
      </c>
      <c r="AL340">
        <f t="shared" ref="AL340:AL403" si="270">IMARGUMENT(AJ340)</f>
        <v>2.5933133780744173</v>
      </c>
      <c r="AM340" t="str">
        <f t="shared" si="252"/>
        <v>1+14506.7269716784i</v>
      </c>
      <c r="AN340">
        <f t="shared" ref="AN340:AN403" si="271">IMABS(AM340)</f>
        <v>14506.727006145165</v>
      </c>
      <c r="AO340">
        <f t="shared" ref="AO340:AO403" si="272">IMARGUMENT(AM340)</f>
        <v>1.570727393258037</v>
      </c>
      <c r="AP340" t="str">
        <f t="shared" si="253"/>
        <v>1+98.0184254843137i</v>
      </c>
      <c r="AQ340">
        <f t="shared" ref="AQ340:AQ403" si="273">IMABS(AP340)</f>
        <v>98.023526433320868</v>
      </c>
      <c r="AR340">
        <f t="shared" ref="AR340:AR403" si="274">IMARGUMENT(AP340)</f>
        <v>1.5605945172625306</v>
      </c>
      <c r="AS340" s="42" t="str">
        <f t="shared" ref="AS340:AS403" si="275">IMDIV(IMPRODUCT(AF340,AM340,AP340),IMPRODUCT(AG340,AJ340))</f>
        <v>-0.0349080252094263+0.0584992711941769i</v>
      </c>
      <c r="AT340">
        <f t="shared" ref="AT340:AT403" si="276">20*LOG(IMABS(AS340))</f>
        <v>-23.334132346803493</v>
      </c>
      <c r="AU340" s="44">
        <f t="shared" ref="AU340:AU403" si="277">(180/PI())*IMARGUMENT(AS340)</f>
        <v>120.8256182511915</v>
      </c>
      <c r="AV340" s="42" t="str">
        <f t="shared" si="254"/>
        <v>0.015802437934897+0.00492431641120428i</v>
      </c>
      <c r="AW340" s="20">
        <f t="shared" ref="AW340:AW403" si="278">20*LOG(IMABS(AV340))</f>
        <v>-35.623034312588629</v>
      </c>
      <c r="AX340" s="44">
        <f t="shared" ref="AX340:AX403" si="279">(180/PI())*IMARGUMENT(AV340)</f>
        <v>17.307948766025177</v>
      </c>
    </row>
    <row r="341" spans="14:50" x14ac:dyDescent="0.3">
      <c r="N341" s="8">
        <v>23</v>
      </c>
      <c r="O341" s="35">
        <f t="shared" si="244"/>
        <v>16982.436524617482</v>
      </c>
      <c r="P341" s="34" t="str">
        <f t="shared" si="245"/>
        <v>545.10556621881</v>
      </c>
      <c r="Q341" s="4" t="str">
        <f t="shared" si="246"/>
        <v>1+2279.48799539763i</v>
      </c>
      <c r="R341" s="4">
        <f t="shared" si="255"/>
        <v>2279.4882147451226</v>
      </c>
      <c r="S341" s="4">
        <f t="shared" si="256"/>
        <v>1.5703576318169594</v>
      </c>
      <c r="T341" s="4" t="str">
        <f t="shared" si="247"/>
        <v>1+0.0533518978257935i</v>
      </c>
      <c r="U341" s="4">
        <f t="shared" si="257"/>
        <v>1.001422201172719</v>
      </c>
      <c r="V341" s="4">
        <f t="shared" si="258"/>
        <v>5.3301363377983045E-2</v>
      </c>
      <c r="W341" t="str">
        <f t="shared" si="248"/>
        <v>1-0.0554219514614341i</v>
      </c>
      <c r="X341" s="4">
        <f t="shared" si="259"/>
        <v>1.0015346188244287</v>
      </c>
      <c r="Y341" s="4">
        <f t="shared" si="260"/>
        <v>-5.536531125631964E-2</v>
      </c>
      <c r="Z341" t="str">
        <f t="shared" si="249"/>
        <v>0.981542198379989+0.240001306390592i</v>
      </c>
      <c r="AA341" s="4">
        <f t="shared" si="261"/>
        <v>1.0104581704701152</v>
      </c>
      <c r="AB341" s="4">
        <f t="shared" si="262"/>
        <v>0.2398092196198606</v>
      </c>
      <c r="AC341" s="48" t="str">
        <f t="shared" si="263"/>
        <v>-0.0567518395283265-0.230475914254454i</v>
      </c>
      <c r="AD341" s="20">
        <f t="shared" si="264"/>
        <v>-12.491837868134905</v>
      </c>
      <c r="AE341" s="44">
        <f t="shared" si="265"/>
        <v>-103.83317630437821</v>
      </c>
      <c r="AF341" t="str">
        <f t="shared" si="250"/>
        <v>-0.979317078436135</v>
      </c>
      <c r="AG341" t="str">
        <f t="shared" si="266"/>
        <v>106703.795651587i</v>
      </c>
      <c r="AH341">
        <f t="shared" si="267"/>
        <v>106703.795651587</v>
      </c>
      <c r="AI341">
        <f t="shared" si="268"/>
        <v>1.5707963267948966</v>
      </c>
      <c r="AJ341" t="str">
        <f t="shared" si="251"/>
        <v>-175.239022685926+104.561183434903i</v>
      </c>
      <c r="AK341">
        <f t="shared" si="269"/>
        <v>204.0631180620984</v>
      </c>
      <c r="AL341">
        <f t="shared" si="270"/>
        <v>2.6036197431803969</v>
      </c>
      <c r="AM341" t="str">
        <f t="shared" si="252"/>
        <v>1+14844.6320510488i</v>
      </c>
      <c r="AN341">
        <f t="shared" si="271"/>
        <v>14844.632084731009</v>
      </c>
      <c r="AO341">
        <f t="shared" si="272"/>
        <v>1.5707289623769003</v>
      </c>
      <c r="AP341" t="str">
        <f t="shared" si="253"/>
        <v>1+100.301567912492i</v>
      </c>
      <c r="AQ341">
        <f t="shared" si="273"/>
        <v>100.30655275556151</v>
      </c>
      <c r="AR341">
        <f t="shared" si="274"/>
        <v>1.5608267232324231</v>
      </c>
      <c r="AS341" s="42" t="str">
        <f t="shared" si="275"/>
        <v>-0.0337360270225362+0.0578515980407487i</v>
      </c>
      <c r="AT341">
        <f t="shared" si="276"/>
        <v>-23.482446296795946</v>
      </c>
      <c r="AU341" s="44">
        <f t="shared" si="277"/>
        <v>120.24850135443909</v>
      </c>
      <c r="AV341" s="42" t="str">
        <f t="shared" si="254"/>
        <v>0.015247981541429+0.00449215706286618i</v>
      </c>
      <c r="AW341" s="20">
        <f t="shared" si="278"/>
        <v>-35.97428416493085</v>
      </c>
      <c r="AX341" s="44">
        <f t="shared" si="279"/>
        <v>16.415325050060872</v>
      </c>
    </row>
    <row r="342" spans="14:50" x14ac:dyDescent="0.3">
      <c r="N342" s="8">
        <v>24</v>
      </c>
      <c r="O342" s="35">
        <f t="shared" si="244"/>
        <v>17378.008287493791</v>
      </c>
      <c r="P342" s="34" t="str">
        <f t="shared" si="245"/>
        <v>545.10556621881</v>
      </c>
      <c r="Q342" s="4" t="str">
        <f t="shared" si="246"/>
        <v>1+2332.58409167848i</v>
      </c>
      <c r="R342" s="4">
        <f t="shared" si="255"/>
        <v>2332.5843060330144</v>
      </c>
      <c r="S342" s="4">
        <f t="shared" si="256"/>
        <v>1.5703676177325723</v>
      </c>
      <c r="T342" s="4" t="str">
        <f t="shared" si="247"/>
        <v>1+0.054594623170013i</v>
      </c>
      <c r="U342" s="4">
        <f t="shared" si="257"/>
        <v>1.001489177614554</v>
      </c>
      <c r="V342" s="4">
        <f t="shared" si="258"/>
        <v>5.4540478881290905E-2</v>
      </c>
      <c r="W342" t="str">
        <f t="shared" si="248"/>
        <v>1-0.0567128945490093i</v>
      </c>
      <c r="X342" s="4">
        <f t="shared" si="259"/>
        <v>1.0016068851640982</v>
      </c>
      <c r="Y342" s="4">
        <f t="shared" si="260"/>
        <v>-5.6652208733228446E-2</v>
      </c>
      <c r="Z342" t="str">
        <f t="shared" si="249"/>
        <v>0.980672308989427+0.245591654967717i</v>
      </c>
      <c r="AA342" s="4">
        <f t="shared" si="261"/>
        <v>1.0109566947245743</v>
      </c>
      <c r="AB342" s="4">
        <f t="shared" si="262"/>
        <v>0.24538514024116234</v>
      </c>
      <c r="AC342" s="48" t="str">
        <f t="shared" si="263"/>
        <v>-0.0567079069082146-0.224833973209983i</v>
      </c>
      <c r="AD342" s="20">
        <f t="shared" si="264"/>
        <v>-12.694914466500084</v>
      </c>
      <c r="AE342" s="44">
        <f t="shared" si="265"/>
        <v>-104.15596287912199</v>
      </c>
      <c r="AF342" t="str">
        <f t="shared" si="250"/>
        <v>-0.979317078436135</v>
      </c>
      <c r="AG342" t="str">
        <f t="shared" si="266"/>
        <v>109189.246340026i</v>
      </c>
      <c r="AH342">
        <f t="shared" si="267"/>
        <v>109189.246340026</v>
      </c>
      <c r="AI342">
        <f t="shared" si="268"/>
        <v>1.5707963267948966</v>
      </c>
      <c r="AJ342" t="str">
        <f t="shared" si="251"/>
        <v>-183.544911935022+106.996726273518i</v>
      </c>
      <c r="AK342">
        <f t="shared" si="269"/>
        <v>212.454781378262</v>
      </c>
      <c r="AL342">
        <f t="shared" si="270"/>
        <v>2.6138074355898602</v>
      </c>
      <c r="AM342" t="str">
        <f t="shared" si="252"/>
        <v>1+15190.4079508244i</v>
      </c>
      <c r="AN342">
        <f t="shared" si="271"/>
        <v>15190.407983739908</v>
      </c>
      <c r="AO342">
        <f t="shared" si="272"/>
        <v>1.5707304957782582</v>
      </c>
      <c r="AP342" t="str">
        <f t="shared" si="253"/>
        <v>1+102.637891559625i</v>
      </c>
      <c r="AQ342">
        <f t="shared" si="273"/>
        <v>102.64276293926106</v>
      </c>
      <c r="AR342">
        <f t="shared" si="274"/>
        <v>1.5610536445880365</v>
      </c>
      <c r="AS342" s="42" t="str">
        <f t="shared" si="275"/>
        <v>-0.0325902775016401+0.0571881306755147i</v>
      </c>
      <c r="AT342">
        <f t="shared" si="276"/>
        <v>-23.632505548189123</v>
      </c>
      <c r="AU342" s="44">
        <f t="shared" si="277"/>
        <v>119.67787906978353</v>
      </c>
      <c r="AV342" s="42" t="str">
        <f t="shared" si="254"/>
        <v>0.0147059610629036+0.00408438238810776i</v>
      </c>
      <c r="AW342" s="20">
        <f t="shared" si="278"/>
        <v>-36.327420014689189</v>
      </c>
      <c r="AX342" s="44">
        <f t="shared" si="279"/>
        <v>15.521916190661495</v>
      </c>
    </row>
    <row r="343" spans="14:50" x14ac:dyDescent="0.3">
      <c r="N343" s="8">
        <v>25</v>
      </c>
      <c r="O343" s="35">
        <f t="shared" si="244"/>
        <v>17782.794100389234</v>
      </c>
      <c r="P343" s="34" t="str">
        <f t="shared" si="245"/>
        <v>545.10556621881</v>
      </c>
      <c r="Q343" s="4" t="str">
        <f t="shared" si="246"/>
        <v>1+2386.91695492015i</v>
      </c>
      <c r="R343" s="4">
        <f t="shared" si="255"/>
        <v>2386.9171643953805</v>
      </c>
      <c r="S343" s="4">
        <f t="shared" si="256"/>
        <v>1.5703773763410771</v>
      </c>
      <c r="T343" s="4" t="str">
        <f t="shared" si="247"/>
        <v>1+0.0558662953060825i</v>
      </c>
      <c r="U343" s="4">
        <f t="shared" si="257"/>
        <v>1.0015593057583891</v>
      </c>
      <c r="V343" s="4">
        <f t="shared" si="258"/>
        <v>5.5808283532678499E-2</v>
      </c>
      <c r="W343" t="str">
        <f t="shared" si="248"/>
        <v>1-0.0580339075639583i</v>
      </c>
      <c r="X343" s="4">
        <f t="shared" si="259"/>
        <v>1.00168255172342</v>
      </c>
      <c r="Y343" s="4">
        <f t="shared" si="260"/>
        <v>-5.7968887438508185E-2</v>
      </c>
      <c r="Z343" t="str">
        <f t="shared" si="249"/>
        <v>0.979761422974922+0.251312219491097i</v>
      </c>
      <c r="AA343" s="4">
        <f t="shared" si="261"/>
        <v>1.011479252192246</v>
      </c>
      <c r="AB343" s="4">
        <f t="shared" si="262"/>
        <v>0.25109016199766643</v>
      </c>
      <c r="AC343" s="48" t="str">
        <f t="shared" si="263"/>
        <v>-0.056661481474663-0.219311652623201i</v>
      </c>
      <c r="AD343" s="20">
        <f t="shared" si="264"/>
        <v>-12.898138604546769</v>
      </c>
      <c r="AE343" s="44">
        <f t="shared" si="265"/>
        <v>-104.48619595189696</v>
      </c>
      <c r="AF343" t="str">
        <f t="shared" si="250"/>
        <v>-0.979317078436135</v>
      </c>
      <c r="AG343" t="str">
        <f t="shared" si="266"/>
        <v>111732.590612165i</v>
      </c>
      <c r="AH343">
        <f t="shared" si="267"/>
        <v>111732.590612165</v>
      </c>
      <c r="AI343">
        <f t="shared" si="268"/>
        <v>1.5707963267948966</v>
      </c>
      <c r="AJ343" t="str">
        <f t="shared" si="251"/>
        <v>-192.242245684699+109.489000192673i</v>
      </c>
      <c r="AK343">
        <f t="shared" si="269"/>
        <v>221.23499313871511</v>
      </c>
      <c r="AL343">
        <f t="shared" si="270"/>
        <v>2.62387393664938</v>
      </c>
      <c r="AM343" t="str">
        <f t="shared" si="252"/>
        <v>1+15544.2380059644i</v>
      </c>
      <c r="AN343">
        <f t="shared" si="271"/>
        <v>15544.238038130659</v>
      </c>
      <c r="AO343">
        <f t="shared" si="272"/>
        <v>1.5707319942751401</v>
      </c>
      <c r="AP343" t="str">
        <f t="shared" si="253"/>
        <v>1+105.028635175435i</v>
      </c>
      <c r="AQ343">
        <f t="shared" si="273"/>
        <v>105.03339567401704</v>
      </c>
      <c r="AR343">
        <f t="shared" si="274"/>
        <v>1.5612754015525447</v>
      </c>
      <c r="AS343" s="42" t="str">
        <f t="shared" si="275"/>
        <v>-0.0314710784241097+0.0565100962607012i</v>
      </c>
      <c r="AT343">
        <f t="shared" si="276"/>
        <v>-23.784270336085434</v>
      </c>
      <c r="AU343" s="44">
        <f t="shared" si="277"/>
        <v>119.11390264029998</v>
      </c>
      <c r="AV343" s="42" t="str">
        <f t="shared" si="254"/>
        <v>0.0141765205279459+0.00370002844661872i</v>
      </c>
      <c r="AW343" s="20">
        <f t="shared" si="278"/>
        <v>-36.682408940632207</v>
      </c>
      <c r="AX343" s="44">
        <f t="shared" si="279"/>
        <v>14.627706688403046</v>
      </c>
    </row>
    <row r="344" spans="14:50" x14ac:dyDescent="0.3">
      <c r="N344" s="8">
        <v>26</v>
      </c>
      <c r="O344" s="35">
        <f t="shared" si="244"/>
        <v>18197.008586099837</v>
      </c>
      <c r="P344" s="34" t="str">
        <f t="shared" si="245"/>
        <v>545.10556621881</v>
      </c>
      <c r="Q344" s="4" t="str">
        <f t="shared" si="246"/>
        <v>1+2442.51539312591i</v>
      </c>
      <c r="R344" s="4">
        <f t="shared" si="255"/>
        <v>2442.5155978329017</v>
      </c>
      <c r="S344" s="4">
        <f t="shared" si="256"/>
        <v>1.5703869128166097</v>
      </c>
      <c r="T344" s="4" t="str">
        <f t="shared" si="247"/>
        <v>1+0.0571675884914015i</v>
      </c>
      <c r="U344" s="4">
        <f t="shared" si="257"/>
        <v>1.0016327336773305</v>
      </c>
      <c r="V344" s="4">
        <f t="shared" si="258"/>
        <v>5.7105433227489455E-2</v>
      </c>
      <c r="W344" t="str">
        <f t="shared" si="248"/>
        <v>1-0.0593856909248677i</v>
      </c>
      <c r="X344" s="4">
        <f t="shared" si="259"/>
        <v>1.0017617782120778</v>
      </c>
      <c r="Y344" s="4">
        <f t="shared" si="260"/>
        <v>-5.9316027221099847E-2</v>
      </c>
      <c r="Z344" t="str">
        <f t="shared" si="249"/>
        <v>0.978807608225114+0.257166033079762i</v>
      </c>
      <c r="AA344" s="4">
        <f t="shared" si="261"/>
        <v>1.0120270265607285</v>
      </c>
      <c r="AB344" s="4">
        <f t="shared" si="262"/>
        <v>0.25692722837841175</v>
      </c>
      <c r="AC344" s="48" t="str">
        <f t="shared" si="263"/>
        <v>-0.0566124667783184-0.213906054568516i</v>
      </c>
      <c r="AD344" s="20">
        <f t="shared" si="264"/>
        <v>-13.101517467352522</v>
      </c>
      <c r="AE344" s="44">
        <f t="shared" si="265"/>
        <v>-104.82404584109814</v>
      </c>
      <c r="AF344" t="str">
        <f t="shared" si="250"/>
        <v>-0.979317078436135</v>
      </c>
      <c r="AG344" t="str">
        <f t="shared" si="266"/>
        <v>114335.176982803i</v>
      </c>
      <c r="AH344">
        <f t="shared" si="267"/>
        <v>114335.17698280299</v>
      </c>
      <c r="AI344">
        <f t="shared" si="268"/>
        <v>1.5707963267948966</v>
      </c>
      <c r="AJ344" t="str">
        <f t="shared" si="251"/>
        <v>-201.349472145915+112.039326628989i</v>
      </c>
      <c r="AK344">
        <f t="shared" si="269"/>
        <v>230.4222659486619</v>
      </c>
      <c r="AL344">
        <f t="shared" si="270"/>
        <v>2.6338169370731817</v>
      </c>
      <c r="AM344" t="str">
        <f t="shared" si="252"/>
        <v>1+15906.3098218476i</v>
      </c>
      <c r="AN344">
        <f t="shared" si="271"/>
        <v>15906.309853281666</v>
      </c>
      <c r="AO344">
        <f t="shared" si="272"/>
        <v>1.5707334586620687</v>
      </c>
      <c r="AP344" t="str">
        <f t="shared" si="253"/>
        <v>1+107.475066363835i</v>
      </c>
      <c r="AQ344">
        <f t="shared" si="273"/>
        <v>107.47971850498463</v>
      </c>
      <c r="AR344">
        <f t="shared" si="274"/>
        <v>1.5614921116171341</v>
      </c>
      <c r="AS344" s="42" t="str">
        <f t="shared" si="275"/>
        <v>-0.0303786627806393+0.0558187116394908i</v>
      </c>
      <c r="AT344">
        <f t="shared" si="276"/>
        <v>-23.937700493037298</v>
      </c>
      <c r="AU344" s="44">
        <f t="shared" si="277"/>
        <v>118.55671115558881</v>
      </c>
      <c r="AV344" s="42" t="str">
        <f t="shared" si="254"/>
        <v>0.0136597714153399+0.00333814494017477i</v>
      </c>
      <c r="AW344" s="20">
        <f t="shared" si="278"/>
        <v>-37.039217960389792</v>
      </c>
      <c r="AX344" s="44">
        <f t="shared" si="279"/>
        <v>13.732665314490644</v>
      </c>
    </row>
    <row r="345" spans="14:50" x14ac:dyDescent="0.3">
      <c r="N345" s="8">
        <v>27</v>
      </c>
      <c r="O345" s="35">
        <f t="shared" si="244"/>
        <v>18620.871366628675</v>
      </c>
      <c r="P345" s="34" t="str">
        <f t="shared" si="245"/>
        <v>545.10556621881</v>
      </c>
      <c r="Q345" s="4" t="str">
        <f t="shared" si="246"/>
        <v>1+2499.40888532361i</v>
      </c>
      <c r="R345" s="4">
        <f t="shared" si="255"/>
        <v>2499.4090853709026</v>
      </c>
      <c r="S345" s="4">
        <f t="shared" si="256"/>
        <v>1.5703962322155289</v>
      </c>
      <c r="T345" s="4" t="str">
        <f t="shared" si="247"/>
        <v>1+0.058499192688841i</v>
      </c>
      <c r="U345" s="4">
        <f t="shared" si="257"/>
        <v>1.0017096163785422</v>
      </c>
      <c r="V345" s="4">
        <f t="shared" si="258"/>
        <v>5.8432598261132195E-2</v>
      </c>
      <c r="W345" t="str">
        <f t="shared" si="248"/>
        <v>1-0.0607689613651679i</v>
      </c>
      <c r="X345" s="4">
        <f t="shared" si="259"/>
        <v>1.0018447318149661</v>
      </c>
      <c r="Y345" s="4">
        <f t="shared" si="260"/>
        <v>-6.0694322783129577E-2</v>
      </c>
      <c r="Z345" t="str">
        <f t="shared" si="249"/>
        <v>0.977808841571038+0.263156199503161i</v>
      </c>
      <c r="AA345" s="4">
        <f t="shared" si="261"/>
        <v>1.0126012620925586</v>
      </c>
      <c r="AB345" s="4">
        <f t="shared" si="262"/>
        <v>0.26289934594285641</v>
      </c>
      <c r="AC345" s="48" t="str">
        <f t="shared" si="263"/>
        <v>-0.0565607611147359-0.208614345234778i</v>
      </c>
      <c r="AD345" s="20">
        <f t="shared" si="264"/>
        <v>-13.305058599073831</v>
      </c>
      <c r="AE345" s="44">
        <f t="shared" si="265"/>
        <v>-105.16968649800333</v>
      </c>
      <c r="AF345" t="str">
        <f t="shared" si="250"/>
        <v>-0.979317078436135</v>
      </c>
      <c r="AG345" t="str">
        <f t="shared" si="266"/>
        <v>116998.385377682i</v>
      </c>
      <c r="AH345">
        <f t="shared" si="267"/>
        <v>116998.385377682</v>
      </c>
      <c r="AI345">
        <f t="shared" si="268"/>
        <v>1.5707963267948966</v>
      </c>
      <c r="AJ345" t="str">
        <f t="shared" si="251"/>
        <v>-210.885908967017+114.649057799299i</v>
      </c>
      <c r="AK345">
        <f t="shared" si="269"/>
        <v>240.03598283405762</v>
      </c>
      <c r="AL345">
        <f t="shared" si="270"/>
        <v>2.6436343348553035</v>
      </c>
      <c r="AM345" t="str">
        <f t="shared" si="252"/>
        <v>1+16276.8153737431i</v>
      </c>
      <c r="AN345">
        <f t="shared" si="271"/>
        <v>16276.815404461639</v>
      </c>
      <c r="AO345">
        <f t="shared" si="272"/>
        <v>1.5707348897154816</v>
      </c>
      <c r="AP345" t="str">
        <f t="shared" si="253"/>
        <v>1+109.978482255021i</v>
      </c>
      <c r="AQ345">
        <f t="shared" si="273"/>
        <v>109.98302850493785</v>
      </c>
      <c r="AR345">
        <f t="shared" si="274"/>
        <v>1.5617038896028832</v>
      </c>
      <c r="AS345" s="42" t="str">
        <f t="shared" si="275"/>
        <v>-0.0293131971397355+0.0551151792682843i</v>
      </c>
      <c r="AT345">
        <f t="shared" si="276"/>
        <v>-24.092755550900829</v>
      </c>
      <c r="AU345" s="44">
        <f t="shared" si="277"/>
        <v>118.00643167497024</v>
      </c>
      <c r="AV345" s="42" t="str">
        <f t="shared" si="254"/>
        <v>0.0131557937764803+0.00299779693965462i</v>
      </c>
      <c r="AW345" s="20">
        <f t="shared" si="278"/>
        <v>-37.39781414997465</v>
      </c>
      <c r="AX345" s="44">
        <f t="shared" si="279"/>
        <v>12.836745176966891</v>
      </c>
    </row>
    <row r="346" spans="14:50" x14ac:dyDescent="0.3">
      <c r="N346" s="8">
        <v>28</v>
      </c>
      <c r="O346" s="35">
        <f t="shared" si="244"/>
        <v>19054.607179632505</v>
      </c>
      <c r="P346" s="34" t="str">
        <f t="shared" si="245"/>
        <v>545.10556621881</v>
      </c>
      <c r="Q346" s="4" t="str">
        <f t="shared" si="246"/>
        <v>1+2557.62759719592i</v>
      </c>
      <c r="R346" s="4">
        <f t="shared" si="255"/>
        <v>2557.6277926895805</v>
      </c>
      <c r="S346" s="4">
        <f t="shared" si="256"/>
        <v>1.5704053394790969</v>
      </c>
      <c r="T346" s="4" t="str">
        <f t="shared" si="247"/>
        <v>1+0.059861813932573i</v>
      </c>
      <c r="U346" s="4">
        <f t="shared" si="257"/>
        <v>1.0017901161257772</v>
      </c>
      <c r="V346" s="4">
        <f t="shared" si="258"/>
        <v>5.9790463602498553E-2</v>
      </c>
      <c r="W346" t="str">
        <f t="shared" si="248"/>
        <v>1-0.0621844523131567i</v>
      </c>
      <c r="X346" s="4">
        <f t="shared" si="259"/>
        <v>1.0019315875395323</v>
      </c>
      <c r="Y346" s="4">
        <f t="shared" si="260"/>
        <v>-6.2104483956544221E-2</v>
      </c>
      <c r="Z346" t="str">
        <f t="shared" si="249"/>
        <v>0.976763004494713+0.269285894826823i</v>
      </c>
      <c r="AA346" s="4">
        <f t="shared" si="261"/>
        <v>1.0132032669223987</v>
      </c>
      <c r="AB346" s="4">
        <f t="shared" si="262"/>
        <v>0.26900958528830882</v>
      </c>
      <c r="AC346" s="48" t="str">
        <f t="shared" si="263"/>
        <v>-0.0565062573373929-0.203433753590082i</v>
      </c>
      <c r="AD346" s="20">
        <f t="shared" si="264"/>
        <v>-13.508769921563568</v>
      </c>
      <c r="AE346" s="44">
        <f t="shared" si="265"/>
        <v>-105.52329556254037</v>
      </c>
      <c r="AF346" t="str">
        <f t="shared" si="250"/>
        <v>-0.979317078436135</v>
      </c>
      <c r="AG346" t="str">
        <f t="shared" si="266"/>
        <v>119723.627865146i</v>
      </c>
      <c r="AH346">
        <f t="shared" si="267"/>
        <v>119723.627865146</v>
      </c>
      <c r="AI346">
        <f t="shared" si="268"/>
        <v>1.5707963267948966</v>
      </c>
      <c r="AJ346" t="str">
        <f t="shared" si="251"/>
        <v>-220.871784209082+117.319577417614i</v>
      </c>
      <c r="AK346">
        <f t="shared" si="269"/>
        <v>250.09643800972216</v>
      </c>
      <c r="AL346">
        <f t="shared" si="270"/>
        <v>2.6533242325014799</v>
      </c>
      <c r="AM346" t="str">
        <f t="shared" si="252"/>
        <v>1+16655.9511085991i</v>
      </c>
      <c r="AN346">
        <f t="shared" si="271"/>
        <v>16655.951138618399</v>
      </c>
      <c r="AO346">
        <f t="shared" si="272"/>
        <v>1.570736288194142</v>
      </c>
      <c r="AP346" t="str">
        <f t="shared" si="253"/>
        <v>1+112.540210193238i</v>
      </c>
      <c r="AQ346">
        <f t="shared" si="273"/>
        <v>112.54465296200522</v>
      </c>
      <c r="AR346">
        <f t="shared" si="274"/>
        <v>1.561910847721254</v>
      </c>
      <c r="AS346" s="42" t="str">
        <f t="shared" si="275"/>
        <v>-0.0282747842437785+0.0544006834540282i</v>
      </c>
      <c r="AT346">
        <f t="shared" si="276"/>
        <v>-24.249394838948817</v>
      </c>
      <c r="AU346" s="44">
        <f t="shared" si="277"/>
        <v>117.46317938957414</v>
      </c>
      <c r="AV346" s="42" t="str">
        <f t="shared" si="254"/>
        <v>0.012664637467557+0.0026780664720782i</v>
      </c>
      <c r="AW346" s="20">
        <f t="shared" si="278"/>
        <v>-37.758164760512408</v>
      </c>
      <c r="AX346" s="44">
        <f t="shared" si="279"/>
        <v>11.939883827033796</v>
      </c>
    </row>
    <row r="347" spans="14:50" x14ac:dyDescent="0.3">
      <c r="N347" s="8">
        <v>29</v>
      </c>
      <c r="O347" s="35">
        <f t="shared" si="244"/>
        <v>19498.445997580486</v>
      </c>
      <c r="P347" s="34" t="str">
        <f t="shared" si="245"/>
        <v>545.10556621881</v>
      </c>
      <c r="Q347" s="4" t="str">
        <f t="shared" si="246"/>
        <v>1+2617.20239707443i</v>
      </c>
      <c r="R347" s="4">
        <f t="shared" si="255"/>
        <v>2617.2025881181116</v>
      </c>
      <c r="S347" s="4">
        <f t="shared" si="256"/>
        <v>1.5704142394360991</v>
      </c>
      <c r="T347" s="4" t="str">
        <f t="shared" si="247"/>
        <v>1+0.061256174702416i</v>
      </c>
      <c r="U347" s="4">
        <f t="shared" si="257"/>
        <v>1.0018744027767017</v>
      </c>
      <c r="V347" s="4">
        <f t="shared" si="258"/>
        <v>6.1179729169404423E-2</v>
      </c>
      <c r="W347" t="str">
        <f t="shared" si="248"/>
        <v>1-0.0636329142808696i</v>
      </c>
      <c r="X347" s="4">
        <f t="shared" si="259"/>
        <v>1.0020225285790119</v>
      </c>
      <c r="Y347" s="4">
        <f t="shared" si="260"/>
        <v>-6.3547235981338254E-2</v>
      </c>
      <c r="Z347" t="str">
        <f t="shared" si="249"/>
        <v>0.975667878635484+0.275558369096339i</v>
      </c>
      <c r="AA347" s="4">
        <f t="shared" si="261"/>
        <v>1.0138344165494184</v>
      </c>
      <c r="AB347" s="4">
        <f t="shared" si="262"/>
        <v>0.27526108199170518</v>
      </c>
      <c r="AC347" s="48" t="str">
        <f t="shared" si="263"/>
        <v>-0.056448842662748-0.198361570092575i</v>
      </c>
      <c r="AD347" s="20">
        <f t="shared" si="264"/>
        <v>-13.712659753988557</v>
      </c>
      <c r="AE347" s="44">
        <f t="shared" si="265"/>
        <v>-105.8850544175571</v>
      </c>
      <c r="AF347" t="str">
        <f t="shared" si="250"/>
        <v>-0.979317078436135</v>
      </c>
      <c r="AG347" t="str">
        <f t="shared" si="266"/>
        <v>122512.349404832i</v>
      </c>
      <c r="AH347">
        <f t="shared" si="267"/>
        <v>122512.349404832</v>
      </c>
      <c r="AI347">
        <f t="shared" si="268"/>
        <v>1.5707963267948966</v>
      </c>
      <c r="AJ347" t="str">
        <f t="shared" si="251"/>
        <v>-231.328279252314+120.052301428783i</v>
      </c>
      <c r="AK347">
        <f t="shared" si="269"/>
        <v>260.62487958785505</v>
      </c>
      <c r="AL347">
        <f t="shared" si="270"/>
        <v>2.6628849336343516</v>
      </c>
      <c r="AM347" t="str">
        <f t="shared" si="252"/>
        <v>1+17043.9180492002i</v>
      </c>
      <c r="AN347">
        <f t="shared" si="271"/>
        <v>17043.918078536179</v>
      </c>
      <c r="AO347">
        <f t="shared" si="272"/>
        <v>1.570737654839542</v>
      </c>
      <c r="AP347" t="str">
        <f t="shared" si="253"/>
        <v>1+115.161608440542i</v>
      </c>
      <c r="AQ347">
        <f t="shared" si="273"/>
        <v>115.16595008340232</v>
      </c>
      <c r="AR347">
        <f t="shared" si="274"/>
        <v>1.5621130956332245</v>
      </c>
      <c r="AS347" s="42" t="str">
        <f t="shared" si="275"/>
        <v>-0.0272634658016537+0.0536763869052463i</v>
      </c>
      <c r="AT347">
        <f t="shared" si="276"/>
        <v>-24.407577577921419</v>
      </c>
      <c r="AU347" s="44">
        <f t="shared" si="277"/>
        <v>116.92705782025951</v>
      </c>
      <c r="AV347" s="42" t="str">
        <f t="shared" si="254"/>
        <v>0.0121863234748999+0.00237805396346222i</v>
      </c>
      <c r="AW347" s="20">
        <f t="shared" si="278"/>
        <v>-38.120237331910012</v>
      </c>
      <c r="AX347" s="44">
        <f t="shared" si="279"/>
        <v>11.042003402702459</v>
      </c>
    </row>
    <row r="348" spans="14:50" x14ac:dyDescent="0.3">
      <c r="N348" s="8">
        <v>30</v>
      </c>
      <c r="O348" s="35">
        <f t="shared" si="244"/>
        <v>19952.623149688792</v>
      </c>
      <c r="P348" s="34" t="str">
        <f t="shared" si="245"/>
        <v>545.10556621881</v>
      </c>
      <c r="Q348" s="4" t="str">
        <f t="shared" si="246"/>
        <v>1+2678.16487230666i</v>
      </c>
      <c r="R348" s="4">
        <f t="shared" si="255"/>
        <v>2678.165059001657</v>
      </c>
      <c r="S348" s="4">
        <f t="shared" si="256"/>
        <v>1.5704229368054052</v>
      </c>
      <c r="T348" s="4" t="str">
        <f t="shared" si="247"/>
        <v>1+0.062683014306908i</v>
      </c>
      <c r="U348" s="4">
        <f t="shared" si="257"/>
        <v>1.0019626541356719</v>
      </c>
      <c r="V348" s="4">
        <f t="shared" si="258"/>
        <v>6.2601110105813304E-2</v>
      </c>
      <c r="W348" t="str">
        <f t="shared" si="248"/>
        <v>1-0.0651151152620158i</v>
      </c>
      <c r="X348" s="4">
        <f t="shared" si="259"/>
        <v>1.0021177466922664</v>
      </c>
      <c r="Y348" s="4">
        <f t="shared" si="260"/>
        <v>-6.5023319785089059E-2</v>
      </c>
      <c r="Z348" t="str">
        <f t="shared" si="249"/>
        <v>0.974521141084576+0.281976948060597i</v>
      </c>
      <c r="AA348" s="4">
        <f t="shared" si="261"/>
        <v>1.0144961575375002</v>
      </c>
      <c r="AB348" s="4">
        <f t="shared" si="262"/>
        <v>0.28165703752040172</v>
      </c>
      <c r="AC348" s="48" t="str">
        <f t="shared" si="263"/>
        <v>-0.0563883984673737-0.193395145447483i</v>
      </c>
      <c r="AD348" s="20">
        <f t="shared" si="264"/>
        <v>-13.916736833503226</v>
      </c>
      <c r="AE348" s="44">
        <f t="shared" si="265"/>
        <v>-106.25514824128483</v>
      </c>
      <c r="AF348" t="str">
        <f t="shared" si="250"/>
        <v>-0.979317078436135</v>
      </c>
      <c r="AG348" t="str">
        <f t="shared" si="266"/>
        <v>125366.028613816i</v>
      </c>
      <c r="AH348">
        <f t="shared" si="267"/>
        <v>125366.028613816</v>
      </c>
      <c r="AI348">
        <f t="shared" si="268"/>
        <v>1.5707963267948966</v>
      </c>
      <c r="AJ348" t="str">
        <f t="shared" si="251"/>
        <v>-242.277573724641+122.848678759251i</v>
      </c>
      <c r="AK348">
        <f t="shared" si="269"/>
        <v>271.64355431850856</v>
      </c>
      <c r="AL348">
        <f t="shared" si="270"/>
        <v>2.6723149390271002</v>
      </c>
      <c r="AM348" t="str">
        <f t="shared" si="252"/>
        <v>1+17440.9219007541i</v>
      </c>
      <c r="AN348">
        <f t="shared" si="271"/>
        <v>17440.921929422311</v>
      </c>
      <c r="AO348">
        <f t="shared" si="272"/>
        <v>1.5707389903762947</v>
      </c>
      <c r="AP348" t="str">
        <f t="shared" si="253"/>
        <v>1+117.844066896987i</v>
      </c>
      <c r="AQ348">
        <f t="shared" si="273"/>
        <v>117.84830971558966</v>
      </c>
      <c r="AR348">
        <f t="shared" si="274"/>
        <v>1.5623107405070946</v>
      </c>
      <c r="AS348" s="42" t="str">
        <f t="shared" si="275"/>
        <v>-0.0262792254436082+0.0529434276016274i</v>
      </c>
      <c r="AT348">
        <f t="shared" si="276"/>
        <v>-24.567262969744519</v>
      </c>
      <c r="AU348" s="44">
        <f t="shared" si="277"/>
        <v>116.39815904820388</v>
      </c>
      <c r="AV348" s="42" t="str">
        <f t="shared" si="254"/>
        <v>0.0117208453172331+0.00209687953508469i</v>
      </c>
      <c r="AW348" s="20">
        <f t="shared" si="278"/>
        <v>-38.483999803247777</v>
      </c>
      <c r="AX348" s="44">
        <f t="shared" si="279"/>
        <v>10.143010806919133</v>
      </c>
    </row>
    <row r="349" spans="14:50" x14ac:dyDescent="0.3">
      <c r="N349" s="8">
        <v>31</v>
      </c>
      <c r="O349" s="35">
        <f t="shared" si="244"/>
        <v>20417.379446695286</v>
      </c>
      <c r="P349" s="34" t="str">
        <f t="shared" si="245"/>
        <v>545.10556621881</v>
      </c>
      <c r="Q349" s="4" t="str">
        <f t="shared" si="246"/>
        <v>1+2740.54734600388i</v>
      </c>
      <c r="R349" s="4">
        <f t="shared" si="255"/>
        <v>2740.5475284491808</v>
      </c>
      <c r="S349" s="4">
        <f t="shared" si="256"/>
        <v>1.5704314361984701</v>
      </c>
      <c r="T349" s="4" t="str">
        <f t="shared" si="247"/>
        <v>1+0.064143089275293i</v>
      </c>
      <c r="U349" s="4">
        <f t="shared" si="257"/>
        <v>1.0020550563226445</v>
      </c>
      <c r="V349" s="4">
        <f t="shared" si="258"/>
        <v>6.4055337060547765E-2</v>
      </c>
      <c r="W349" t="str">
        <f t="shared" si="248"/>
        <v>1-0.0666318411391742i</v>
      </c>
      <c r="X349" s="4">
        <f t="shared" si="259"/>
        <v>1.0022174426009538</v>
      </c>
      <c r="Y349" s="4">
        <f t="shared" si="260"/>
        <v>-6.6533492263458893E-2</v>
      </c>
      <c r="Z349" t="str">
        <f t="shared" si="249"/>
        <v>0.973320359457899+0.288545034935122i</v>
      </c>
      <c r="AA349" s="4">
        <f t="shared" si="261"/>
        <v>1.0151900114367578</v>
      </c>
      <c r="AB349" s="4">
        <f t="shared" si="262"/>
        <v>0.28820072010594133</v>
      </c>
      <c r="AC349" s="48" t="str">
        <f t="shared" si="263"/>
        <v>-0.056324800077252-0.1885318894108i</v>
      </c>
      <c r="AD349" s="20">
        <f t="shared" si="264"/>
        <v>-14.121010337032157</v>
      </c>
      <c r="AE349" s="44">
        <f t="shared" si="265"/>
        <v>-106.63376605764753</v>
      </c>
      <c r="AF349" t="str">
        <f t="shared" si="250"/>
        <v>-0.979317078436135</v>
      </c>
      <c r="AG349" t="str">
        <f t="shared" si="266"/>
        <v>128286.178550586i</v>
      </c>
      <c r="AH349">
        <f t="shared" si="267"/>
        <v>128286.178550586</v>
      </c>
      <c r="AI349">
        <f t="shared" si="268"/>
        <v>1.5707963267948966</v>
      </c>
      <c r="AJ349" t="str">
        <f t="shared" si="251"/>
        <v>-253.742892547627+125.710192085291i</v>
      </c>
      <c r="AK349">
        <f t="shared" si="269"/>
        <v>283.17575445747002</v>
      </c>
      <c r="AL349">
        <f t="shared" si="270"/>
        <v>2.681612942120664</v>
      </c>
      <c r="AM349" t="str">
        <f t="shared" si="252"/>
        <v>1+17847.1731599575i</v>
      </c>
      <c r="AN349">
        <f t="shared" si="271"/>
        <v>17847.173187973141</v>
      </c>
      <c r="AO349">
        <f t="shared" si="272"/>
        <v>1.5707402955125198</v>
      </c>
      <c r="AP349" t="str">
        <f t="shared" si="253"/>
        <v>1+120.589007837551i</v>
      </c>
      <c r="AQ349">
        <f t="shared" si="273"/>
        <v>120.59315408117051</v>
      </c>
      <c r="AR349">
        <f t="shared" si="274"/>
        <v>1.5625038870749912</v>
      </c>
      <c r="AS349" s="42" t="str">
        <f t="shared" si="275"/>
        <v>-0.0253219918050806+0.0522029159834692i</v>
      </c>
      <c r="AT349">
        <f t="shared" si="276"/>
        <v>-24.728410282695975</v>
      </c>
      <c r="AU349" s="44">
        <f t="shared" si="277"/>
        <v>115.87656397500834</v>
      </c>
      <c r="AV349" s="42" t="str">
        <f t="shared" si="254"/>
        <v>0.0112681705090957+0.00183368415243815i</v>
      </c>
      <c r="AW349" s="20">
        <f t="shared" si="278"/>
        <v>-38.849420619728114</v>
      </c>
      <c r="AX349" s="44">
        <f t="shared" si="279"/>
        <v>9.2427979173607682</v>
      </c>
    </row>
    <row r="350" spans="14:50" x14ac:dyDescent="0.3">
      <c r="N350" s="8">
        <v>32</v>
      </c>
      <c r="O350" s="35">
        <f t="shared" si="244"/>
        <v>20892.961308540423</v>
      </c>
      <c r="P350" s="34" t="str">
        <f t="shared" si="245"/>
        <v>545.10556621881</v>
      </c>
      <c r="Q350" s="4" t="str">
        <f t="shared" si="246"/>
        <v>1+2804.38289417941i</v>
      </c>
      <c r="R350" s="4">
        <f t="shared" si="255"/>
        <v>2804.3830724717486</v>
      </c>
      <c r="S350" s="4">
        <f t="shared" si="256"/>
        <v>1.5704397421217797</v>
      </c>
      <c r="T350" s="4" t="str">
        <f t="shared" si="247"/>
        <v>1+0.0656371737586465i</v>
      </c>
      <c r="U350" s="4">
        <f t="shared" si="257"/>
        <v>1.0021518041589421</v>
      </c>
      <c r="V350" s="4">
        <f t="shared" si="258"/>
        <v>6.5543156467200464E-2</v>
      </c>
      <c r="W350" t="str">
        <f t="shared" si="248"/>
        <v>1-0.0681838961004818i</v>
      </c>
      <c r="X350" s="4">
        <f t="shared" si="259"/>
        <v>1.0023218264047937</v>
      </c>
      <c r="Y350" s="4">
        <f t="shared" si="260"/>
        <v>-6.8078526561323613E-2</v>
      </c>
      <c r="Z350" t="str">
        <f t="shared" si="249"/>
        <v>0.972062986736629+0.295266112206518i</v>
      </c>
      <c r="AA350" s="4">
        <f t="shared" si="261"/>
        <v>1.0159175789407759</v>
      </c>
      <c r="AB350" s="4">
        <f t="shared" si="262"/>
        <v>0.29489546557422613</v>
      </c>
      <c r="AC350" s="48" t="str">
        <f t="shared" si="263"/>
        <v>-0.0562579165493583-0.183769269640049i</v>
      </c>
      <c r="AD350" s="20">
        <f t="shared" si="264"/>
        <v>-14.325489904221859</v>
      </c>
      <c r="AE350" s="44">
        <f t="shared" si="265"/>
        <v>-107.02110078403686</v>
      </c>
      <c r="AF350" t="str">
        <f t="shared" si="250"/>
        <v>-0.979317078436135</v>
      </c>
      <c r="AG350" t="str">
        <f t="shared" si="266"/>
        <v>131274.347517293i</v>
      </c>
      <c r="AH350">
        <f t="shared" si="267"/>
        <v>131274.347517293</v>
      </c>
      <c r="AI350">
        <f t="shared" si="268"/>
        <v>1.5707963267948966</v>
      </c>
      <c r="AJ350" t="str">
        <f t="shared" si="251"/>
        <v>-265.748555199686+128.638358619146i</v>
      </c>
      <c r="AK350">
        <f t="shared" si="269"/>
        <v>295.245866861754</v>
      </c>
      <c r="AL350">
        <f t="shared" si="270"/>
        <v>2.6907778240801576</v>
      </c>
      <c r="AM350" t="str">
        <f t="shared" si="252"/>
        <v>1+18262.8872266058i</v>
      </c>
      <c r="AN350">
        <f t="shared" si="271"/>
        <v>18262.887253983725</v>
      </c>
      <c r="AO350">
        <f t="shared" si="272"/>
        <v>1.5707415709402175</v>
      </c>
      <c r="AP350" t="str">
        <f t="shared" si="253"/>
        <v>1+123.397886666256i</v>
      </c>
      <c r="AQ350">
        <f t="shared" si="273"/>
        <v>123.40193853298319</v>
      </c>
      <c r="AR350">
        <f t="shared" si="274"/>
        <v>1.562692637688105</v>
      </c>
      <c r="AS350" s="42" t="str">
        <f t="shared" si="275"/>
        <v>-0.0243916417075992+0.051455932459041i</v>
      </c>
      <c r="AT350">
        <f t="shared" si="276"/>
        <v>-24.890978931851016</v>
      </c>
      <c r="AU350" s="44">
        <f t="shared" si="277"/>
        <v>115.36234260912975</v>
      </c>
      <c r="AV350" s="42" t="str">
        <f t="shared" si="254"/>
        <v>0.0108282420703336+0.00158763062767712i</v>
      </c>
      <c r="AW350" s="20">
        <f t="shared" si="278"/>
        <v>-39.216468836072885</v>
      </c>
      <c r="AX350" s="44">
        <f t="shared" si="279"/>
        <v>8.3412418250929328</v>
      </c>
    </row>
    <row r="351" spans="14:50" x14ac:dyDescent="0.3">
      <c r="N351" s="8">
        <v>33</v>
      </c>
      <c r="O351" s="35">
        <f t="shared" si="244"/>
        <v>21379.620895022348</v>
      </c>
      <c r="P351" s="34" t="str">
        <f t="shared" si="245"/>
        <v>545.10556621881</v>
      </c>
      <c r="Q351" s="4" t="str">
        <f t="shared" si="246"/>
        <v>1+2869.7053632858i</v>
      </c>
      <c r="R351" s="4">
        <f t="shared" si="255"/>
        <v>2869.7055375197101</v>
      </c>
      <c r="S351" s="4">
        <f t="shared" si="256"/>
        <v>1.5704478589792397</v>
      </c>
      <c r="T351" s="4" t="str">
        <f t="shared" si="247"/>
        <v>1+0.067166059940337i</v>
      </c>
      <c r="U351" s="4">
        <f t="shared" si="257"/>
        <v>1.0022531015706106</v>
      </c>
      <c r="V351" s="4">
        <f t="shared" si="258"/>
        <v>6.7065330824893743E-2</v>
      </c>
      <c r="W351" t="str">
        <f t="shared" si="248"/>
        <v>1-0.0697721030660219i</v>
      </c>
      <c r="X351" s="4">
        <f t="shared" si="259"/>
        <v>1.0024311180157246</v>
      </c>
      <c r="Y351" s="4">
        <f t="shared" si="260"/>
        <v>-6.965921235412538E-2</v>
      </c>
      <c r="Z351" t="str">
        <f t="shared" si="249"/>
        <v>0.970746355864648+0.302143743478912i</v>
      </c>
      <c r="AA351" s="4">
        <f t="shared" si="261"/>
        <v>1.0166805442949836</v>
      </c>
      <c r="AB351" s="4">
        <f t="shared" si="262"/>
        <v>0.30174467812467798</v>
      </c>
      <c r="AC351" s="48" t="str">
        <f t="shared" si="263"/>
        <v>-0.0561876104457176-0.179104810592708i</v>
      </c>
      <c r="AD351" s="20">
        <f t="shared" si="264"/>
        <v>-14.530185661621175</v>
      </c>
      <c r="AE351" s="44">
        <f t="shared" si="265"/>
        <v>-107.41734927612619</v>
      </c>
      <c r="AF351" t="str">
        <f t="shared" si="250"/>
        <v>-0.979317078436135</v>
      </c>
      <c r="AG351" t="str">
        <f t="shared" si="266"/>
        <v>134332.119880674i</v>
      </c>
      <c r="AH351">
        <f t="shared" si="267"/>
        <v>134332.119880674</v>
      </c>
      <c r="AI351">
        <f t="shared" si="268"/>
        <v>1.5707963267948966</v>
      </c>
      <c r="AJ351" t="str">
        <f t="shared" si="251"/>
        <v>-278.320027300922+131.63473091347i</v>
      </c>
      <c r="AK351">
        <f t="shared" si="269"/>
        <v>307.87942441716956</v>
      </c>
      <c r="AL351">
        <f t="shared" si="270"/>
        <v>2.6998086484450625</v>
      </c>
      <c r="AM351" t="str">
        <f t="shared" si="252"/>
        <v>1+18688.2845177994i</v>
      </c>
      <c r="AN351">
        <f t="shared" si="271"/>
        <v>18688.284544554128</v>
      </c>
      <c r="AO351">
        <f t="shared" si="272"/>
        <v>1.5707428173356366</v>
      </c>
      <c r="AP351" t="str">
        <f t="shared" si="253"/>
        <v>1+126.272192687834i</v>
      </c>
      <c r="AQ351">
        <f t="shared" si="273"/>
        <v>126.27615232573994</v>
      </c>
      <c r="AR351">
        <f t="shared" si="274"/>
        <v>1.5628770923706814</v>
      </c>
      <c r="AS351" s="42" t="str">
        <f t="shared" si="275"/>
        <v>-0.0234880034065378+0.0507035252250023i</v>
      </c>
      <c r="AT351">
        <f t="shared" si="276"/>
        <v>-25.054928554681947</v>
      </c>
      <c r="AU351" s="44">
        <f t="shared" si="277"/>
        <v>114.85555437551703</v>
      </c>
      <c r="AV351" s="42" t="str">
        <f t="shared" si="254"/>
        <v>0.0104009800673609+0.00135790447776179i</v>
      </c>
      <c r="AW351" s="20">
        <f t="shared" si="278"/>
        <v>-39.585114216303097</v>
      </c>
      <c r="AX351" s="44">
        <f t="shared" si="279"/>
        <v>7.438205099390828</v>
      </c>
    </row>
    <row r="352" spans="14:50" x14ac:dyDescent="0.3">
      <c r="N352" s="8">
        <v>34</v>
      </c>
      <c r="O352" s="35">
        <f t="shared" si="244"/>
        <v>21877.61623949555</v>
      </c>
      <c r="P352" s="34" t="str">
        <f t="shared" si="245"/>
        <v>545.10556621881</v>
      </c>
      <c r="Q352" s="4" t="str">
        <f t="shared" si="246"/>
        <v>1+2936.54938816086i</v>
      </c>
      <c r="R352" s="4">
        <f t="shared" si="255"/>
        <v>2936.5495584287219</v>
      </c>
      <c r="S352" s="4">
        <f t="shared" si="256"/>
        <v>1.5704557910745112</v>
      </c>
      <c r="T352" s="4" t="str">
        <f t="shared" si="247"/>
        <v>1+0.068730558456056i</v>
      </c>
      <c r="U352" s="4">
        <f t="shared" si="257"/>
        <v>1.0023591620101457</v>
      </c>
      <c r="V352" s="4">
        <f t="shared" si="258"/>
        <v>6.8622638979534786E-2</v>
      </c>
      <c r="W352" t="str">
        <f t="shared" si="248"/>
        <v>1-0.0713973041241508i</v>
      </c>
      <c r="X352" s="4">
        <f t="shared" si="259"/>
        <v>1.0025455476117764</v>
      </c>
      <c r="Y352" s="4">
        <f t="shared" si="260"/>
        <v>-7.1276356129036308E-2</v>
      </c>
      <c r="Z352" t="str">
        <f t="shared" si="249"/>
        <v>0.969367674091351+0.309181575363445i</v>
      </c>
      <c r="AA352" s="4">
        <f t="shared" si="261"/>
        <v>1.0174806799725966</v>
      </c>
      <c r="AB352" s="4">
        <f t="shared" si="262"/>
        <v>0.30875183105030207</v>
      </c>
      <c r="AC352" s="48" t="str">
        <f t="shared" si="263"/>
        <v>-0.0561137376001815-0.174536092472948i</v>
      </c>
      <c r="AD352" s="20">
        <f t="shared" si="264"/>
        <v>-14.735108248154013</v>
      </c>
      <c r="AE352" s="44">
        <f t="shared" si="265"/>
        <v>-107.82271236925489</v>
      </c>
      <c r="AF352" t="str">
        <f t="shared" si="250"/>
        <v>-0.979317078436135</v>
      </c>
      <c r="AG352" t="str">
        <f t="shared" si="266"/>
        <v>137461.116912112i</v>
      </c>
      <c r="AH352">
        <f t="shared" si="267"/>
        <v>137461.11691211199</v>
      </c>
      <c r="AI352">
        <f t="shared" si="268"/>
        <v>1.5707963267948966</v>
      </c>
      <c r="AJ352" t="str">
        <f t="shared" si="251"/>
        <v>-291.483974629152+134.700897684517i</v>
      </c>
      <c r="AK352">
        <f t="shared" si="269"/>
        <v>321.1031599075643</v>
      </c>
      <c r="AL352">
        <f t="shared" si="270"/>
        <v>2.7087046554270358</v>
      </c>
      <c r="AM352" t="str">
        <f t="shared" si="252"/>
        <v>1+19123.590584813i</v>
      </c>
      <c r="AN352">
        <f t="shared" si="271"/>
        <v>19123.590610958716</v>
      </c>
      <c r="AO352">
        <f t="shared" si="272"/>
        <v>1.5707440353596323</v>
      </c>
      <c r="AP352" t="str">
        <f t="shared" si="253"/>
        <v>1+129.213449897386i</v>
      </c>
      <c r="AQ352">
        <f t="shared" si="273"/>
        <v>129.21731940565971</v>
      </c>
      <c r="AR352">
        <f t="shared" si="274"/>
        <v>1.5630573488727997</v>
      </c>
      <c r="AS352" s="42" t="str">
        <f t="shared" si="275"/>
        <v>-0.0226108598773703+0.0499467083924105i</v>
      </c>
      <c r="AT352">
        <f t="shared" si="276"/>
        <v>-25.220219081734388</v>
      </c>
      <c r="AU352" s="44">
        <f t="shared" si="277"/>
        <v>114.35624844536646</v>
      </c>
      <c r="AV352" s="42" t="str">
        <f t="shared" si="254"/>
        <v>0.00998628317277036+0.00114371464172507i</v>
      </c>
      <c r="AW352" s="20">
        <f t="shared" si="278"/>
        <v>-39.955327329888405</v>
      </c>
      <c r="AX352" s="44">
        <f t="shared" si="279"/>
        <v>6.5335360761115959</v>
      </c>
    </row>
    <row r="353" spans="14:50" x14ac:dyDescent="0.3">
      <c r="N353" s="8">
        <v>35</v>
      </c>
      <c r="O353" s="35">
        <f t="shared" si="244"/>
        <v>22387.211385683382</v>
      </c>
      <c r="P353" s="34" t="str">
        <f t="shared" si="245"/>
        <v>545.10556621881</v>
      </c>
      <c r="Q353" s="4" t="str">
        <f t="shared" si="246"/>
        <v>1+3004.95041039133i</v>
      </c>
      <c r="R353" s="4">
        <f t="shared" si="255"/>
        <v>3004.950576783423</v>
      </c>
      <c r="S353" s="4">
        <f t="shared" si="256"/>
        <v>1.5704635426132918</v>
      </c>
      <c r="T353" s="4" t="str">
        <f t="shared" si="247"/>
        <v>1+0.0703314988236245i</v>
      </c>
      <c r="U353" s="4">
        <f t="shared" si="257"/>
        <v>1.0024702088973905</v>
      </c>
      <c r="V353" s="4">
        <f t="shared" si="258"/>
        <v>7.021587640515034E-2</v>
      </c>
      <c r="W353" t="str">
        <f t="shared" si="248"/>
        <v>1-0.0730603609779809i</v>
      </c>
      <c r="X353" s="4">
        <f t="shared" si="259"/>
        <v>1.002665356111516</v>
      </c>
      <c r="Y353" s="4">
        <f t="shared" si="260"/>
        <v>-7.2930781465456507E-2</v>
      </c>
      <c r="Z353" t="str">
        <f t="shared" si="249"/>
        <v>0.967924017047855+0.316383339411735i</v>
      </c>
      <c r="AA353" s="4">
        <f t="shared" si="261"/>
        <v>1.0183198516357115</v>
      </c>
      <c r="AB353" s="4">
        <f t="shared" si="262"/>
        <v>0.31592046738954938</v>
      </c>
      <c r="AC353" s="48" t="str">
        <f t="shared" si="263"/>
        <v>-0.0560361468782553-0.170060750227492i</v>
      </c>
      <c r="AD353" s="20">
        <f t="shared" si="264"/>
        <v>-14.940268841947958</v>
      </c>
      <c r="AE353" s="44">
        <f t="shared" si="265"/>
        <v>-108.23739491586109</v>
      </c>
      <c r="AF353" t="str">
        <f t="shared" si="250"/>
        <v>-0.979317078436135</v>
      </c>
      <c r="AG353" t="str">
        <f t="shared" si="266"/>
        <v>140662.997647249i</v>
      </c>
      <c r="AH353">
        <f t="shared" si="267"/>
        <v>140662.99764724899</v>
      </c>
      <c r="AI353">
        <f t="shared" si="268"/>
        <v>1.5707963267948966</v>
      </c>
      <c r="AJ353" t="str">
        <f t="shared" si="251"/>
        <v>-305.268319681578+137.838484654493i</v>
      </c>
      <c r="AK353">
        <f t="shared" si="269"/>
        <v>334.94506244018737</v>
      </c>
      <c r="AL353">
        <f t="shared" si="270"/>
        <v>2.7174652559074346</v>
      </c>
      <c r="AM353" t="str">
        <f t="shared" si="252"/>
        <v>1+19569.0362326853i</v>
      </c>
      <c r="AN353">
        <f t="shared" si="271"/>
        <v>19569.036258235868</v>
      </c>
      <c r="AO353">
        <f t="shared" si="272"/>
        <v>1.570745225658017</v>
      </c>
      <c r="AP353" t="str">
        <f t="shared" si="253"/>
        <v>1+132.223217788414i</v>
      </c>
      <c r="AQ353">
        <f t="shared" si="273"/>
        <v>132.22699921847411</v>
      </c>
      <c r="AR353">
        <f t="shared" si="274"/>
        <v>1.5632335027219604</v>
      </c>
      <c r="AS353" s="42" t="str">
        <f t="shared" si="275"/>
        <v>-0.021759952114131+0.0491864604085892i</v>
      </c>
      <c r="AT353">
        <f t="shared" si="276"/>
        <v>-25.386810802341849</v>
      </c>
      <c r="AU353" s="44">
        <f t="shared" si="277"/>
        <v>113.86446408301504</v>
      </c>
      <c r="AV353" s="42" t="str">
        <f t="shared" si="254"/>
        <v>0.00958403023085076+0.000944294061566225i</v>
      </c>
      <c r="AW353" s="20">
        <f t="shared" si="278"/>
        <v>-40.327079644289803</v>
      </c>
      <c r="AX353" s="44">
        <f t="shared" si="279"/>
        <v>5.6270691671539428</v>
      </c>
    </row>
    <row r="354" spans="14:50" x14ac:dyDescent="0.3">
      <c r="N354" s="8">
        <v>36</v>
      </c>
      <c r="O354" s="35">
        <f t="shared" si="244"/>
        <v>22908.676527677751</v>
      </c>
      <c r="P354" s="34" t="str">
        <f t="shared" si="245"/>
        <v>545.10556621881</v>
      </c>
      <c r="Q354" s="4" t="str">
        <f t="shared" si="246"/>
        <v>1+3074.94469710464i</v>
      </c>
      <c r="R354" s="4">
        <f t="shared" si="255"/>
        <v>3074.9448597091859</v>
      </c>
      <c r="S354" s="4">
        <f t="shared" si="256"/>
        <v>1.5704711177055468</v>
      </c>
      <c r="T354" s="4" t="str">
        <f t="shared" si="247"/>
        <v>1+0.0719697298828175i</v>
      </c>
      <c r="U354" s="4">
        <f t="shared" si="257"/>
        <v>1.0025864760804455</v>
      </c>
      <c r="V354" s="4">
        <f t="shared" si="258"/>
        <v>7.1845855484875945E-2</v>
      </c>
      <c r="W354" t="str">
        <f t="shared" si="248"/>
        <v>1-0.0747621554022706i</v>
      </c>
      <c r="X354" s="4">
        <f t="shared" si="259"/>
        <v>1.0027907956699609</v>
      </c>
      <c r="Y354" s="4">
        <f t="shared" si="260"/>
        <v>-7.4623329314355655E-2</v>
      </c>
      <c r="Z354" t="str">
        <f t="shared" si="249"/>
        <v>0.966412322544014+0.323752854094414i</v>
      </c>
      <c r="AA354" s="4">
        <f t="shared" si="261"/>
        <v>1.0192000234003109</v>
      </c>
      <c r="AB354" s="4">
        <f t="shared" si="262"/>
        <v>0.32325420050007925</v>
      </c>
      <c r="AC354" s="48" t="str">
        <f t="shared" si="263"/>
        <v>-0.0559546799303848-0.165676472591464i</v>
      </c>
      <c r="AD354" s="20">
        <f t="shared" si="264"/>
        <v>-15.145679188586584</v>
      </c>
      <c r="AE354" s="44">
        <f t="shared" si="265"/>
        <v>-108.66160581838845</v>
      </c>
      <c r="AF354" t="str">
        <f t="shared" si="250"/>
        <v>-0.979317078436135</v>
      </c>
      <c r="AG354" t="str">
        <f t="shared" si="266"/>
        <v>143939.459765635i</v>
      </c>
      <c r="AH354">
        <f t="shared" si="267"/>
        <v>143939.45976563499</v>
      </c>
      <c r="AI354">
        <f t="shared" si="268"/>
        <v>1.5707963267948966</v>
      </c>
      <c r="AJ354" t="str">
        <f t="shared" si="251"/>
        <v>-319.702300902163+141.049155413541i</v>
      </c>
      <c r="AK354">
        <f t="shared" si="269"/>
        <v>349.4344365471303</v>
      </c>
      <c r="AL354">
        <f t="shared" si="270"/>
        <v>2.7260900251849396</v>
      </c>
      <c r="AM354" t="str">
        <f t="shared" si="252"/>
        <v>1+20024.8576425951i</v>
      </c>
      <c r="AN354">
        <f t="shared" si="271"/>
        <v>20024.857667564065</v>
      </c>
      <c r="AO354">
        <f t="shared" si="272"/>
        <v>1.5707463888619027</v>
      </c>
      <c r="AP354" t="str">
        <f t="shared" si="253"/>
        <v>1+135.303092179697i</v>
      </c>
      <c r="AQ354">
        <f t="shared" si="273"/>
        <v>135.30678753627839</v>
      </c>
      <c r="AR354">
        <f t="shared" si="274"/>
        <v>1.5634056472735125</v>
      </c>
      <c r="AS354" s="42" t="str">
        <f t="shared" si="275"/>
        <v>-0.020934982415947+0.0484237227632108i</v>
      </c>
      <c r="AT354">
        <f t="shared" si="276"/>
        <v>-25.554664425377883</v>
      </c>
      <c r="AU354" s="44">
        <f t="shared" si="277"/>
        <v>113.38023100708344</v>
      </c>
      <c r="AV354" s="42" t="str">
        <f t="shared" si="254"/>
        <v>0.0091940818175883+0.000758900132185275i</v>
      </c>
      <c r="AW354" s="20">
        <f t="shared" si="278"/>
        <v>-40.700343613964456</v>
      </c>
      <c r="AX354" s="44">
        <f t="shared" si="279"/>
        <v>4.7186251886949799</v>
      </c>
    </row>
    <row r="355" spans="14:50" x14ac:dyDescent="0.3">
      <c r="N355" s="8">
        <v>37</v>
      </c>
      <c r="O355" s="35">
        <f t="shared" si="244"/>
        <v>23442.288153199243</v>
      </c>
      <c r="P355" s="34" t="str">
        <f t="shared" si="245"/>
        <v>545.10556621881</v>
      </c>
      <c r="Q355" s="4" t="str">
        <f t="shared" si="246"/>
        <v>1+3146.56936019805i</v>
      </c>
      <c r="R355" s="4">
        <f t="shared" si="255"/>
        <v>3146.5695191012651</v>
      </c>
      <c r="S355" s="4">
        <f t="shared" si="256"/>
        <v>1.5704785203676865</v>
      </c>
      <c r="T355" s="4" t="str">
        <f t="shared" si="247"/>
        <v>1+0.073646120245426i</v>
      </c>
      <c r="U355" s="4">
        <f t="shared" si="257"/>
        <v>1.0027082083174566</v>
      </c>
      <c r="V355" s="4">
        <f t="shared" si="258"/>
        <v>7.3513405791109029E-2</v>
      </c>
      <c r="W355" t="str">
        <f t="shared" si="248"/>
        <v>1-0.0765035897109483i</v>
      </c>
      <c r="X355" s="4">
        <f t="shared" si="259"/>
        <v>1.0029221301968869</v>
      </c>
      <c r="Y355" s="4">
        <f t="shared" si="260"/>
        <v>-7.6354858275895679E-2</v>
      </c>
      <c r="Z355" t="str">
        <f t="shared" si="249"/>
        <v>0.964829384073112+0.331294026825708i</v>
      </c>
      <c r="AA355" s="4">
        <f t="shared" si="261"/>
        <v>1.0201232634252067</v>
      </c>
      <c r="AB355" s="4">
        <f t="shared" si="262"/>
        <v>0.33075671454332062</v>
      </c>
      <c r="AC355" s="48" t="str">
        <f t="shared" si="263"/>
        <v>-0.0558691709392129-0.16138100118525i</v>
      </c>
      <c r="AD355" s="20">
        <f t="shared" si="264"/>
        <v>-15.351351630853538</v>
      </c>
      <c r="AE355" s="44">
        <f t="shared" si="265"/>
        <v>-109.09555805702956</v>
      </c>
      <c r="AF355" t="str">
        <f t="shared" si="250"/>
        <v>-0.979317078436135</v>
      </c>
      <c r="AG355" t="str">
        <f t="shared" si="266"/>
        <v>147292.240490852i</v>
      </c>
      <c r="AH355">
        <f t="shared" si="267"/>
        <v>147292.24049085201</v>
      </c>
      <c r="AI355">
        <f t="shared" si="268"/>
        <v>1.5707963267948966</v>
      </c>
      <c r="AJ355" t="str">
        <f t="shared" si="251"/>
        <v>-334.816534700265+144.334612301795i</v>
      </c>
      <c r="AK355">
        <f t="shared" si="269"/>
        <v>364.60196408824129</v>
      </c>
      <c r="AL355">
        <f t="shared" si="270"/>
        <v>2.73457869652142</v>
      </c>
      <c r="AM355" t="str">
        <f t="shared" si="252"/>
        <v>1+20491.2964970873i</v>
      </c>
      <c r="AN355">
        <f t="shared" si="271"/>
        <v>20491.2965214879</v>
      </c>
      <c r="AO355">
        <f t="shared" si="272"/>
        <v>1.5707475255880354</v>
      </c>
      <c r="AP355" t="str">
        <f t="shared" si="253"/>
        <v>1+138.454706061401i</v>
      </c>
      <c r="AQ355">
        <f t="shared" si="273"/>
        <v>138.4583173036165</v>
      </c>
      <c r="AR355">
        <f t="shared" si="274"/>
        <v>1.5635738737599421</v>
      </c>
      <c r="AS355" s="42" t="str">
        <f t="shared" si="275"/>
        <v>-0.0201356176397525+0.0476593989653282i</v>
      </c>
      <c r="AT355">
        <f t="shared" si="276"/>
        <v>-25.723741135081937</v>
      </c>
      <c r="AU355" s="44">
        <f t="shared" si="277"/>
        <v>112.90356976311406</v>
      </c>
      <c r="AV355" s="42" t="str">
        <f t="shared" si="254"/>
        <v>0.0088162817847939+0.000586815026532571i</v>
      </c>
      <c r="AW355" s="20">
        <f t="shared" si="278"/>
        <v>-41.075092765935473</v>
      </c>
      <c r="AX355" s="44">
        <f t="shared" si="279"/>
        <v>3.8080117060844874</v>
      </c>
    </row>
    <row r="356" spans="14:50" x14ac:dyDescent="0.3">
      <c r="N356" s="8">
        <v>38</v>
      </c>
      <c r="O356" s="35">
        <f t="shared" si="244"/>
        <v>23988.329190194923</v>
      </c>
      <c r="P356" s="34" t="str">
        <f t="shared" si="245"/>
        <v>545.10556621881</v>
      </c>
      <c r="Q356" s="4" t="str">
        <f t="shared" si="246"/>
        <v>1+3219.86237601599i</v>
      </c>
      <c r="R356" s="4">
        <f t="shared" si="255"/>
        <v>3219.8625313021262</v>
      </c>
      <c r="S356" s="4">
        <f t="shared" si="256"/>
        <v>1.5704857545246975</v>
      </c>
      <c r="T356" s="4" t="str">
        <f t="shared" si="247"/>
        <v>1+0.07536155875581i</v>
      </c>
      <c r="U356" s="4">
        <f t="shared" si="257"/>
        <v>1.002835661780187</v>
      </c>
      <c r="V356" s="4">
        <f t="shared" si="258"/>
        <v>7.5219374364321606E-2</v>
      </c>
      <c r="W356" t="str">
        <f t="shared" si="248"/>
        <v>1-0.0782855872355352i</v>
      </c>
      <c r="X356" s="4">
        <f t="shared" si="259"/>
        <v>1.0030596358984907</v>
      </c>
      <c r="Y356" s="4">
        <f t="shared" si="260"/>
        <v>-7.8126244874757E-2</v>
      </c>
      <c r="Z356" t="str">
        <f t="shared" si="249"/>
        <v>0.963171844010422+0.339010856035218i</v>
      </c>
      <c r="AA356" s="4">
        <f t="shared" si="261"/>
        <v>1.0210917498462948</v>
      </c>
      <c r="AB356" s="4">
        <f t="shared" si="262"/>
        <v>0.33843176486776055</v>
      </c>
      <c r="AC356" s="48" t="str">
        <f t="shared" si="263"/>
        <v>-0.0557794463614412-0.157172129663481i</v>
      </c>
      <c r="AD356" s="20">
        <f t="shared" si="264"/>
        <v>-15.557299140039255</v>
      </c>
      <c r="AE356" s="44">
        <f t="shared" si="265"/>
        <v>-109.53946871160927</v>
      </c>
      <c r="AF356" t="str">
        <f t="shared" si="250"/>
        <v>-0.979317078436135</v>
      </c>
      <c r="AG356" t="str">
        <f t="shared" si="266"/>
        <v>150723.11751162i</v>
      </c>
      <c r="AH356">
        <f t="shared" si="267"/>
        <v>150723.11751161999</v>
      </c>
      <c r="AI356">
        <f t="shared" si="268"/>
        <v>1.5707963267948966</v>
      </c>
      <c r="AJ356" t="str">
        <f t="shared" si="251"/>
        <v>-350.643080392171+147.696597311987i</v>
      </c>
      <c r="AK356">
        <f t="shared" si="269"/>
        <v>380.47976908693806</v>
      </c>
      <c r="AL356">
        <f t="shared" si="270"/>
        <v>2.7429311545318673</v>
      </c>
      <c r="AM356" t="str">
        <f t="shared" si="252"/>
        <v>1+20968.6001082166i</v>
      </c>
      <c r="AN356">
        <f t="shared" si="271"/>
        <v>20968.60013206178</v>
      </c>
      <c r="AO356">
        <f t="shared" si="272"/>
        <v>1.5707486364391228</v>
      </c>
      <c r="AP356" t="str">
        <f t="shared" si="253"/>
        <v>1+141.679730460923i</v>
      </c>
      <c r="AQ356">
        <f t="shared" si="273"/>
        <v>141.68325950330123</v>
      </c>
      <c r="AR356">
        <f t="shared" si="274"/>
        <v>1.5637382713390502</v>
      </c>
      <c r="AS356" s="42" t="str">
        <f t="shared" si="275"/>
        <v>-0.019361492399572+0.0468943537768231i</v>
      </c>
      <c r="AT356">
        <f t="shared" si="276"/>
        <v>-25.894002642023807</v>
      </c>
      <c r="AU356" s="44">
        <f t="shared" si="277"/>
        <v>112.43449210507919</v>
      </c>
      <c r="AV356" s="42" t="str">
        <f t="shared" si="254"/>
        <v>0.00845045877907537+0.000427345902755281i</v>
      </c>
      <c r="AW356" s="20">
        <f t="shared" si="278"/>
        <v>-41.451301782063055</v>
      </c>
      <c r="AX356" s="44">
        <f t="shared" si="279"/>
        <v>2.8950233934699132</v>
      </c>
    </row>
    <row r="357" spans="14:50" x14ac:dyDescent="0.3">
      <c r="N357" s="8">
        <v>39</v>
      </c>
      <c r="O357" s="35">
        <f t="shared" si="244"/>
        <v>24547.089156850321</v>
      </c>
      <c r="P357" s="34" t="str">
        <f t="shared" si="245"/>
        <v>545.10556621881</v>
      </c>
      <c r="Q357" s="4" t="str">
        <f t="shared" si="246"/>
        <v>1+3294.86260548561i</v>
      </c>
      <c r="R357" s="4">
        <f t="shared" si="255"/>
        <v>3294.8627572370024</v>
      </c>
      <c r="S357" s="4">
        <f t="shared" si="256"/>
        <v>1.570492824012222</v>
      </c>
      <c r="T357" s="4" t="str">
        <f t="shared" si="247"/>
        <v>1+0.0771169549621745i</v>
      </c>
      <c r="U357" s="4">
        <f t="shared" si="257"/>
        <v>1.0029691045803146</v>
      </c>
      <c r="V357" s="4">
        <f t="shared" si="258"/>
        <v>7.6964625989956834E-2</v>
      </c>
      <c r="W357" t="str">
        <f t="shared" si="248"/>
        <v>1-0.0801090928147066i</v>
      </c>
      <c r="X357" s="4">
        <f t="shared" si="259"/>
        <v>1.0032036018434121</v>
      </c>
      <c r="Y357" s="4">
        <f t="shared" si="260"/>
        <v>-7.9938383832510396E-2</v>
      </c>
      <c r="Z357" t="str">
        <f t="shared" si="249"/>
        <v>0.961436186491241+0.346907433287937i</v>
      </c>
      <c r="AA357" s="4">
        <f t="shared" si="261"/>
        <v>1.0221077770789364</v>
      </c>
      <c r="AB357" s="4">
        <f t="shared" si="262"/>
        <v>0.34628317827749255</v>
      </c>
      <c r="AC357" s="48" t="str">
        <f t="shared" si="263"/>
        <v>-0.0556853246650449-0.153047702917402i</v>
      </c>
      <c r="AD357" s="20">
        <f t="shared" si="264"/>
        <v>-15.763535348881136</v>
      </c>
      <c r="AE357" s="44">
        <f t="shared" si="265"/>
        <v>-109.99355897683111</v>
      </c>
      <c r="AF357" t="str">
        <f t="shared" si="250"/>
        <v>-0.979317078436135</v>
      </c>
      <c r="AG357" t="str">
        <f t="shared" si="266"/>
        <v>154233.909924349i</v>
      </c>
      <c r="AH357">
        <f t="shared" si="267"/>
        <v>154233.90992434899</v>
      </c>
      <c r="AI357">
        <f t="shared" si="268"/>
        <v>1.5707963267948966</v>
      </c>
      <c r="AJ357" t="str">
        <f t="shared" si="251"/>
        <v>-367.215508203198+151.136893013068i</v>
      </c>
      <c r="AK357">
        <f t="shared" si="269"/>
        <v>397.10148563632515</v>
      </c>
      <c r="AL357">
        <f t="shared" si="270"/>
        <v>2.7511474284614872</v>
      </c>
      <c r="AM357" t="str">
        <f t="shared" si="252"/>
        <v>1+21457.0215486754i</v>
      </c>
      <c r="AN357">
        <f t="shared" si="271"/>
        <v>21457.021571977795</v>
      </c>
      <c r="AO357">
        <f t="shared" si="272"/>
        <v>1.5707497220041522</v>
      </c>
      <c r="AP357" t="str">
        <f t="shared" si="253"/>
        <v>1+144.979875328888i</v>
      </c>
      <c r="AQ357">
        <f t="shared" si="273"/>
        <v>144.98332404238738</v>
      </c>
      <c r="AR357">
        <f t="shared" si="274"/>
        <v>1.5638989271410442</v>
      </c>
      <c r="AS357" s="42" t="str">
        <f t="shared" si="275"/>
        <v>-0.0186122121950347+0.0461294126867381i</v>
      </c>
      <c r="AT357">
        <f t="shared" si="276"/>
        <v>-26.065411229301141</v>
      </c>
      <c r="AU357" s="44">
        <f t="shared" si="277"/>
        <v>111.9730013832917</v>
      </c>
      <c r="AV357" s="42" t="str">
        <f t="shared" si="254"/>
        <v>0.00809642772744934+0.000279825000592465i</v>
      </c>
      <c r="AW357" s="20">
        <f t="shared" si="278"/>
        <v>-41.828946578182276</v>
      </c>
      <c r="AX357" s="44">
        <f t="shared" si="279"/>
        <v>1.979442406460586</v>
      </c>
    </row>
    <row r="358" spans="14:50" x14ac:dyDescent="0.3">
      <c r="N358" s="8">
        <v>40</v>
      </c>
      <c r="O358" s="35">
        <f t="shared" si="244"/>
        <v>25118.86431509586</v>
      </c>
      <c r="P358" s="34" t="str">
        <f t="shared" si="245"/>
        <v>545.10556621881</v>
      </c>
      <c r="Q358" s="4" t="str">
        <f t="shared" si="246"/>
        <v>1+3371.60981472135i</v>
      </c>
      <c r="R358" s="4">
        <f t="shared" si="255"/>
        <v>3371.6099630184594</v>
      </c>
      <c r="S358" s="4">
        <f t="shared" si="256"/>
        <v>1.5704997325785934</v>
      </c>
      <c r="T358" s="4" t="str">
        <f t="shared" si="247"/>
        <v>1+0.078913239598824i</v>
      </c>
      <c r="U358" s="4">
        <f t="shared" si="257"/>
        <v>1.0031088173194278</v>
      </c>
      <c r="V358" s="4">
        <f t="shared" si="258"/>
        <v>7.8750043472804065E-2</v>
      </c>
      <c r="W358" t="str">
        <f t="shared" si="248"/>
        <v>1-0.0819750732952581i</v>
      </c>
      <c r="X358" s="4">
        <f t="shared" si="259"/>
        <v>1.0033543305541481</v>
      </c>
      <c r="Y358" s="4">
        <f t="shared" si="260"/>
        <v>-8.1792188336345426E-2</v>
      </c>
      <c r="Z358" t="str">
        <f t="shared" si="249"/>
        <v>0.959618729953267+0.354987945453651i</v>
      </c>
      <c r="AA358" s="4">
        <f t="shared" si="261"/>
        <v>1.0231737625127637</v>
      </c>
      <c r="AB358" s="4">
        <f t="shared" si="262"/>
        <v>0.35431485317130307</v>
      </c>
      <c r="AC358" s="48" t="str">
        <f t="shared" si="263"/>
        <v>-0.0555866160627541-0.149005616331994i</v>
      </c>
      <c r="AD358" s="20">
        <f t="shared" si="264"/>
        <v>-15.970074586209632</v>
      </c>
      <c r="AE358" s="44">
        <f t="shared" si="265"/>
        <v>-110.45805417003923</v>
      </c>
      <c r="AF358" t="str">
        <f t="shared" si="250"/>
        <v>-0.979317078436135</v>
      </c>
      <c r="AG358" t="str">
        <f t="shared" si="266"/>
        <v>157826.479197648i</v>
      </c>
      <c r="AH358">
        <f t="shared" si="267"/>
        <v>157826.479197648</v>
      </c>
      <c r="AI358">
        <f t="shared" si="268"/>
        <v>1.5707963267948966</v>
      </c>
      <c r="AJ358" t="str">
        <f t="shared" si="251"/>
        <v>-384.568970474642+154.657323495359i</v>
      </c>
      <c r="AK358">
        <f t="shared" si="269"/>
        <v>414.50232901960175</v>
      </c>
      <c r="AL358">
        <f t="shared" si="270"/>
        <v>2.759227685390329</v>
      </c>
      <c r="AM358" t="str">
        <f t="shared" si="252"/>
        <v>1+21956.8197859768i</v>
      </c>
      <c r="AN358">
        <f t="shared" si="271"/>
        <v>21956.819808748769</v>
      </c>
      <c r="AO358">
        <f t="shared" si="272"/>
        <v>1.5707507828587048</v>
      </c>
      <c r="AP358" t="str">
        <f t="shared" si="253"/>
        <v>1+148.356890445789i</v>
      </c>
      <c r="AQ358">
        <f t="shared" si="273"/>
        <v>148.36026065878906</v>
      </c>
      <c r="AR358">
        <f t="shared" si="274"/>
        <v>1.5640559263145652</v>
      </c>
      <c r="AS358" s="42" t="str">
        <f t="shared" si="275"/>
        <v>-0.0178873564540224+0.0453653616102611i</v>
      </c>
      <c r="AT358">
        <f t="shared" si="276"/>
        <v>-26.237929794087425</v>
      </c>
      <c r="AU358" s="44">
        <f t="shared" si="277"/>
        <v>111.51909293640611</v>
      </c>
      <c r="AV358" s="42" t="str">
        <f t="shared" si="254"/>
        <v>0.0077539912824481+0.00014360963460409i</v>
      </c>
      <c r="AW358" s="20">
        <f t="shared" si="278"/>
        <v>-42.208004380297062</v>
      </c>
      <c r="AX358" s="44">
        <f t="shared" si="279"/>
        <v>1.0610387663668681</v>
      </c>
    </row>
    <row r="359" spans="14:50" x14ac:dyDescent="0.3">
      <c r="N359" s="8">
        <v>41</v>
      </c>
      <c r="O359" s="35">
        <f t="shared" si="244"/>
        <v>25703.95782768865</v>
      </c>
      <c r="P359" s="34" t="str">
        <f t="shared" si="245"/>
        <v>545.10556621881</v>
      </c>
      <c r="Q359" s="4" t="str">
        <f t="shared" si="246"/>
        <v>1+3450.14469610936i</v>
      </c>
      <c r="R359" s="4">
        <f t="shared" si="255"/>
        <v>3450.1448410308158</v>
      </c>
      <c r="S359" s="4">
        <f t="shared" si="256"/>
        <v>1.5705064838868223</v>
      </c>
      <c r="T359" s="4" t="str">
        <f t="shared" si="247"/>
        <v>1+0.0807513650796485i</v>
      </c>
      <c r="U359" s="4">
        <f t="shared" si="257"/>
        <v>1.0032550936637334</v>
      </c>
      <c r="V359" s="4">
        <f t="shared" si="258"/>
        <v>8.0576527908187895E-2</v>
      </c>
      <c r="W359" t="str">
        <f t="shared" si="248"/>
        <v>1-0.0838845180447386i</v>
      </c>
      <c r="X359" s="4">
        <f t="shared" si="259"/>
        <v>1.0035121386249386</v>
      </c>
      <c r="Y359" s="4">
        <f t="shared" si="260"/>
        <v>-8.3688590303398258E-2</v>
      </c>
      <c r="Z359" t="str">
        <f t="shared" si="249"/>
        <v>0.957715619327514+0.363256676926862i</v>
      </c>
      <c r="AA359" s="4">
        <f t="shared" si="261"/>
        <v>1.0242922536248287</v>
      </c>
      <c r="AB359" s="4">
        <f t="shared" si="262"/>
        <v>0.36253075953606229</v>
      </c>
      <c r="AC359" s="48" t="str">
        <f t="shared" si="263"/>
        <v>-0.0554831222428788-0.145043815099354i</v>
      </c>
      <c r="AD359" s="20">
        <f t="shared" si="264"/>
        <v>-16.176931913372261</v>
      </c>
      <c r="AE359" s="44">
        <f t="shared" si="265"/>
        <v>-110.933183730561</v>
      </c>
      <c r="AF359" t="str">
        <f t="shared" si="250"/>
        <v>-0.979317078436135</v>
      </c>
      <c r="AG359" t="str">
        <f t="shared" si="266"/>
        <v>161502.730159297i</v>
      </c>
      <c r="AH359">
        <f t="shared" si="267"/>
        <v>161502.730159297</v>
      </c>
      <c r="AI359">
        <f t="shared" si="268"/>
        <v>1.5707963267948966</v>
      </c>
      <c r="AJ359" t="str">
        <f t="shared" si="251"/>
        <v>-402.74027622659+158.259755337698i</v>
      </c>
      <c r="AK359">
        <f t="shared" si="269"/>
        <v>432.71917019542599</v>
      </c>
      <c r="AL359">
        <f t="shared" si="270"/>
        <v>2.7671722234030449</v>
      </c>
      <c r="AM359" t="str">
        <f t="shared" si="252"/>
        <v>1+22468.2598197614i</v>
      </c>
      <c r="AN359">
        <f t="shared" si="271"/>
        <v>22468.25984201501</v>
      </c>
      <c r="AO359">
        <f t="shared" si="272"/>
        <v>1.5707518195652597</v>
      </c>
      <c r="AP359" t="str">
        <f t="shared" si="253"/>
        <v>1+151.81256634974i</v>
      </c>
      <c r="AQ359">
        <f t="shared" si="273"/>
        <v>151.81585984900988</v>
      </c>
      <c r="AR359">
        <f t="shared" si="274"/>
        <v>1.5642093520716771</v>
      </c>
      <c r="AS359" s="42" t="str">
        <f t="shared" si="275"/>
        <v>-0.0171864814765215+0.0446029467956708i</v>
      </c>
      <c r="AT359">
        <f t="shared" si="276"/>
        <v>-26.411521884671004</v>
      </c>
      <c r="AU359" s="44">
        <f t="shared" si="277"/>
        <v>111.07275448535746</v>
      </c>
      <c r="AV359" s="42" t="str">
        <f t="shared" si="254"/>
        <v>0.00742294122060441+0.0000180820920322343i</v>
      </c>
      <c r="AW359" s="20">
        <f t="shared" si="278"/>
        <v>-42.588453798043275</v>
      </c>
      <c r="AX359" s="44">
        <f t="shared" si="279"/>
        <v>0.13957075479645659</v>
      </c>
    </row>
    <row r="360" spans="14:50" x14ac:dyDescent="0.3">
      <c r="N360" s="8">
        <v>42</v>
      </c>
      <c r="O360" s="35">
        <f t="shared" si="244"/>
        <v>26302.679918953829</v>
      </c>
      <c r="P360" s="34" t="str">
        <f t="shared" si="245"/>
        <v>545.10556621881</v>
      </c>
      <c r="Q360" s="4" t="str">
        <f t="shared" si="246"/>
        <v>1+3530.50888988331i</v>
      </c>
      <c r="R360" s="4">
        <f t="shared" si="255"/>
        <v>3530.5090315059506</v>
      </c>
      <c r="S360" s="4">
        <f t="shared" si="256"/>
        <v>1.5705130815165396</v>
      </c>
      <c r="T360" s="4" t="str">
        <f t="shared" si="247"/>
        <v>1+0.082632306003109i</v>
      </c>
      <c r="U360" s="4">
        <f t="shared" si="257"/>
        <v>1.0034082409445277</v>
      </c>
      <c r="V360" s="4">
        <f t="shared" si="258"/>
        <v>8.2444998949262271E-2</v>
      </c>
      <c r="W360" t="str">
        <f t="shared" si="248"/>
        <v>1-0.0858384394760294i</v>
      </c>
      <c r="X360" s="4">
        <f t="shared" si="259"/>
        <v>1.0036773573672368</v>
      </c>
      <c r="Y360" s="4">
        <f t="shared" si="260"/>
        <v>-8.5628540639874573E-2</v>
      </c>
      <c r="Z360" t="str">
        <f t="shared" si="249"/>
        <v>0.955722817861188+0.371718011898452i</v>
      </c>
      <c r="AA360" s="4">
        <f t="shared" si="261"/>
        <v>1.025465935538703</v>
      </c>
      <c r="AB360" s="4">
        <f t="shared" si="262"/>
        <v>0.3709349387766484</v>
      </c>
      <c r="AC360" s="48" t="str">
        <f t="shared" si="263"/>
        <v>-0.0553746360987338-0.141160293589922i</v>
      </c>
      <c r="AD360" s="20">
        <f t="shared" si="264"/>
        <v>-16.384123162509688</v>
      </c>
      <c r="AE360" s="44">
        <f t="shared" si="265"/>
        <v>-111.4191812096047</v>
      </c>
      <c r="AF360" t="str">
        <f t="shared" si="250"/>
        <v>-0.979317078436135</v>
      </c>
      <c r="AG360" t="str">
        <f t="shared" si="266"/>
        <v>165264.612006218i</v>
      </c>
      <c r="AH360">
        <f t="shared" si="267"/>
        <v>165264.612006218</v>
      </c>
      <c r="AI360">
        <f t="shared" si="268"/>
        <v>1.5707963267948966</v>
      </c>
      <c r="AJ360" t="str">
        <f t="shared" si="251"/>
        <v>-421.767969234817+161.946098597133i</v>
      </c>
      <c r="AK360">
        <f t="shared" si="269"/>
        <v>451.79061380610136</v>
      </c>
      <c r="AL360">
        <f t="shared" si="270"/>
        <v>2.7749814647583628</v>
      </c>
      <c r="AM360" t="str">
        <f t="shared" si="252"/>
        <v>1+22991.612822305i</v>
      </c>
      <c r="AN360">
        <f t="shared" si="271"/>
        <v>22991.612844052059</v>
      </c>
      <c r="AO360">
        <f t="shared" si="272"/>
        <v>1.5707528326734925</v>
      </c>
      <c r="AP360" t="str">
        <f t="shared" si="253"/>
        <v>1+155.348735285845i</v>
      </c>
      <c r="AQ360">
        <f t="shared" si="273"/>
        <v>155.35195381749003</v>
      </c>
      <c r="AR360">
        <f t="shared" si="274"/>
        <v>1.5643592857318374</v>
      </c>
      <c r="AS360" s="42" t="str">
        <f t="shared" si="275"/>
        <v>-0.0165091232688494+0.0438428749223436i</v>
      </c>
      <c r="AT360">
        <f t="shared" si="276"/>
        <v>-26.586151733141506</v>
      </c>
      <c r="AU360" s="44">
        <f t="shared" si="277"/>
        <v>110.63396652725886</v>
      </c>
      <c r="AV360" s="42" t="str">
        <f t="shared" si="254"/>
        <v>0.00710305978918593-0.0000973505568040846i</v>
      </c>
      <c r="AW360" s="20">
        <f t="shared" si="278"/>
        <v>-42.970274895651187</v>
      </c>
      <c r="AX360" s="44">
        <f t="shared" si="279"/>
        <v>-0.7852146823458247</v>
      </c>
    </row>
    <row r="361" spans="14:50" x14ac:dyDescent="0.3">
      <c r="N361" s="8">
        <v>43</v>
      </c>
      <c r="O361" s="35">
        <f t="shared" si="244"/>
        <v>26915.348039269167</v>
      </c>
      <c r="P361" s="34" t="str">
        <f t="shared" si="245"/>
        <v>545.10556621881</v>
      </c>
      <c r="Q361" s="4" t="str">
        <f t="shared" si="246"/>
        <v>1+3612.74500620251i</v>
      </c>
      <c r="R361" s="4">
        <f t="shared" si="255"/>
        <v>3612.7451446014256</v>
      </c>
      <c r="S361" s="4">
        <f t="shared" si="256"/>
        <v>1.5705195289658929</v>
      </c>
      <c r="T361" s="4" t="str">
        <f t="shared" si="247"/>
        <v>1+0.0845570596689805i</v>
      </c>
      <c r="U361" s="4">
        <f t="shared" si="257"/>
        <v>1.0035685807855204</v>
      </c>
      <c r="V361" s="4">
        <f t="shared" si="258"/>
        <v>8.4356395069626527E-2</v>
      </c>
      <c r="W361" t="str">
        <f t="shared" si="248"/>
        <v>1-0.0878378735841367i</v>
      </c>
      <c r="X361" s="4">
        <f t="shared" si="259"/>
        <v>1.0038503334839226</v>
      </c>
      <c r="Y361" s="4">
        <f t="shared" si="260"/>
        <v>-8.7613009494080268E-2</v>
      </c>
      <c r="Z361" t="str">
        <f t="shared" si="249"/>
        <v>0.9536360985552+0.38037643668022i</v>
      </c>
      <c r="AA361" s="4">
        <f t="shared" si="261"/>
        <v>1.0266976390589027</v>
      </c>
      <c r="AB361" s="4">
        <f t="shared" si="262"/>
        <v>0.3795315033627924</v>
      </c>
      <c r="AC361" s="48" t="str">
        <f t="shared" si="263"/>
        <v>-0.0552609414581575-0.137353094783346i</v>
      </c>
      <c r="AD361" s="20">
        <f t="shared" si="264"/>
        <v>-16.591664976752472</v>
      </c>
      <c r="AE361" s="44">
        <f t="shared" si="265"/>
        <v>-111.91628424958546</v>
      </c>
      <c r="AF361" t="str">
        <f t="shared" si="250"/>
        <v>-0.979317078436135</v>
      </c>
      <c r="AG361" t="str">
        <f t="shared" si="266"/>
        <v>169114.119337961i</v>
      </c>
      <c r="AH361">
        <f t="shared" si="267"/>
        <v>169114.11933796099</v>
      </c>
      <c r="AI361">
        <f t="shared" si="268"/>
        <v>1.5707963267948966</v>
      </c>
      <c r="AJ361" t="str">
        <f t="shared" si="251"/>
        <v>-441.692409787283+165.718307821655i</v>
      </c>
      <c r="AK361">
        <f t="shared" si="269"/>
        <v>471.75707987370993</v>
      </c>
      <c r="AL361">
        <f t="shared" si="270"/>
        <v>2.7826559490899436</v>
      </c>
      <c r="AM361" t="str">
        <f t="shared" si="252"/>
        <v>1+23527.1562822971i</v>
      </c>
      <c r="AN361">
        <f t="shared" si="271"/>
        <v>23527.156303549134</v>
      </c>
      <c r="AO361">
        <f t="shared" si="272"/>
        <v>1.5707538227205666</v>
      </c>
      <c r="AP361" t="str">
        <f t="shared" si="253"/>
        <v>1+158.967272177684i</v>
      </c>
      <c r="AQ361">
        <f t="shared" si="273"/>
        <v>158.97041744807072</v>
      </c>
      <c r="AR361">
        <f t="shared" si="274"/>
        <v>1.564505806764878</v>
      </c>
      <c r="AS361" s="42" t="str">
        <f t="shared" si="275"/>
        <v>-0.0158548002594065+0.0430858133729148i</v>
      </c>
      <c r="AT361">
        <f t="shared" si="276"/>
        <v>-26.761784283895317</v>
      </c>
      <c r="AU361" s="44">
        <f t="shared" si="277"/>
        <v>110.20270272744193</v>
      </c>
      <c r="AV361" s="42" t="str">
        <f t="shared" si="254"/>
        <v>0.00679412099699337-0.000203256727676464i</v>
      </c>
      <c r="AW361" s="20">
        <f t="shared" si="278"/>
        <v>-43.353449260647778</v>
      </c>
      <c r="AX361" s="44">
        <f t="shared" si="279"/>
        <v>-1.7135815221435367</v>
      </c>
    </row>
    <row r="362" spans="14:50" x14ac:dyDescent="0.3">
      <c r="N362" s="8">
        <v>44</v>
      </c>
      <c r="O362" s="35">
        <f t="shared" si="244"/>
        <v>27542.287033381719</v>
      </c>
      <c r="P362" s="34" t="str">
        <f t="shared" si="245"/>
        <v>545.10556621881</v>
      </c>
      <c r="Q362" s="4" t="str">
        <f t="shared" si="246"/>
        <v>1+3696.89664774432i</v>
      </c>
      <c r="R362" s="4">
        <f t="shared" si="255"/>
        <v>3696.8967829928915</v>
      </c>
      <c r="S362" s="4">
        <f t="shared" si="256"/>
        <v>1.5705258296534035</v>
      </c>
      <c r="T362" s="4" t="str">
        <f t="shared" si="247"/>
        <v>1+0.0865266466071335i</v>
      </c>
      <c r="U362" s="4">
        <f t="shared" si="257"/>
        <v>1.0037364497581402</v>
      </c>
      <c r="V362" s="4">
        <f t="shared" si="258"/>
        <v>8.6311673820436516E-2</v>
      </c>
      <c r="W362" t="str">
        <f t="shared" si="248"/>
        <v>1-0.08988388049549i</v>
      </c>
      <c r="X362" s="4">
        <f t="shared" si="259"/>
        <v>1.0040314297734547</v>
      </c>
      <c r="Y362" s="4">
        <f t="shared" si="260"/>
        <v>-8.9642986502424693E-2</v>
      </c>
      <c r="Z362" t="str">
        <f t="shared" si="249"/>
        <v>0.951451035198132+0.389236542083594i</v>
      </c>
      <c r="AA362" s="4">
        <f t="shared" si="261"/>
        <v>1.0279903492118934</v>
      </c>
      <c r="AB362" s="4">
        <f t="shared" si="262"/>
        <v>0.38832463627151204</v>
      </c>
      <c r="AC362" s="48" t="str">
        <f t="shared" si="263"/>
        <v>-0.0551418128148362-0.133620309760803i</v>
      </c>
      <c r="AD362" s="20">
        <f t="shared" si="264"/>
        <v>-16.79957485241038</v>
      </c>
      <c r="AE362" s="44">
        <f t="shared" si="265"/>
        <v>-112.42473455164887</v>
      </c>
      <c r="AF362" t="str">
        <f t="shared" si="250"/>
        <v>-0.979317078436135</v>
      </c>
      <c r="AG362" t="str">
        <f t="shared" si="266"/>
        <v>173053.293214267i</v>
      </c>
      <c r="AH362">
        <f t="shared" si="267"/>
        <v>173053.293214267</v>
      </c>
      <c r="AI362">
        <f t="shared" si="268"/>
        <v>1.5707963267948966</v>
      </c>
      <c r="AJ362" t="str">
        <f t="shared" si="251"/>
        <v>-462.555860293714+169.578383086524i</v>
      </c>
      <c r="AK362">
        <f t="shared" si="269"/>
        <v>492.66088935727151</v>
      </c>
      <c r="AL362">
        <f t="shared" si="270"/>
        <v>2.7901963266674055</v>
      </c>
      <c r="AM362" t="str">
        <f t="shared" si="252"/>
        <v>1+24075.1741519688i</v>
      </c>
      <c r="AN362">
        <f t="shared" si="271"/>
        <v>24075.174172737083</v>
      </c>
      <c r="AO362">
        <f t="shared" si="272"/>
        <v>1.5707547902314178</v>
      </c>
      <c r="AP362" t="str">
        <f t="shared" si="253"/>
        <v>1+162.670095621411i</v>
      </c>
      <c r="AQ362">
        <f t="shared" si="273"/>
        <v>162.6731692980714</v>
      </c>
      <c r="AR362">
        <f t="shared" si="274"/>
        <v>1.5646489928330112</v>
      </c>
      <c r="AS362" s="42" t="str">
        <f t="shared" si="275"/>
        <v>-0.0152230158889708+0.0423323906628522i</v>
      </c>
      <c r="AT362">
        <f t="shared" si="276"/>
        <v>-26.938385218145484</v>
      </c>
      <c r="AU362" s="44">
        <f t="shared" si="277"/>
        <v>109.77893030799581</v>
      </c>
      <c r="AV362" s="42" t="str">
        <f t="shared" si="254"/>
        <v>0.00649589184591254-0.000300180663357612i</v>
      </c>
      <c r="AW362" s="20">
        <f t="shared" si="278"/>
        <v>-43.737960070555872</v>
      </c>
      <c r="AX362" s="44">
        <f t="shared" si="279"/>
        <v>-2.6458042436530702</v>
      </c>
    </row>
    <row r="363" spans="14:50" x14ac:dyDescent="0.3">
      <c r="N363" s="8">
        <v>45</v>
      </c>
      <c r="O363" s="35">
        <f t="shared" si="244"/>
        <v>28183.829312644593</v>
      </c>
      <c r="P363" s="34" t="str">
        <f t="shared" si="245"/>
        <v>545.10556621881</v>
      </c>
      <c r="Q363" s="4" t="str">
        <f t="shared" si="246"/>
        <v>1+3783.00843282298i</v>
      </c>
      <c r="R363" s="4">
        <f t="shared" si="255"/>
        <v>3783.0085649929183</v>
      </c>
      <c r="S363" s="4">
        <f t="shared" si="256"/>
        <v>1.5705319869197771</v>
      </c>
      <c r="T363" s="4" t="str">
        <f t="shared" si="247"/>
        <v>1+0.088542111118633i</v>
      </c>
      <c r="U363" s="4">
        <f t="shared" si="257"/>
        <v>1.0039122000659939</v>
      </c>
      <c r="V363" s="4">
        <f t="shared" si="258"/>
        <v>8.8311812081110649E-2</v>
      </c>
      <c r="W363" t="str">
        <f t="shared" si="248"/>
        <v>1-0.0919775450300357i</v>
      </c>
      <c r="X363" s="4">
        <f t="shared" si="259"/>
        <v>1.0042210258651989</v>
      </c>
      <c r="Y363" s="4">
        <f t="shared" si="260"/>
        <v>-9.1719481027379104E-2</v>
      </c>
      <c r="Z363" t="str">
        <f t="shared" si="249"/>
        <v>0.949162992977646+0.398303025853735i</v>
      </c>
      <c r="AA363" s="4">
        <f t="shared" si="261"/>
        <v>1.0293472143268878</v>
      </c>
      <c r="AB363" s="4">
        <f t="shared" si="262"/>
        <v>0.39731859020167393</v>
      </c>
      <c r="AC363" s="48" t="str">
        <f t="shared" si="263"/>
        <v>-0.0550170150634312-0.129960077260779i</v>
      </c>
      <c r="AD363" s="20">
        <f t="shared" si="264"/>
        <v>-17.00787118321924</v>
      </c>
      <c r="AE363" s="44">
        <f t="shared" si="265"/>
        <v>-112.94477783004149</v>
      </c>
      <c r="AF363" t="str">
        <f t="shared" si="250"/>
        <v>-0.979317078436135</v>
      </c>
      <c r="AG363" t="str">
        <f t="shared" si="266"/>
        <v>177084.222237266i</v>
      </c>
      <c r="AH363">
        <f t="shared" si="267"/>
        <v>177084.22223726599</v>
      </c>
      <c r="AI363">
        <f t="shared" si="268"/>
        <v>1.5707963267948966</v>
      </c>
      <c r="AJ363" t="str">
        <f t="shared" si="251"/>
        <v>-484.402574929841+173.528371054742i</v>
      </c>
      <c r="AK363">
        <f t="shared" si="269"/>
        <v>514.54635375209148</v>
      </c>
      <c r="AL363">
        <f t="shared" si="270"/>
        <v>2.7976033517433834</v>
      </c>
      <c r="AM363" t="str">
        <f t="shared" si="252"/>
        <v>1+24635.9569976484i</v>
      </c>
      <c r="AN363">
        <f t="shared" si="271"/>
        <v>24635.95701794394</v>
      </c>
      <c r="AO363">
        <f t="shared" si="272"/>
        <v>1.5707557357190336</v>
      </c>
      <c r="AP363" t="str">
        <f t="shared" si="253"/>
        <v>1+166.45916890303i</v>
      </c>
      <c r="AQ363">
        <f t="shared" si="273"/>
        <v>166.46217261554492</v>
      </c>
      <c r="AR363">
        <f t="shared" si="274"/>
        <v>1.5647889198318867</v>
      </c>
      <c r="AS363" s="42" t="str">
        <f t="shared" si="275"/>
        <v>-0.0146132610702923+0.0415831970110582i</v>
      </c>
      <c r="AT363">
        <f t="shared" si="276"/>
        <v>-27.115920974627198</v>
      </c>
      <c r="AU363" s="44">
        <f t="shared" si="277"/>
        <v>109.36261043132022</v>
      </c>
      <c r="AV363" s="42" t="str">
        <f t="shared" si="254"/>
        <v>0.00620813350073744-0.000388642838615895i</v>
      </c>
      <c r="AW363" s="20">
        <f t="shared" si="278"/>
        <v>-44.123792157846438</v>
      </c>
      <c r="AX363" s="44">
        <f t="shared" si="279"/>
        <v>-3.5821673987212668</v>
      </c>
    </row>
    <row r="364" spans="14:50" x14ac:dyDescent="0.3">
      <c r="N364" s="8">
        <v>46</v>
      </c>
      <c r="O364" s="35">
        <f t="shared" si="244"/>
        <v>28840.315031266062</v>
      </c>
      <c r="P364" s="34" t="str">
        <f t="shared" si="245"/>
        <v>545.10556621881</v>
      </c>
      <c r="Q364" s="4" t="str">
        <f t="shared" si="246"/>
        <v>1+3871.12601904673i</v>
      </c>
      <c r="R364" s="4">
        <f t="shared" si="255"/>
        <v>3871.1261482081127</v>
      </c>
      <c r="S364" s="4">
        <f t="shared" si="256"/>
        <v>1.5705380040296764</v>
      </c>
      <c r="T364" s="4" t="str">
        <f t="shared" si="247"/>
        <v>1+0.0906045218294405i</v>
      </c>
      <c r="U364" s="4">
        <f t="shared" si="257"/>
        <v>1.0040962002596872</v>
      </c>
      <c r="V364" s="4">
        <f t="shared" si="258"/>
        <v>9.0357806302661214E-2</v>
      </c>
      <c r="W364" t="str">
        <f t="shared" si="248"/>
        <v>1-0.0941199772764225i</v>
      </c>
      <c r="X364" s="4">
        <f t="shared" si="259"/>
        <v>1.004419518987218</v>
      </c>
      <c r="Y364" s="4">
        <f t="shared" si="260"/>
        <v>-9.3843522386298048E-2</v>
      </c>
      <c r="Z364" t="str">
        <f t="shared" si="249"/>
        <v>0.946767118649429+0.407580695160345i</v>
      </c>
      <c r="AA364" s="4">
        <f t="shared" si="261"/>
        <v>1.0307715556917216</v>
      </c>
      <c r="AB364" s="4">
        <f t="shared" si="262"/>
        <v>0.40651768653512554</v>
      </c>
      <c r="AC364" s="48" t="str">
        <f t="shared" si="263"/>
        <v>-0.0548863032408032-0.126370583300367i</v>
      </c>
      <c r="AD364" s="20">
        <f t="shared" si="264"/>
        <v>-17.216573306708892</v>
      </c>
      <c r="AE364" s="44">
        <f t="shared" si="265"/>
        <v>-113.47666375185889</v>
      </c>
      <c r="AF364" t="str">
        <f t="shared" si="250"/>
        <v>-0.979317078436135</v>
      </c>
      <c r="AG364" t="str">
        <f t="shared" si="266"/>
        <v>181209.043658881i</v>
      </c>
      <c r="AH364">
        <f t="shared" si="267"/>
        <v>181209.04365888101</v>
      </c>
      <c r="AI364">
        <f t="shared" si="268"/>
        <v>1.5707963267948966</v>
      </c>
      <c r="AJ364" t="str">
        <f t="shared" si="251"/>
        <v>-507.278893506447+177.570366062211i</v>
      </c>
      <c r="AK364">
        <f t="shared" si="269"/>
        <v>537.45986892101337</v>
      </c>
      <c r="AL364">
        <f t="shared" si="270"/>
        <v>2.8048778760097575</v>
      </c>
      <c r="AM364" t="str">
        <f t="shared" si="252"/>
        <v>1+25209.8021538235i</v>
      </c>
      <c r="AN364">
        <f t="shared" si="271"/>
        <v>25209.802173657055</v>
      </c>
      <c r="AO364">
        <f t="shared" si="272"/>
        <v>1.5707566596847236</v>
      </c>
      <c r="AP364" t="str">
        <f t="shared" si="253"/>
        <v>1+170.336501039349i</v>
      </c>
      <c r="AQ364">
        <f t="shared" si="273"/>
        <v>170.33943638021157</v>
      </c>
      <c r="AR364">
        <f t="shared" si="274"/>
        <v>1.5649256619307212</v>
      </c>
      <c r="AS364" s="42" t="str">
        <f t="shared" si="275"/>
        <v>-0.0140250165133378+0.040838785035566i</v>
      </c>
      <c r="AT364">
        <f t="shared" si="276"/>
        <v>-27.294358766700668</v>
      </c>
      <c r="AU364" s="44">
        <f t="shared" si="277"/>
        <v>108.95369857737091</v>
      </c>
      <c r="AV364" s="42" t="str">
        <f t="shared" si="254"/>
        <v>0.00593060239553111-0.000469140421860274i</v>
      </c>
      <c r="AW364" s="20">
        <f t="shared" si="278"/>
        <v>-44.510932073409549</v>
      </c>
      <c r="AX364" s="44">
        <f t="shared" si="279"/>
        <v>-4.522965174487986</v>
      </c>
    </row>
    <row r="365" spans="14:50" x14ac:dyDescent="0.3">
      <c r="N365" s="8">
        <v>47</v>
      </c>
      <c r="O365" s="35">
        <f t="shared" si="244"/>
        <v>29512.092266663854</v>
      </c>
      <c r="P365" s="34" t="str">
        <f t="shared" si="245"/>
        <v>545.10556621881</v>
      </c>
      <c r="Q365" s="4" t="str">
        <f t="shared" si="246"/>
        <v>1+3961.29612752623i</v>
      </c>
      <c r="R365" s="4">
        <f t="shared" si="255"/>
        <v>3961.2962537475419</v>
      </c>
      <c r="S365" s="4">
        <f t="shared" si="256"/>
        <v>1.5705438841734505</v>
      </c>
      <c r="T365" s="4" t="str">
        <f t="shared" si="247"/>
        <v>1+0.0927149722570155i</v>
      </c>
      <c r="U365" s="4">
        <f t="shared" si="257"/>
        <v>1.004288835983264</v>
      </c>
      <c r="V365" s="4">
        <f t="shared" si="258"/>
        <v>9.2450672742613441E-2</v>
      </c>
      <c r="W365" t="str">
        <f t="shared" si="248"/>
        <v>1-0.0963123131805874i</v>
      </c>
      <c r="X365" s="4">
        <f t="shared" si="259"/>
        <v>1.0046273247678441</v>
      </c>
      <c r="Y365" s="4">
        <f t="shared" si="260"/>
        <v>-9.6016160069935907E-2</v>
      </c>
      <c r="Z365" t="str">
        <f t="shared" si="249"/>
        <v>0.944258330242811+0.417074469146501i</v>
      </c>
      <c r="AA365" s="4">
        <f t="shared" si="261"/>
        <v>1.0322668778212238</v>
      </c>
      <c r="AB365" s="4">
        <f t="shared" si="262"/>
        <v>0.41592631401650243</v>
      </c>
      <c r="AC365" s="48" t="str">
        <f t="shared" si="263"/>
        <v>-0.05474942227596-0.122850060864256i</v>
      </c>
      <c r="AD365" s="20">
        <f t="shared" si="264"/>
        <v>-17.425701552749384</v>
      </c>
      <c r="AE365" s="44">
        <f t="shared" si="265"/>
        <v>-114.02064586056345</v>
      </c>
      <c r="AF365" t="str">
        <f t="shared" si="250"/>
        <v>-0.979317078436135</v>
      </c>
      <c r="AG365" t="str">
        <f t="shared" si="266"/>
        <v>185429.944514031i</v>
      </c>
      <c r="AH365">
        <f t="shared" si="267"/>
        <v>185429.944514031</v>
      </c>
      <c r="AI365">
        <f t="shared" si="268"/>
        <v>1.5707963267948966</v>
      </c>
      <c r="AJ365" t="str">
        <f t="shared" si="251"/>
        <v>-531.233339762329+181.706511228189i</v>
      </c>
      <c r="AK365">
        <f t="shared" si="269"/>
        <v>561.45001335627217</v>
      </c>
      <c r="AL365">
        <f t="shared" si="270"/>
        <v>2.8120208421833444</v>
      </c>
      <c r="AM365" t="str">
        <f t="shared" si="252"/>
        <v>1+25797.013880792i</v>
      </c>
      <c r="AN365">
        <f t="shared" si="271"/>
        <v>25797.013900174086</v>
      </c>
      <c r="AO365">
        <f t="shared" si="272"/>
        <v>1.5707575626183869</v>
      </c>
      <c r="AP365" t="str">
        <f t="shared" si="253"/>
        <v>1+174.30414784319i</v>
      </c>
      <c r="AQ365">
        <f t="shared" si="273"/>
        <v>174.3070163686495</v>
      </c>
      <c r="AR365">
        <f t="shared" si="274"/>
        <v>1.5650592916115191</v>
      </c>
      <c r="AS365" s="42" t="str">
        <f t="shared" si="275"/>
        <v>-0.0134577549140054+0.0400996705590008i</v>
      </c>
      <c r="AT365">
        <f t="shared" si="276"/>
        <v>-27.47366659605423</v>
      </c>
      <c r="AU365" s="44">
        <f t="shared" si="277"/>
        <v>108.55214491343511</v>
      </c>
      <c r="AV365" s="42" t="str">
        <f t="shared" si="254"/>
        <v>0.00566305127548312-0.000542147786279812i</v>
      </c>
      <c r="AW365" s="20">
        <f t="shared" si="278"/>
        <v>-44.899368148803617</v>
      </c>
      <c r="AX365" s="44">
        <f t="shared" si="279"/>
        <v>-5.468500947128331</v>
      </c>
    </row>
    <row r="366" spans="14:50" x14ac:dyDescent="0.3">
      <c r="N366" s="8">
        <v>48</v>
      </c>
      <c r="O366" s="35">
        <f t="shared" si="244"/>
        <v>30199.517204020212</v>
      </c>
      <c r="P366" s="34" t="str">
        <f t="shared" si="245"/>
        <v>545.10556621881</v>
      </c>
      <c r="Q366" s="4" t="str">
        <f t="shared" si="246"/>
        <v>1+4053.56656764648i</v>
      </c>
      <c r="R366" s="4">
        <f t="shared" si="255"/>
        <v>4053.5666909946435</v>
      </c>
      <c r="S366" s="4">
        <f t="shared" si="256"/>
        <v>1.5705496304688278</v>
      </c>
      <c r="T366" s="4" t="str">
        <f t="shared" si="247"/>
        <v>1+0.0948745813901085i</v>
      </c>
      <c r="U366" s="4">
        <f t="shared" si="257"/>
        <v>1.0044905107535602</v>
      </c>
      <c r="V366" s="4">
        <f t="shared" si="258"/>
        <v>9.4591447690385091E-2</v>
      </c>
      <c r="W366" t="str">
        <f t="shared" si="248"/>
        <v>1-0.0985557151480444i</v>
      </c>
      <c r="X366" s="4">
        <f t="shared" si="259"/>
        <v>1.0048448780724029</v>
      </c>
      <c r="Y366" s="4">
        <f t="shared" si="260"/>
        <v>-9.8238463949391938E-2</v>
      </c>
      <c r="Z366" t="str">
        <f t="shared" si="249"/>
        <v>0.941631306281221+0.42678938153683i</v>
      </c>
      <c r="AA366" s="4">
        <f t="shared" si="261"/>
        <v>1.0338368793777231</v>
      </c>
      <c r="AB366" s="4">
        <f t="shared" si="262"/>
        <v>0.42554892712130327</v>
      </c>
      <c r="AC366" s="48" t="str">
        <f t="shared" si="263"/>
        <v>-0.0546061067517384-0.11939678966368i</v>
      </c>
      <c r="AD366" s="20">
        <f t="shared" si="264"/>
        <v>-17.635277294323952</v>
      </c>
      <c r="AE366" s="44">
        <f t="shared" si="265"/>
        <v>-114.57698148152249</v>
      </c>
      <c r="AF366" t="str">
        <f t="shared" si="250"/>
        <v>-0.979317078436135</v>
      </c>
      <c r="AG366" t="str">
        <f t="shared" si="266"/>
        <v>189749.162780217i</v>
      </c>
      <c r="AH366">
        <f t="shared" si="267"/>
        <v>189749.16278021701</v>
      </c>
      <c r="AI366">
        <f t="shared" si="268"/>
        <v>1.5707963267948966</v>
      </c>
      <c r="AJ366" t="str">
        <f t="shared" si="251"/>
        <v>-556.316724289609+185.93899959159i</v>
      </c>
      <c r="AK366">
        <f t="shared" si="269"/>
        <v>586.5676510799434</v>
      </c>
      <c r="AL366">
        <f t="shared" si="270"/>
        <v>2.8190332777388667</v>
      </c>
      <c r="AM366" t="str">
        <f t="shared" si="252"/>
        <v>1+26397.9035259838i</v>
      </c>
      <c r="AN366">
        <f t="shared" si="271"/>
        <v>26397.903544924695</v>
      </c>
      <c r="AO366">
        <f t="shared" si="272"/>
        <v>1.5707584449987708</v>
      </c>
      <c r="AP366" t="str">
        <f t="shared" si="253"/>
        <v>1+178.364213013404i</v>
      </c>
      <c r="AQ366">
        <f t="shared" si="273"/>
        <v>178.36701624429043</v>
      </c>
      <c r="AR366">
        <f t="shared" si="274"/>
        <v>1.5651898797074051</v>
      </c>
      <c r="AS366" s="42" t="str">
        <f t="shared" si="275"/>
        <v>-0.0129109430054366+0.0393663335091491i</v>
      </c>
      <c r="AT366">
        <f t="shared" si="276"/>
        <v>-27.653813263213742</v>
      </c>
      <c r="AU366" s="44">
        <f t="shared" si="277"/>
        <v>108.1578946554171</v>
      </c>
      <c r="AV366" s="42" t="str">
        <f t="shared" si="254"/>
        <v>0.00540523017384263-0.000608117063645258i</v>
      </c>
      <c r="AW366" s="20">
        <f t="shared" si="278"/>
        <v>-45.289090557537705</v>
      </c>
      <c r="AX366" s="44">
        <f t="shared" si="279"/>
        <v>-6.4190868261054002</v>
      </c>
    </row>
    <row r="367" spans="14:50" x14ac:dyDescent="0.3">
      <c r="N367" s="8">
        <v>49</v>
      </c>
      <c r="O367" s="35">
        <f t="shared" si="244"/>
        <v>30902.954325135954</v>
      </c>
      <c r="P367" s="34" t="str">
        <f t="shared" si="245"/>
        <v>545.10556621881</v>
      </c>
      <c r="Q367" s="4" t="str">
        <f t="shared" si="246"/>
        <v>1+4147.98626241619i</v>
      </c>
      <c r="R367" s="4">
        <f t="shared" si="255"/>
        <v>4147.9863829566066</v>
      </c>
      <c r="S367" s="4">
        <f t="shared" si="256"/>
        <v>1.5705552459625691</v>
      </c>
      <c r="T367" s="4" t="str">
        <f t="shared" si="247"/>
        <v>1+0.097084494282068i</v>
      </c>
      <c r="U367" s="4">
        <f t="shared" si="257"/>
        <v>1.0047016467738097</v>
      </c>
      <c r="V367" s="4">
        <f t="shared" si="258"/>
        <v>9.678118768194123E-2</v>
      </c>
      <c r="W367" t="str">
        <f t="shared" si="248"/>
        <v>1-0.100851372660212i</v>
      </c>
      <c r="X367" s="4">
        <f t="shared" si="259"/>
        <v>1.0050726338765019</v>
      </c>
      <c r="Y367" s="4">
        <f t="shared" si="260"/>
        <v>-0.10051152447015375</v>
      </c>
      <c r="Z367" t="str">
        <f t="shared" si="249"/>
        <v>0.938880474494628+0.436730583306475i</v>
      </c>
      <c r="AA367" s="4">
        <f t="shared" si="261"/>
        <v>1.035485464785707</v>
      </c>
      <c r="AB367" s="4">
        <f t="shared" si="262"/>
        <v>0.4353900440792679</v>
      </c>
      <c r="AC367" s="48" t="str">
        <f t="shared" si="263"/>
        <v>-0.054456080681627-0.116009095967592i</v>
      </c>
      <c r="AD367" s="20">
        <f t="shared" si="264"/>
        <v>-17.845323000572371</v>
      </c>
      <c r="AE367" s="44">
        <f t="shared" si="265"/>
        <v>-115.14593160766988</v>
      </c>
      <c r="AF367" t="str">
        <f t="shared" si="250"/>
        <v>-0.979317078436135</v>
      </c>
      <c r="AG367" t="str">
        <f t="shared" si="266"/>
        <v>194168.988564136i</v>
      </c>
      <c r="AH367">
        <f t="shared" si="267"/>
        <v>194168.988564136</v>
      </c>
      <c r="AI367">
        <f t="shared" si="268"/>
        <v>1.5707963267948966</v>
      </c>
      <c r="AJ367" t="str">
        <f t="shared" si="251"/>
        <v>-582.582252309861+190.270075273768i</v>
      </c>
      <c r="AK367">
        <f t="shared" si="269"/>
        <v>612.86603940103896</v>
      </c>
      <c r="AL367">
        <f t="shared" si="270"/>
        <v>2.8259162888045246</v>
      </c>
      <c r="AM367" t="str">
        <f t="shared" si="252"/>
        <v>1+27012.7896890426i</v>
      </c>
      <c r="AN367">
        <f t="shared" si="271"/>
        <v>27012.789707552347</v>
      </c>
      <c r="AO367">
        <f t="shared" si="272"/>
        <v>1.5707593072937249</v>
      </c>
      <c r="AP367" t="str">
        <f t="shared" si="253"/>
        <v>1+182.518849250288i</v>
      </c>
      <c r="AQ367">
        <f t="shared" si="273"/>
        <v>182.52158867281798</v>
      </c>
      <c r="AR367">
        <f t="shared" si="274"/>
        <v>1.5653174954400904</v>
      </c>
      <c r="AS367" s="42" t="str">
        <f t="shared" si="275"/>
        <v>-0.0123840434722278+0.0386392189007193i</v>
      </c>
      <c r="AT367">
        <f t="shared" si="276"/>
        <v>-27.834768375066837</v>
      </c>
      <c r="AU367" s="44">
        <f t="shared" si="277"/>
        <v>107.77088841975694</v>
      </c>
      <c r="AV367" s="42" t="str">
        <f t="shared" si="254"/>
        <v>0.00515688732405475-0.000667478734296111i</v>
      </c>
      <c r="AW367" s="20">
        <f t="shared" si="278"/>
        <v>-45.680091375639208</v>
      </c>
      <c r="AX367" s="44">
        <f t="shared" si="279"/>
        <v>-7.3750431879129428</v>
      </c>
    </row>
    <row r="368" spans="14:50" x14ac:dyDescent="0.3">
      <c r="N368" s="8">
        <v>50</v>
      </c>
      <c r="O368" s="35">
        <f t="shared" si="244"/>
        <v>31622.77660168384</v>
      </c>
      <c r="P368" s="34" t="str">
        <f t="shared" si="245"/>
        <v>545.10556621881</v>
      </c>
      <c r="Q368" s="4" t="str">
        <f t="shared" si="246"/>
        <v>1+4244.60527440732i</v>
      </c>
      <c r="R368" s="4">
        <f t="shared" si="255"/>
        <v>4244.6053922039018</v>
      </c>
      <c r="S368" s="4">
        <f t="shared" si="256"/>
        <v>1.5705607336320817</v>
      </c>
      <c r="T368" s="4" t="str">
        <f t="shared" si="247"/>
        <v>1+0.099345882657961i</v>
      </c>
      <c r="U368" s="4">
        <f t="shared" si="257"/>
        <v>1.0049226857828861</v>
      </c>
      <c r="V368" s="4">
        <f t="shared" si="258"/>
        <v>9.9020969702421885E-2</v>
      </c>
      <c r="W368" t="str">
        <f t="shared" si="248"/>
        <v>1-0.10320050290509i</v>
      </c>
      <c r="X368" s="4">
        <f t="shared" si="259"/>
        <v>1.0053110681773396</v>
      </c>
      <c r="Y368" s="4">
        <f t="shared" si="260"/>
        <v>-0.10283645283178092</v>
      </c>
      <c r="Z368" t="str">
        <f t="shared" si="249"/>
        <v>0.936+0.446903345412201i</v>
      </c>
      <c r="AA368" s="4">
        <f t="shared" si="261"/>
        <v>1.0372167565849566</v>
      </c>
      <c r="AB368" s="4">
        <f t="shared" si="262"/>
        <v>0.4454542445171899</v>
      </c>
      <c r="AC368" s="48" t="str">
        <f t="shared" si="263"/>
        <v>-0.0542990573056086-0.112685352508428i</v>
      </c>
      <c r="AD368" s="20">
        <f t="shared" si="264"/>
        <v>-18.055862292132872</v>
      </c>
      <c r="AE368" s="44">
        <f t="shared" si="265"/>
        <v>-115.72776076322774</v>
      </c>
      <c r="AF368" t="str">
        <f t="shared" si="250"/>
        <v>-0.979317078436135</v>
      </c>
      <c r="AG368" t="str">
        <f t="shared" si="266"/>
        <v>198691.765315922i</v>
      </c>
      <c r="AH368">
        <f t="shared" si="267"/>
        <v>198691.76531592201</v>
      </c>
      <c r="AI368">
        <f t="shared" si="268"/>
        <v>1.5707963267948966</v>
      </c>
      <c r="AJ368" t="str">
        <f t="shared" si="251"/>
        <v>-610.085636529496+194.702034668379i</v>
      </c>
      <c r="AK368">
        <f t="shared" si="269"/>
        <v>640.40094175727688</v>
      </c>
      <c r="AL368">
        <f t="shared" si="270"/>
        <v>2.8326710542330384</v>
      </c>
      <c r="AM368" t="str">
        <f t="shared" si="252"/>
        <v>1+27641.9983907511i</v>
      </c>
      <c r="AN368">
        <f t="shared" si="271"/>
        <v>27641.998408839518</v>
      </c>
      <c r="AO368">
        <f t="shared" si="272"/>
        <v>1.5707601499604498</v>
      </c>
      <c r="AP368" t="str">
        <f t="shared" si="253"/>
        <v>1+186.770259396967i</v>
      </c>
      <c r="AQ368">
        <f t="shared" si="273"/>
        <v>186.77293646353141</v>
      </c>
      <c r="AR368">
        <f t="shared" si="274"/>
        <v>1.5654422064564895</v>
      </c>
      <c r="AS368" s="42" t="str">
        <f t="shared" si="275"/>
        <v>-0.0118765167288902+0.0379187378851928i</v>
      </c>
      <c r="AT368">
        <f t="shared" si="276"/>
        <v>-28.016502349606277</v>
      </c>
      <c r="AU368" s="44">
        <f t="shared" si="277"/>
        <v>107.39106256524744</v>
      </c>
      <c r="AV368" s="42" t="str">
        <f t="shared" si="254"/>
        <v>0.00491777000772066-0.000720642247217202i</v>
      </c>
      <c r="AW368" s="20">
        <f t="shared" si="278"/>
        <v>-46.072364641739156</v>
      </c>
      <c r="AX368" s="44">
        <f t="shared" si="279"/>
        <v>-8.3366981979803008</v>
      </c>
    </row>
    <row r="369" spans="14:50" x14ac:dyDescent="0.3">
      <c r="N369" s="8">
        <v>51</v>
      </c>
      <c r="O369" s="35">
        <f t="shared" si="244"/>
        <v>32359.365692962871</v>
      </c>
      <c r="P369" s="34" t="str">
        <f t="shared" si="245"/>
        <v>545.10556621881</v>
      </c>
      <c r="Q369" s="4" t="str">
        <f t="shared" si="246"/>
        <v>1+4343.47483229893i</v>
      </c>
      <c r="R369" s="4">
        <f t="shared" si="255"/>
        <v>4343.4749474141345</v>
      </c>
      <c r="S369" s="4">
        <f t="shared" si="256"/>
        <v>1.5705660963869994</v>
      </c>
      <c r="T369" s="4" t="str">
        <f t="shared" si="247"/>
        <v>1+0.101659945535838i</v>
      </c>
      <c r="U369" s="4">
        <f t="shared" si="257"/>
        <v>1.0051540899416116</v>
      </c>
      <c r="V369" s="4">
        <f t="shared" si="258"/>
        <v>0.10131189137537217</v>
      </c>
      <c r="W369" t="str">
        <f t="shared" si="248"/>
        <v>1-0.105604351422628i</v>
      </c>
      <c r="X369" s="4">
        <f t="shared" si="259"/>
        <v>1.0055606789445348</v>
      </c>
      <c r="Y369" s="4">
        <f t="shared" si="260"/>
        <v>-0.10521438115169469</v>
      </c>
      <c r="Z369" t="str">
        <f t="shared" si="249"/>
        <v>0.932983772924743+0.45731306158713i</v>
      </c>
      <c r="AA369" s="4">
        <f t="shared" si="261"/>
        <v>1.0390351085690428</v>
      </c>
      <c r="AB369" s="4">
        <f t="shared" si="262"/>
        <v>0.45574616668240314</v>
      </c>
      <c r="AC369" s="48" t="str">
        <f t="shared" si="263"/>
        <v>-0.0541347389093845-0.109423978464787i</v>
      </c>
      <c r="AD369" s="20">
        <f t="shared" si="264"/>
        <v>-18.266919998799814</v>
      </c>
      <c r="AE369" s="44">
        <f t="shared" si="265"/>
        <v>-116.3227368432555</v>
      </c>
      <c r="AF369" t="str">
        <f t="shared" si="250"/>
        <v>-0.979317078436135</v>
      </c>
      <c r="AG369" t="str">
        <f t="shared" si="266"/>
        <v>203319.891071675i</v>
      </c>
      <c r="AH369">
        <f t="shared" si="267"/>
        <v>203319.891071675</v>
      </c>
      <c r="AI369">
        <f t="shared" si="268"/>
        <v>1.5707963267948966</v>
      </c>
      <c r="AJ369" t="str">
        <f t="shared" si="251"/>
        <v>-638.88521531389+199.237227658956i</v>
      </c>
      <c r="AK369">
        <f t="shared" si="269"/>
        <v>669.23074588059842</v>
      </c>
      <c r="AL369">
        <f t="shared" si="270"/>
        <v>2.8392988198589872</v>
      </c>
      <c r="AM369" t="str">
        <f t="shared" si="252"/>
        <v>1+28285.8632458914i</v>
      </c>
      <c r="AN369">
        <f t="shared" si="271"/>
        <v>28285.863263568073</v>
      </c>
      <c r="AO369">
        <f t="shared" si="272"/>
        <v>1.570760973445738</v>
      </c>
      <c r="AP369" t="str">
        <f t="shared" si="253"/>
        <v>1+191.120697607375i</v>
      </c>
      <c r="AQ369">
        <f t="shared" si="273"/>
        <v>191.12331373730854</v>
      </c>
      <c r="AR369">
        <f t="shared" si="274"/>
        <v>1.5655640788645084</v>
      </c>
      <c r="AS369" s="42" t="str">
        <f t="shared" si="275"/>
        <v>-0.0113878225648006+0.037205268856498i</v>
      </c>
      <c r="AT369">
        <f t="shared" si="276"/>
        <v>-28.198986418095409</v>
      </c>
      <c r="AU369" s="44">
        <f t="shared" si="277"/>
        <v>107.01834952412889</v>
      </c>
      <c r="AV369" s="42" t="str">
        <f t="shared" si="254"/>
        <v>0.00468762533942193-0.000767996664508417i</v>
      </c>
      <c r="AW369" s="20">
        <f t="shared" si="278"/>
        <v>-46.465906416895216</v>
      </c>
      <c r="AX369" s="44">
        <f t="shared" si="279"/>
        <v>-9.3043873191266027</v>
      </c>
    </row>
    <row r="370" spans="14:50" x14ac:dyDescent="0.3">
      <c r="N370" s="8">
        <v>52</v>
      </c>
      <c r="O370" s="35">
        <f t="shared" si="244"/>
        <v>33113.11214825909</v>
      </c>
      <c r="P370" s="34" t="str">
        <f t="shared" si="245"/>
        <v>545.10556621881</v>
      </c>
      <c r="Q370" s="4" t="str">
        <f t="shared" si="246"/>
        <v>1+4444.64735803931i</v>
      </c>
      <c r="R370" s="4">
        <f t="shared" si="255"/>
        <v>4444.6474705341734</v>
      </c>
      <c r="S370" s="4">
        <f t="shared" si="256"/>
        <v>1.5705713370707248</v>
      </c>
      <c r="T370" s="4" t="str">
        <f t="shared" si="247"/>
        <v>1+0.104027909862466i</v>
      </c>
      <c r="U370" s="4">
        <f t="shared" si="257"/>
        <v>1.0053963427575978</v>
      </c>
      <c r="V370" s="4">
        <f t="shared" si="258"/>
        <v>0.10365507113709313</v>
      </c>
      <c r="W370" t="str">
        <f t="shared" si="248"/>
        <v>1-0.108064192765129i</v>
      </c>
      <c r="X370" s="4">
        <f t="shared" si="259"/>
        <v>1.0058219871120231</v>
      </c>
      <c r="Y370" s="4">
        <f t="shared" si="260"/>
        <v>-0.10764646261142639</v>
      </c>
      <c r="Z370" t="str">
        <f t="shared" si="249"/>
        <v>0.929825395446836+0.467965251200567i</v>
      </c>
      <c r="AA370" s="4">
        <f t="shared" si="261"/>
        <v>1.0409451197585178</v>
      </c>
      <c r="AB370" s="4">
        <f t="shared" si="262"/>
        <v>0.46627050420503818</v>
      </c>
      <c r="AC370" s="48" t="str">
        <f t="shared" si="263"/>
        <v>-0.0539628166719032-0.106223439523316i</v>
      </c>
      <c r="AD370" s="20">
        <f t="shared" si="264"/>
        <v>-18.478522219497734</v>
      </c>
      <c r="AE370" s="44">
        <f t="shared" si="265"/>
        <v>-116.93113092662061</v>
      </c>
      <c r="AF370" t="str">
        <f t="shared" si="250"/>
        <v>-0.979317078436135</v>
      </c>
      <c r="AG370" t="str">
        <f t="shared" si="266"/>
        <v>208055.819724931i</v>
      </c>
      <c r="AH370">
        <f t="shared" si="267"/>
        <v>208055.819724931</v>
      </c>
      <c r="AI370">
        <f t="shared" si="268"/>
        <v>1.5707963267948966</v>
      </c>
      <c r="AJ370" t="str">
        <f t="shared" si="251"/>
        <v>-669.042076430869+203.878058864855i</v>
      </c>
      <c r="AK370">
        <f t="shared" si="269"/>
        <v>699.41658753666252</v>
      </c>
      <c r="AL370">
        <f t="shared" si="270"/>
        <v>2.8458008929510723</v>
      </c>
      <c r="AM370" t="str">
        <f t="shared" si="252"/>
        <v>1+28944.7256401324i</v>
      </c>
      <c r="AN370">
        <f t="shared" si="271"/>
        <v>28944.725657406703</v>
      </c>
      <c r="AO370">
        <f t="shared" si="272"/>
        <v>1.5707617781862129</v>
      </c>
      <c r="AP370" t="str">
        <f t="shared" si="253"/>
        <v>1+195.572470541436i</v>
      </c>
      <c r="AQ370">
        <f t="shared" si="273"/>
        <v>195.57502712176941</v>
      </c>
      <c r="AR370">
        <f t="shared" si="274"/>
        <v>1.5656831772680213</v>
      </c>
      <c r="AS370" s="42" t="str">
        <f t="shared" si="275"/>
        <v>-0.0109174216586679+0.0364991586010977i</v>
      </c>
      <c r="AT370">
        <f t="shared" si="276"/>
        <v>-28.382192624855023</v>
      </c>
      <c r="AU370" s="44">
        <f t="shared" si="277"/>
        <v>106.65267812196765</v>
      </c>
      <c r="AV370" s="42" t="str">
        <f t="shared" si="254"/>
        <v>0.00446620098981218-0.000809911324959704i</v>
      </c>
      <c r="AW370" s="20">
        <f t="shared" si="278"/>
        <v>-46.860714844352756</v>
      </c>
      <c r="AX370" s="44">
        <f t="shared" si="279"/>
        <v>-10.278452804652938</v>
      </c>
    </row>
    <row r="371" spans="14:50" x14ac:dyDescent="0.3">
      <c r="N371" s="8">
        <v>53</v>
      </c>
      <c r="O371" s="35">
        <f t="shared" si="244"/>
        <v>33884.41561392029</v>
      </c>
      <c r="P371" s="34" t="str">
        <f t="shared" si="245"/>
        <v>545.10556621881</v>
      </c>
      <c r="Q371" s="4" t="str">
        <f t="shared" si="246"/>
        <v>1+4548.17649464082i</v>
      </c>
      <c r="R371" s="4">
        <f t="shared" si="255"/>
        <v>4548.1766045749873</v>
      </c>
      <c r="S371" s="4">
        <f t="shared" si="256"/>
        <v>1.5705764584619364</v>
      </c>
      <c r="T371" s="4" t="str">
        <f t="shared" si="247"/>
        <v>1+0.106451031163875i</v>
      </c>
      <c r="U371" s="4">
        <f t="shared" si="257"/>
        <v>1.0056499500501417</v>
      </c>
      <c r="V371" s="4">
        <f t="shared" si="258"/>
        <v>0.10605164839454306</v>
      </c>
      <c r="W371" t="str">
        <f t="shared" si="248"/>
        <v>1-0.110581331173034i</v>
      </c>
      <c r="X371" s="4">
        <f t="shared" si="259"/>
        <v>1.0060955376126068</v>
      </c>
      <c r="Y371" s="4">
        <f t="shared" si="260"/>
        <v>-0.11013387158356075</v>
      </c>
      <c r="Z371" t="str">
        <f t="shared" si="249"/>
        <v>0.926518168224199+0.478865562184446i</v>
      </c>
      <c r="AA371" s="4">
        <f t="shared" si="261"/>
        <v>1.0429516492607656</v>
      </c>
      <c r="AB371" s="4">
        <f t="shared" si="262"/>
        <v>0.47703200235389698</v>
      </c>
      <c r="AC371" s="48" t="str">
        <f t="shared" si="263"/>
        <v>-0.0537829705466935-0.103082248022023i</v>
      </c>
      <c r="AD371" s="20">
        <f t="shared" si="264"/>
        <v>-18.690696384552112</v>
      </c>
      <c r="AE371" s="44">
        <f t="shared" si="265"/>
        <v>-117.55321705978693</v>
      </c>
      <c r="AF371" t="str">
        <f t="shared" si="250"/>
        <v>-0.979317078436135</v>
      </c>
      <c r="AG371" t="str">
        <f t="shared" si="266"/>
        <v>212902.062327751i</v>
      </c>
      <c r="AH371">
        <f t="shared" si="267"/>
        <v>212902.06232775099</v>
      </c>
      <c r="AI371">
        <f t="shared" si="268"/>
        <v>1.5707963267948966</v>
      </c>
      <c r="AJ371" t="str">
        <f t="shared" si="251"/>
        <v>-700.620186626074+208.626988916209i</v>
      </c>
      <c r="AK371">
        <f t="shared" si="269"/>
        <v>731.02248010044025</v>
      </c>
      <c r="AL371">
        <f t="shared" si="270"/>
        <v>2.852178636866169</v>
      </c>
      <c r="AM371" t="str">
        <f t="shared" si="252"/>
        <v>1+29618.9349110367i</v>
      </c>
      <c r="AN371">
        <f t="shared" si="271"/>
        <v>29618.934927917791</v>
      </c>
      <c r="AO371">
        <f t="shared" si="272"/>
        <v>1.5707625646085579</v>
      </c>
      <c r="AP371" t="str">
        <f t="shared" si="253"/>
        <v>1+200.127938588086i</v>
      </c>
      <c r="AQ371">
        <f t="shared" si="273"/>
        <v>200.1304369742812</v>
      </c>
      <c r="AR371">
        <f t="shared" si="274"/>
        <v>1.5657995648010556</v>
      </c>
      <c r="AS371" s="42" t="str">
        <f t="shared" si="275"/>
        <v>-0.0104647769661949+0.0358007234819522i</v>
      </c>
      <c r="AT371">
        <f t="shared" si="276"/>
        <v>-28.566093824865554</v>
      </c>
      <c r="AU371" s="44">
        <f t="shared" si="277"/>
        <v>106.29397388592943</v>
      </c>
      <c r="AV371" s="42" t="str">
        <f t="shared" si="254"/>
        <v>0.00425324584868504-0.000846736521855697i</v>
      </c>
      <c r="AW371" s="20">
        <f t="shared" si="278"/>
        <v>-47.256790209417659</v>
      </c>
      <c r="AX371" s="44">
        <f t="shared" si="279"/>
        <v>-11.259243173857483</v>
      </c>
    </row>
    <row r="372" spans="14:50" x14ac:dyDescent="0.3">
      <c r="N372" s="8">
        <v>54</v>
      </c>
      <c r="O372" s="35">
        <f t="shared" si="244"/>
        <v>34673.685045253202</v>
      </c>
      <c r="P372" s="34" t="str">
        <f t="shared" si="245"/>
        <v>545.10556621881</v>
      </c>
      <c r="Q372" s="4" t="str">
        <f t="shared" si="246"/>
        <v>1+4654.11713462198i</v>
      </c>
      <c r="R372" s="4">
        <f t="shared" si="255"/>
        <v>4654.1172420537396</v>
      </c>
      <c r="S372" s="4">
        <f t="shared" si="256"/>
        <v>1.5705814632760624</v>
      </c>
      <c r="T372" s="4" t="str">
        <f t="shared" si="247"/>
        <v>1+0.108930594211053i</v>
      </c>
      <c r="U372" s="4">
        <f t="shared" si="257"/>
        <v>1.0059154409567304</v>
      </c>
      <c r="V372" s="4">
        <f t="shared" si="258"/>
        <v>0.10850278366509331</v>
      </c>
      <c r="W372" t="str">
        <f t="shared" si="248"/>
        <v>1-0.113157101266442i</v>
      </c>
      <c r="X372" s="4">
        <f t="shared" si="259"/>
        <v>1.0063819004567918</v>
      </c>
      <c r="Y372" s="4">
        <f t="shared" si="260"/>
        <v>-0.11267780373749366</v>
      </c>
      <c r="Z372" t="str">
        <f t="shared" si="249"/>
        <v>0.923055076184486+0.490019774027925i</v>
      </c>
      <c r="AA372" s="4">
        <f t="shared" si="261"/>
        <v>1.0450598320710283</v>
      </c>
      <c r="AB372" s="4">
        <f t="shared" si="262"/>
        <v>0.48803545373739765</v>
      </c>
      <c r="AC372" s="48" t="str">
        <f t="shared" si="263"/>
        <v>-0.0535948691831645-0.0999989631770828i</v>
      </c>
      <c r="AD372" s="20">
        <f t="shared" si="264"/>
        <v>-18.903471320214969</v>
      </c>
      <c r="AE372" s="44">
        <f t="shared" si="265"/>
        <v>-118.18927200863546</v>
      </c>
      <c r="AF372" t="str">
        <f t="shared" si="250"/>
        <v>-0.979317078436135</v>
      </c>
      <c r="AG372" t="str">
        <f t="shared" si="266"/>
        <v>217861.188422107i</v>
      </c>
      <c r="AH372">
        <f t="shared" si="267"/>
        <v>217861.18842210699</v>
      </c>
      <c r="AI372">
        <f t="shared" si="268"/>
        <v>1.5707963267948966</v>
      </c>
      <c r="AJ372" t="str">
        <f t="shared" si="251"/>
        <v>-733.686527304955+213.486535758592i</v>
      </c>
      <c r="AK372">
        <f t="shared" si="269"/>
        <v>764.11545024231054</v>
      </c>
      <c r="AL372">
        <f t="shared" si="270"/>
        <v>2.8584334659101183</v>
      </c>
      <c r="AM372" t="str">
        <f t="shared" si="252"/>
        <v>1+30308.8485332835i</v>
      </c>
      <c r="AN372">
        <f t="shared" si="271"/>
        <v>30308.84854978033</v>
      </c>
      <c r="AO372">
        <f t="shared" si="272"/>
        <v>1.570763333129745</v>
      </c>
      <c r="AP372" t="str">
        <f t="shared" si="253"/>
        <v>1+204.789517116781i</v>
      </c>
      <c r="AQ372">
        <f t="shared" si="273"/>
        <v>204.79195863344913</v>
      </c>
      <c r="AR372">
        <f t="shared" si="274"/>
        <v>1.5659133031612023</v>
      </c>
      <c r="AS372" s="42" t="str">
        <f t="shared" si="275"/>
        <v>-0.0100293549851623+0.035110250646692i</v>
      </c>
      <c r="AT372">
        <f t="shared" si="276"/>
        <v>-28.750663679370902</v>
      </c>
      <c r="AU372" s="44">
        <f t="shared" si="277"/>
        <v>105.94215934116095</v>
      </c>
      <c r="AV372" s="42" t="str">
        <f t="shared" si="254"/>
        <v>0.00404851062997799-0.000878804190546438i</v>
      </c>
      <c r="AW372" s="20">
        <f t="shared" si="278"/>
        <v>-47.654134999585878</v>
      </c>
      <c r="AX372" s="44">
        <f t="shared" si="279"/>
        <v>-12.247112667474527</v>
      </c>
    </row>
    <row r="373" spans="14:50" x14ac:dyDescent="0.3">
      <c r="N373" s="8">
        <v>55</v>
      </c>
      <c r="O373" s="35">
        <f t="shared" si="244"/>
        <v>35481.33892335758</v>
      </c>
      <c r="P373" s="34" t="str">
        <f t="shared" si="245"/>
        <v>545.10556621881</v>
      </c>
      <c r="Q373" s="4" t="str">
        <f t="shared" si="246"/>
        <v>1+4762.52544911247i</v>
      </c>
      <c r="R373" s="4">
        <f t="shared" si="255"/>
        <v>4762.5255540987837</v>
      </c>
      <c r="S373" s="4">
        <f t="shared" si="256"/>
        <v>1.5705863541667209</v>
      </c>
      <c r="T373" s="4" t="str">
        <f t="shared" si="247"/>
        <v>1+0.11146791370115i</v>
      </c>
      <c r="U373" s="4">
        <f t="shared" si="257"/>
        <v>1.0061933689827651</v>
      </c>
      <c r="V373" s="4">
        <f t="shared" si="258"/>
        <v>0.11100965869634617</v>
      </c>
      <c r="W373" t="str">
        <f t="shared" si="248"/>
        <v>1-0.115792868752754i</v>
      </c>
      <c r="X373" s="4">
        <f t="shared" si="259"/>
        <v>1.0066816718575899</v>
      </c>
      <c r="Y373" s="4">
        <f t="shared" si="260"/>
        <v>-0.11527947612202563</v>
      </c>
      <c r="Z373" t="str">
        <f t="shared" si="249"/>
        <v>0.919428773645173+0.501433800841776i</v>
      </c>
      <c r="AA373" s="4">
        <f t="shared" si="261"/>
        <v>1.0472750958718042</v>
      </c>
      <c r="AB373" s="4">
        <f t="shared" si="262"/>
        <v>0.4992856933976082</v>
      </c>
      <c r="AC373" s="48" t="str">
        <f t="shared" si="263"/>
        <v>-0.0533981698947084-0.0969721913949996i</v>
      </c>
      <c r="AD373" s="20">
        <f t="shared" si="264"/>
        <v>-19.116877315376467</v>
      </c>
      <c r="AE373" s="44">
        <f t="shared" si="265"/>
        <v>-118.83957497532091</v>
      </c>
      <c r="AF373" t="str">
        <f t="shared" si="250"/>
        <v>-0.979317078436135</v>
      </c>
      <c r="AG373" t="str">
        <f t="shared" si="266"/>
        <v>222935.8274023i</v>
      </c>
      <c r="AH373">
        <f t="shared" si="267"/>
        <v>222935.8274023</v>
      </c>
      <c r="AI373">
        <f t="shared" si="268"/>
        <v>1.5707963267948966</v>
      </c>
      <c r="AJ373" t="str">
        <f t="shared" si="251"/>
        <v>-768.311236609402+218.459275988061i</v>
      </c>
      <c r="AK373">
        <f t="shared" si="269"/>
        <v>798.7656800122902</v>
      </c>
      <c r="AL373">
        <f t="shared" si="270"/>
        <v>2.8645668404088203</v>
      </c>
      <c r="AM373" t="str">
        <f t="shared" si="252"/>
        <v>1+31014.832308208i</v>
      </c>
      <c r="AN373">
        <f t="shared" si="271"/>
        <v>31014.832324329316</v>
      </c>
      <c r="AO373">
        <f t="shared" si="272"/>
        <v>1.5707640841572543</v>
      </c>
      <c r="AP373" t="str">
        <f t="shared" si="253"/>
        <v>1+209.559677758163i</v>
      </c>
      <c r="AQ373">
        <f t="shared" si="273"/>
        <v>209.56206369976678</v>
      </c>
      <c r="AR373">
        <f t="shared" si="274"/>
        <v>1.5660244526422673</v>
      </c>
      <c r="AS373" s="42" t="str">
        <f t="shared" si="275"/>
        <v>-0.00961062690259213+0.0344279992511691i</v>
      </c>
      <c r="AT373">
        <f t="shared" si="276"/>
        <v>-28.935876649668405</v>
      </c>
      <c r="AU373" s="44">
        <f t="shared" si="277"/>
        <v>105.59715429507885</v>
      </c>
      <c r="AV373" s="42" t="str">
        <f t="shared" si="254"/>
        <v>0.00385174842087054-0.000906428601724725i</v>
      </c>
      <c r="AW373" s="20">
        <f t="shared" si="278"/>
        <v>-48.052753965044879</v>
      </c>
      <c r="AX373" s="44">
        <f t="shared" si="279"/>
        <v>-13.242420680242075</v>
      </c>
    </row>
    <row r="374" spans="14:50" x14ac:dyDescent="0.3">
      <c r="N374" s="8">
        <v>56</v>
      </c>
      <c r="O374" s="35">
        <f t="shared" si="244"/>
        <v>36307.805477010232</v>
      </c>
      <c r="P374" s="34" t="str">
        <f t="shared" si="245"/>
        <v>545.10556621881</v>
      </c>
      <c r="Q374" s="4" t="str">
        <f t="shared" si="246"/>
        <v>1+4873.45891763554i</v>
      </c>
      <c r="R374" s="4">
        <f t="shared" si="255"/>
        <v>4873.4590202320751</v>
      </c>
      <c r="S374" s="4">
        <f t="shared" si="256"/>
        <v>1.5705911337271257</v>
      </c>
      <c r="T374" s="4" t="str">
        <f t="shared" si="247"/>
        <v>1+0.114064334954543i</v>
      </c>
      <c r="U374" s="4">
        <f t="shared" si="257"/>
        <v>1.0064843130961467</v>
      </c>
      <c r="V374" s="4">
        <f t="shared" si="258"/>
        <v>0.1135734765640873</v>
      </c>
      <c r="W374" t="str">
        <f t="shared" si="248"/>
        <v>1-0.118490031150778i</v>
      </c>
      <c r="X374" s="4">
        <f t="shared" si="259"/>
        <v>1.0069954754029993</v>
      </c>
      <c r="Y374" s="4">
        <f t="shared" si="260"/>
        <v>-0.11794012722262469</v>
      </c>
      <c r="Z374" t="str">
        <f t="shared" si="249"/>
        <v>0.915631568732389+0.513113694494092i</v>
      </c>
      <c r="AA374" s="4">
        <f t="shared" si="261"/>
        <v>1.0496031788903424</v>
      </c>
      <c r="AB374" s="4">
        <f t="shared" si="262"/>
        <v>0.51078759324168654</v>
      </c>
      <c r="AC374" s="48" t="str">
        <f t="shared" si="263"/>
        <v>-0.0531925186811994-0.0940005866717233i</v>
      </c>
      <c r="AD374" s="20">
        <f t="shared" si="264"/>
        <v>-19.330946190361026</v>
      </c>
      <c r="AE374" s="44">
        <f t="shared" si="265"/>
        <v>-119.50440727696727</v>
      </c>
      <c r="AF374" t="str">
        <f t="shared" si="250"/>
        <v>-0.979317078436135</v>
      </c>
      <c r="AG374" t="str">
        <f t="shared" si="266"/>
        <v>228128.669909085i</v>
      </c>
      <c r="AH374">
        <f t="shared" si="267"/>
        <v>228128.669909085</v>
      </c>
      <c r="AI374">
        <f t="shared" si="268"/>
        <v>1.5707963267948966</v>
      </c>
      <c r="AJ374" t="str">
        <f t="shared" si="251"/>
        <v>-804.567758190044+223.547846217311i</v>
      </c>
      <c r="AK374">
        <f t="shared" si="269"/>
        <v>835.04665562311641</v>
      </c>
      <c r="AL374">
        <f t="shared" si="270"/>
        <v>2.8705802619914325</v>
      </c>
      <c r="AM374" t="str">
        <f t="shared" si="252"/>
        <v>1+31737.2605577519i</v>
      </c>
      <c r="AN374">
        <f t="shared" si="271"/>
        <v>31737.260573506246</v>
      </c>
      <c r="AO374">
        <f t="shared" si="272"/>
        <v>1.5707648180892901</v>
      </c>
      <c r="AP374" t="str">
        <f t="shared" si="253"/>
        <v>1+214.44094971454i</v>
      </c>
      <c r="AQ374">
        <f t="shared" si="273"/>
        <v>214.44328134607966</v>
      </c>
      <c r="AR374">
        <f t="shared" si="274"/>
        <v>1.5661330721661852</v>
      </c>
      <c r="AS374" s="42" t="str">
        <f t="shared" si="275"/>
        <v>-0.00920806962901134+0.0337542016904162i</v>
      </c>
      <c r="AT374">
        <f t="shared" si="276"/>
        <v>-29.121707989254769</v>
      </c>
      <c r="AU374" s="44">
        <f t="shared" si="277"/>
        <v>105.25887610946361</v>
      </c>
      <c r="AV374" s="42" t="str">
        <f t="shared" si="254"/>
        <v>0.00366271517729377-0.000929907056745292i</v>
      </c>
      <c r="AW374" s="20">
        <f t="shared" si="278"/>
        <v>-48.452654179615791</v>
      </c>
      <c r="AX374" s="44">
        <f t="shared" si="279"/>
        <v>-14.24553116750366</v>
      </c>
    </row>
    <row r="375" spans="14:50" x14ac:dyDescent="0.3">
      <c r="N375" s="8">
        <v>57</v>
      </c>
      <c r="O375" s="35">
        <f t="shared" si="244"/>
        <v>37153.522909717351</v>
      </c>
      <c r="P375" s="34" t="str">
        <f t="shared" si="245"/>
        <v>545.10556621881</v>
      </c>
      <c r="Q375" s="4" t="str">
        <f t="shared" si="246"/>
        <v>1+4986.9763585846i</v>
      </c>
      <c r="R375" s="4">
        <f t="shared" si="255"/>
        <v>4986.9764588457529</v>
      </c>
      <c r="S375" s="4">
        <f t="shared" si="256"/>
        <v>1.5705958044914621</v>
      </c>
      <c r="T375" s="4" t="str">
        <f t="shared" si="247"/>
        <v>1+0.116721234628148i</v>
      </c>
      <c r="U375" s="4">
        <f t="shared" si="257"/>
        <v>1.0067888788684145</v>
      </c>
      <c r="V375" s="4">
        <f t="shared" si="258"/>
        <v>0.11619546174634438</v>
      </c>
      <c r="W375" t="str">
        <f t="shared" si="248"/>
        <v>1-0.12125001853172i</v>
      </c>
      <c r="X375" s="4">
        <f t="shared" si="259"/>
        <v>1.0073239632779232</v>
      </c>
      <c r="Y375" s="4">
        <f t="shared" si="260"/>
        <v>-0.12066101699113482</v>
      </c>
      <c r="Z375" t="str">
        <f t="shared" si="249"/>
        <v>0.911655407065415+0.525065647819092i</v>
      </c>
      <c r="AA375" s="4">
        <f t="shared" si="261"/>
        <v>1.0520501488766067</v>
      </c>
      <c r="AB375" s="4">
        <f t="shared" si="262"/>
        <v>0.52254605575164093</v>
      </c>
      <c r="AC375" s="48" t="str">
        <f t="shared" si="263"/>
        <v>-0.0529775503142613-0.0910828510799094i</v>
      </c>
      <c r="AD375" s="20">
        <f t="shared" si="264"/>
        <v>-19.545711367672503</v>
      </c>
      <c r="AE375" s="44">
        <f t="shared" si="265"/>
        <v>-120.18405198280078</v>
      </c>
      <c r="AF375" t="str">
        <f t="shared" si="250"/>
        <v>-0.979317078436135</v>
      </c>
      <c r="AG375" t="str">
        <f t="shared" si="266"/>
        <v>233442.469256296i</v>
      </c>
      <c r="AH375">
        <f t="shared" si="267"/>
        <v>233442.469256296</v>
      </c>
      <c r="AI375">
        <f t="shared" si="268"/>
        <v>1.5707963267948966</v>
      </c>
      <c r="AJ375" t="str">
        <f t="shared" si="251"/>
        <v>-842.532996990158+228.75494447363i</v>
      </c>
      <c r="AK375">
        <f t="shared" si="269"/>
        <v>873.03532324777734</v>
      </c>
      <c r="AL375">
        <f t="shared" si="270"/>
        <v>2.8764752690865389</v>
      </c>
      <c r="AM375" t="str">
        <f t="shared" si="252"/>
        <v>1+32476.5163229359i</v>
      </c>
      <c r="AN375">
        <f t="shared" si="271"/>
        <v>32476.516338331632</v>
      </c>
      <c r="AO375">
        <f t="shared" si="272"/>
        <v>1.5707655353149934</v>
      </c>
      <c r="AP375" t="str">
        <f t="shared" si="253"/>
        <v>1+219.435921100919i</v>
      </c>
      <c r="AQ375">
        <f t="shared" si="273"/>
        <v>219.43819965860257</v>
      </c>
      <c r="AR375">
        <f t="shared" si="274"/>
        <v>1.5662392193142076</v>
      </c>
      <c r="AS375" s="42" t="str">
        <f t="shared" si="275"/>
        <v>-0.00882116672507244+0.0330890648298247i</v>
      </c>
      <c r="AT375">
        <f t="shared" si="276"/>
        <v>-29.308133734496778</v>
      </c>
      <c r="AU375" s="44">
        <f t="shared" si="277"/>
        <v>104.92723996030917</v>
      </c>
      <c r="AV375" s="42" t="str">
        <f t="shared" si="254"/>
        <v>0.0034811701682764-0.000949520581703067i</v>
      </c>
      <c r="AW375" s="20">
        <f t="shared" si="278"/>
        <v>-48.853845102169295</v>
      </c>
      <c r="AX375" s="44">
        <f t="shared" si="279"/>
        <v>-15.256812022491641</v>
      </c>
    </row>
    <row r="376" spans="14:50" x14ac:dyDescent="0.3">
      <c r="N376" s="8">
        <v>58</v>
      </c>
      <c r="O376" s="35">
        <f t="shared" si="244"/>
        <v>38018.939632056143</v>
      </c>
      <c r="P376" s="34" t="str">
        <f t="shared" si="245"/>
        <v>545.10556621881</v>
      </c>
      <c r="Q376" s="4" t="str">
        <f t="shared" si="246"/>
        <v>1+5103.13796040941i</v>
      </c>
      <c r="R376" s="4">
        <f t="shared" si="255"/>
        <v>5103.1380583883401</v>
      </c>
      <c r="S376" s="4">
        <f t="shared" si="256"/>
        <v>1.5706003689362305</v>
      </c>
      <c r="T376" s="4" t="str">
        <f t="shared" si="247"/>
        <v>1+0.119440021445341i</v>
      </c>
      <c r="U376" s="4">
        <f t="shared" si="257"/>
        <v>1.0071076996641737</v>
      </c>
      <c r="V376" s="4">
        <f t="shared" si="258"/>
        <v>0.11887686017136119</v>
      </c>
      <c r="W376" t="str">
        <f t="shared" si="248"/>
        <v>1-0.12407429427742i</v>
      </c>
      <c r="X376" s="4">
        <f t="shared" si="259"/>
        <v>1.007667817537327</v>
      </c>
      <c r="Y376" s="4">
        <f t="shared" si="260"/>
        <v>-0.12344342684549092</v>
      </c>
      <c r="Z376" t="str">
        <f t="shared" si="249"/>
        <v>0.90749185467226+0.537295997900631i</v>
      </c>
      <c r="AA376" s="4">
        <f t="shared" si="261"/>
        <v>1.0546224232665136</v>
      </c>
      <c r="AB376" s="4">
        <f t="shared" si="262"/>
        <v>0.53456600690952272</v>
      </c>
      <c r="AC376" s="48" t="str">
        <f t="shared" si="263"/>
        <v>-0.0527528884945156-0.0882177353450776i</v>
      </c>
      <c r="AD376" s="20">
        <f t="shared" si="264"/>
        <v>-19.761207944508332</v>
      </c>
      <c r="AE376" s="44">
        <f t="shared" si="265"/>
        <v>-120.87879350610558</v>
      </c>
      <c r="AF376" t="str">
        <f t="shared" si="250"/>
        <v>-0.979317078436135</v>
      </c>
      <c r="AG376" t="str">
        <f t="shared" si="266"/>
        <v>238880.042890683i</v>
      </c>
      <c r="AH376">
        <f t="shared" si="267"/>
        <v>238880.04289068299</v>
      </c>
      <c r="AI376">
        <f t="shared" si="268"/>
        <v>1.5707963267948966</v>
      </c>
      <c r="AJ376" t="str">
        <f t="shared" si="251"/>
        <v>-882.287482371326+234.083331629438i</v>
      </c>
      <c r="AK376">
        <f t="shared" si="269"/>
        <v>912.81225216134692</v>
      </c>
      <c r="AL376">
        <f t="shared" si="270"/>
        <v>2.8822534326306082</v>
      </c>
      <c r="AM376" t="str">
        <f t="shared" si="252"/>
        <v>1+33232.9915669518i</v>
      </c>
      <c r="AN376">
        <f t="shared" si="271"/>
        <v>33232.991581997085</v>
      </c>
      <c r="AO376">
        <f t="shared" si="272"/>
        <v>1.5707662362146464</v>
      </c>
      <c r="AP376" t="str">
        <f t="shared" si="253"/>
        <v>1+224.547240317243i</v>
      </c>
      <c r="AQ376">
        <f t="shared" si="273"/>
        <v>224.54946700914184</v>
      </c>
      <c r="AR376">
        <f t="shared" si="274"/>
        <v>1.5663429503573838</v>
      </c>
      <c r="AS376" s="42" t="str">
        <f t="shared" si="275"/>
        <v>-0.00844940922598499+0.0324327712301338i</v>
      </c>
      <c r="AT376">
        <f t="shared" si="276"/>
        <v>-29.4951306939844</v>
      </c>
      <c r="AU376" s="44">
        <f t="shared" si="277"/>
        <v>104.60215908546809</v>
      </c>
      <c r="AV376" s="42" t="str">
        <f t="shared" si="254"/>
        <v>0.00330687637163031-0.000965534617351181i</v>
      </c>
      <c r="AW376" s="20">
        <f t="shared" si="278"/>
        <v>-49.256338638492721</v>
      </c>
      <c r="AX376" s="44">
        <f t="shared" si="279"/>
        <v>-16.276634420637482</v>
      </c>
    </row>
    <row r="377" spans="14:50" x14ac:dyDescent="0.3">
      <c r="N377" s="8">
        <v>59</v>
      </c>
      <c r="O377" s="35">
        <f t="shared" si="244"/>
        <v>38904.514499428085</v>
      </c>
      <c r="P377" s="34" t="str">
        <f t="shared" si="245"/>
        <v>545.10556621881</v>
      </c>
      <c r="Q377" s="4" t="str">
        <f t="shared" si="246"/>
        <v>1+5222.00531352885i</v>
      </c>
      <c r="R377" s="4">
        <f t="shared" si="255"/>
        <v>5222.0054092775072</v>
      </c>
      <c r="S377" s="4">
        <f t="shared" si="256"/>
        <v>1.5706048294815589</v>
      </c>
      <c r="T377" s="4" t="str">
        <f t="shared" si="247"/>
        <v>1+0.122222136942881i</v>
      </c>
      <c r="U377" s="4">
        <f t="shared" si="257"/>
        <v>1.0074414378805769</v>
      </c>
      <c r="V377" s="4">
        <f t="shared" si="258"/>
        <v>0.1216189392371803</v>
      </c>
      <c r="W377" t="str">
        <f t="shared" si="248"/>
        <v>1-0.126964355856264i</v>
      </c>
      <c r="X377" s="4">
        <f t="shared" si="259"/>
        <v>1.0080277514324674</v>
      </c>
      <c r="Y377" s="4">
        <f t="shared" si="260"/>
        <v>-0.12628865963691627</v>
      </c>
      <c r="Z377" t="str">
        <f t="shared" si="249"/>
        <v>0.903132080100082+0.549811229432211i</v>
      </c>
      <c r="AA377" s="4">
        <f t="shared" si="261"/>
        <v>1.0573267905977131</v>
      </c>
      <c r="AB377" s="4">
        <f t="shared" si="262"/>
        <v>0.54685238827175464</v>
      </c>
      <c r="AC377" s="48" t="str">
        <f t="shared" si="263"/>
        <v>-0.0525181460908863-0.0854040395107911i</v>
      </c>
      <c r="AD377" s="20">
        <f t="shared" si="264"/>
        <v>-19.977472766817346</v>
      </c>
      <c r="AE377" s="44">
        <f t="shared" si="265"/>
        <v>-121.58891714718965</v>
      </c>
      <c r="AF377" t="str">
        <f t="shared" si="250"/>
        <v>-0.979317078436135</v>
      </c>
      <c r="AG377" t="str">
        <f t="shared" si="266"/>
        <v>244444.273885762i</v>
      </c>
      <c r="AH377">
        <f t="shared" si="267"/>
        <v>244444.273885762</v>
      </c>
      <c r="AI377">
        <f t="shared" si="268"/>
        <v>1.5707963267948966</v>
      </c>
      <c r="AJ377" t="str">
        <f t="shared" si="251"/>
        <v>-923.915538927023+239.535832866136i</v>
      </c>
      <c r="AK377">
        <f t="shared" si="269"/>
        <v>954.46180557300704</v>
      </c>
      <c r="AL377">
        <f t="shared" si="270"/>
        <v>2.8879163519872821</v>
      </c>
      <c r="AM377" t="str">
        <f t="shared" si="252"/>
        <v>1+34007.0873829872i</v>
      </c>
      <c r="AN377">
        <f t="shared" si="271"/>
        <v>34007.087397690018</v>
      </c>
      <c r="AO377">
        <f t="shared" si="272"/>
        <v>1.5707669211598756</v>
      </c>
      <c r="AP377" t="str">
        <f t="shared" si="253"/>
        <v>1+229.777617452617i</v>
      </c>
      <c r="AQ377">
        <f t="shared" si="273"/>
        <v>229.77979345930569</v>
      </c>
      <c r="AR377">
        <f t="shared" si="274"/>
        <v>1.5664443202863514</v>
      </c>
      <c r="AS377" s="42" t="str">
        <f t="shared" si="275"/>
        <v>-0.00809229636931412+0.0317854803605636i</v>
      </c>
      <c r="AT377">
        <f t="shared" si="276"/>
        <v>-29.682676436715045</v>
      </c>
      <c r="AU377" s="44">
        <f t="shared" si="277"/>
        <v>104.28354502017793</v>
      </c>
      <c r="AV377" s="42" t="str">
        <f t="shared" si="254"/>
        <v>0.00313960082351744-0.000978199702287142i</v>
      </c>
      <c r="AW377" s="20">
        <f t="shared" si="278"/>
        <v>-49.660149203532384</v>
      </c>
      <c r="AX377" s="44">
        <f t="shared" si="279"/>
        <v>-17.305372127011704</v>
      </c>
    </row>
    <row r="378" spans="14:50" x14ac:dyDescent="0.3">
      <c r="N378" s="8">
        <v>60</v>
      </c>
      <c r="O378" s="35">
        <f t="shared" si="244"/>
        <v>39810.717055349742</v>
      </c>
      <c r="P378" s="34" t="str">
        <f t="shared" si="245"/>
        <v>545.10556621881</v>
      </c>
      <c r="Q378" s="4" t="str">
        <f t="shared" si="246"/>
        <v>1+5343.64144298692i</v>
      </c>
      <c r="R378" s="4">
        <f t="shared" si="255"/>
        <v>5343.6415365560706</v>
      </c>
      <c r="S378" s="4">
        <f t="shared" si="256"/>
        <v>1.5706091884924869</v>
      </c>
      <c r="T378" s="4" t="str">
        <f t="shared" si="247"/>
        <v>1+0.125069056235229i</v>
      </c>
      <c r="U378" s="4">
        <f t="shared" si="257"/>
        <v>1.007790786238677</v>
      </c>
      <c r="V378" s="4">
        <f t="shared" si="258"/>
        <v>0.1244229878003765</v>
      </c>
      <c r="W378" t="str">
        <f t="shared" si="248"/>
        <v>1-0.129921735617155i</v>
      </c>
      <c r="X378" s="4">
        <f t="shared" si="259"/>
        <v>1.0084045107920601</v>
      </c>
      <c r="Y378" s="4">
        <f t="shared" si="260"/>
        <v>-0.12919803958186771</v>
      </c>
      <c r="Z378" t="str">
        <f t="shared" si="249"/>
        <v>0.898566835682489+0.562617978155246i</v>
      </c>
      <c r="AA378" s="4">
        <f t="shared" si="261"/>
        <v>1.0601704332473803</v>
      </c>
      <c r="AB378" s="4">
        <f t="shared" si="262"/>
        <v>0.55941014812282541</v>
      </c>
      <c r="AC378" s="48" t="str">
        <f t="shared" si="263"/>
        <v>-0.0522729254729452-0.0826406136922735i</v>
      </c>
      <c r="AD378" s="20">
        <f t="shared" si="264"/>
        <v>-20.194544504619934</v>
      </c>
      <c r="AE378" s="44">
        <f t="shared" si="265"/>
        <v>-122.3147085833487</v>
      </c>
      <c r="AF378" t="str">
        <f t="shared" si="250"/>
        <v>-0.979317078436135</v>
      </c>
      <c r="AG378" t="str">
        <f t="shared" si="266"/>
        <v>250138.112470457i</v>
      </c>
      <c r="AH378">
        <f t="shared" si="267"/>
        <v>250138.11247045701</v>
      </c>
      <c r="AI378">
        <f t="shared" si="268"/>
        <v>1.5707963267948966</v>
      </c>
      <c r="AJ378" t="str">
        <f t="shared" si="251"/>
        <v>-967.505465346364+245.115339172051i</v>
      </c>
      <c r="AK378">
        <f t="shared" si="269"/>
        <v>998.07231951022152</v>
      </c>
      <c r="AL378">
        <f t="shared" si="270"/>
        <v>2.8934656510749699</v>
      </c>
      <c r="AM378" t="str">
        <f t="shared" si="252"/>
        <v>1+34799.21420689i</v>
      </c>
      <c r="AN378">
        <f t="shared" si="271"/>
        <v>34799.214221258138</v>
      </c>
      <c r="AO378">
        <f t="shared" si="272"/>
        <v>1.5707675905138478</v>
      </c>
      <c r="AP378" t="str">
        <f t="shared" si="253"/>
        <v>1+235.12982572223i</v>
      </c>
      <c r="AQ378">
        <f t="shared" si="273"/>
        <v>235.13195219741243</v>
      </c>
      <c r="AR378">
        <f t="shared" si="274"/>
        <v>1.5665433828404507</v>
      </c>
      <c r="AS378" s="42" t="str">
        <f t="shared" si="275"/>
        <v>-0.00774933623175237+0.0311473297951128i</v>
      </c>
      <c r="AT378">
        <f t="shared" si="276"/>
        <v>-29.870749279250983</v>
      </c>
      <c r="AU378" s="44">
        <f t="shared" si="277"/>
        <v>103.97130782061285</v>
      </c>
      <c r="AV378" s="42" t="str">
        <f t="shared" si="254"/>
        <v>0.00297911492445094-0.000987752147161391i</v>
      </c>
      <c r="AW378" s="20">
        <f t="shared" si="278"/>
        <v>-50.065293783870928</v>
      </c>
      <c r="AX378" s="44">
        <f t="shared" si="279"/>
        <v>-18.343400762735861</v>
      </c>
    </row>
    <row r="379" spans="14:50" x14ac:dyDescent="0.3">
      <c r="N379" s="8">
        <v>61</v>
      </c>
      <c r="O379" s="35">
        <f t="shared" si="244"/>
        <v>40738.027780411358</v>
      </c>
      <c r="P379" s="34" t="str">
        <f t="shared" si="245"/>
        <v>545.10556621881</v>
      </c>
      <c r="Q379" s="4" t="str">
        <f t="shared" si="246"/>
        <v>1+5468.11084186954i</v>
      </c>
      <c r="R379" s="4">
        <f t="shared" si="255"/>
        <v>5468.1109333087979</v>
      </c>
      <c r="S379" s="4">
        <f t="shared" si="256"/>
        <v>1.5706134482802194</v>
      </c>
      <c r="T379" s="4" t="str">
        <f t="shared" si="247"/>
        <v>1+0.127982288796677i</v>
      </c>
      <c r="U379" s="4">
        <f t="shared" si="257"/>
        <v>1.0081564691284959</v>
      </c>
      <c r="V379" s="4">
        <f t="shared" si="258"/>
        <v>0.12729031613134431</v>
      </c>
      <c r="W379" t="str">
        <f t="shared" si="248"/>
        <v>1-0.132948001601988i</v>
      </c>
      <c r="X379" s="4">
        <f t="shared" si="259"/>
        <v>1.0087988754602983</v>
      </c>
      <c r="Y379" s="4">
        <f t="shared" si="260"/>
        <v>-0.13217291215588606</v>
      </c>
      <c r="Z379" t="str">
        <f t="shared" si="249"/>
        <v>0.893786437923996+0.57572303437743i</v>
      </c>
      <c r="AA379" s="4">
        <f t="shared" si="261"/>
        <v>1.0631609515636007</v>
      </c>
      <c r="AB379" s="4">
        <f t="shared" si="262"/>
        <v>0.5722442316354146</v>
      </c>
      <c r="AC379" s="48" t="str">
        <f t="shared" si="263"/>
        <v>-0.0520168189481984-0.079926358916976i</v>
      </c>
      <c r="AD379" s="20">
        <f t="shared" si="264"/>
        <v>-20.412463728249115</v>
      </c>
      <c r="AE379" s="44">
        <f t="shared" si="265"/>
        <v>-123.05645330163485</v>
      </c>
      <c r="AF379" t="str">
        <f t="shared" si="250"/>
        <v>-0.979317078436135</v>
      </c>
      <c r="AG379" t="str">
        <f t="shared" si="266"/>
        <v>255964.577593354i</v>
      </c>
      <c r="AH379">
        <f t="shared" si="267"/>
        <v>255964.57759335401</v>
      </c>
      <c r="AI379">
        <f t="shared" si="268"/>
        <v>1.5707963267948966</v>
      </c>
      <c r="AJ379" t="str">
        <f t="shared" si="251"/>
        <v>-1013.1497217075+250.82480887528i</v>
      </c>
      <c r="AK379">
        <f t="shared" si="269"/>
        <v>1043.7362901342972</v>
      </c>
      <c r="AL379">
        <f t="shared" si="270"/>
        <v>2.8989029746994794</v>
      </c>
      <c r="AM379" t="str">
        <f t="shared" si="252"/>
        <v>1+35609.7920347874i</v>
      </c>
      <c r="AN379">
        <f t="shared" si="271"/>
        <v>35609.79204882848</v>
      </c>
      <c r="AO379">
        <f t="shared" si="272"/>
        <v>1.5707682446314637</v>
      </c>
      <c r="AP379" t="str">
        <f t="shared" si="253"/>
        <v>1+240.606702937753i</v>
      </c>
      <c r="AQ379">
        <f t="shared" si="273"/>
        <v>240.60878100887368</v>
      </c>
      <c r="AR379">
        <f t="shared" si="274"/>
        <v>1.5666401905361773</v>
      </c>
      <c r="AS379" s="42" t="str">
        <f t="shared" si="275"/>
        <v>-0.00742004628046567+0.0305184363876963i</v>
      </c>
      <c r="AT379">
        <f t="shared" si="276"/>
        <v>-30.05932827198329</v>
      </c>
      <c r="AU379" s="44">
        <f t="shared" si="277"/>
        <v>103.66535627564996</v>
      </c>
      <c r="AV379" s="42" t="str">
        <f t="shared" si="254"/>
        <v>0.00282519470426615-0.000994414697967837i</v>
      </c>
      <c r="AW379" s="20">
        <f t="shared" si="278"/>
        <v>-50.471792000232405</v>
      </c>
      <c r="AX379" s="44">
        <f t="shared" si="279"/>
        <v>-19.391097025984905</v>
      </c>
    </row>
    <row r="380" spans="14:50" x14ac:dyDescent="0.3">
      <c r="N380" s="8">
        <v>62</v>
      </c>
      <c r="O380" s="35">
        <f t="shared" si="244"/>
        <v>41686.938347033625</v>
      </c>
      <c r="P380" s="34" t="str">
        <f t="shared" si="245"/>
        <v>545.10556621881</v>
      </c>
      <c r="Q380" s="4" t="str">
        <f t="shared" si="246"/>
        <v>1+5595.47950549952i</v>
      </c>
      <c r="R380" s="4">
        <f t="shared" si="255"/>
        <v>5595.4795948573665</v>
      </c>
      <c r="S380" s="4">
        <f t="shared" si="256"/>
        <v>1.5706176111033512</v>
      </c>
      <c r="T380" s="4" t="str">
        <f t="shared" si="247"/>
        <v>1+0.130963379261691i</v>
      </c>
      <c r="U380" s="4">
        <f t="shared" si="257"/>
        <v>1.0085392440096923</v>
      </c>
      <c r="V380" s="4">
        <f t="shared" si="258"/>
        <v>0.13022225583336722</v>
      </c>
      <c r="W380" t="str">
        <f t="shared" si="248"/>
        <v>1-0.136044758377045i</v>
      </c>
      <c r="X380" s="4">
        <f t="shared" si="259"/>
        <v>1.0092116607936457</v>
      </c>
      <c r="Y380" s="4">
        <f t="shared" si="260"/>
        <v>-0.13521464394630525</v>
      </c>
      <c r="Z380" t="str">
        <f t="shared" si="249"/>
        <v>0.888780746960039+0.589133346573037i</v>
      </c>
      <c r="AA380" s="4">
        <f t="shared" si="261"/>
        <v>1.0663063894637372</v>
      </c>
      <c r="AB380" s="4">
        <f t="shared" si="262"/>
        <v>0.58535956996106964</v>
      </c>
      <c r="AC380" s="48" t="str">
        <f t="shared" si="263"/>
        <v>-0.0517494093171415-0.0772602280495659i</v>
      </c>
      <c r="AD380" s="20">
        <f t="shared" si="264"/>
        <v>-20.631272985101354</v>
      </c>
      <c r="AE380" s="44">
        <f t="shared" si="265"/>
        <v>-123.81443597006641</v>
      </c>
      <c r="AF380" t="str">
        <f t="shared" si="250"/>
        <v>-0.979317078436135</v>
      </c>
      <c r="AG380" t="str">
        <f t="shared" si="266"/>
        <v>261926.758523383i</v>
      </c>
      <c r="AH380">
        <f t="shared" si="267"/>
        <v>261926.758523383</v>
      </c>
      <c r="AI380">
        <f t="shared" si="268"/>
        <v>1.5707963267948966</v>
      </c>
      <c r="AJ380" t="str">
        <f t="shared" si="251"/>
        <v>-1060.9451255978+256.667269212233i</v>
      </c>
      <c r="AK380">
        <f t="shared" si="269"/>
        <v>1091.5505698842342</v>
      </c>
      <c r="AL380">
        <f t="shared" si="270"/>
        <v>2.9042299850876745</v>
      </c>
      <c r="AM380" t="str">
        <f t="shared" si="252"/>
        <v>1+36439.250645773i</v>
      </c>
      <c r="AN380">
        <f t="shared" si="271"/>
        <v>36439.250659494464</v>
      </c>
      <c r="AO380">
        <f t="shared" si="272"/>
        <v>1.5707688838595446</v>
      </c>
      <c r="AP380" t="str">
        <f t="shared" si="253"/>
        <v>1+246.211153011981i</v>
      </c>
      <c r="AQ380">
        <f t="shared" si="273"/>
        <v>246.21318378082256</v>
      </c>
      <c r="AR380">
        <f t="shared" si="274"/>
        <v>1.566734794694991</v>
      </c>
      <c r="AS380" s="42" t="str">
        <f t="shared" si="275"/>
        <v>-0.00710395384456442+0.0298988974224158i</v>
      </c>
      <c r="AT380">
        <f t="shared" si="276"/>
        <v>-30.248393184625343</v>
      </c>
      <c r="AU380" s="44">
        <f t="shared" si="277"/>
        <v>103.36559810707962</v>
      </c>
      <c r="AV380" s="42" t="str">
        <f t="shared" si="254"/>
        <v>0.00267762104855887-0.000998397186759185i</v>
      </c>
      <c r="AW380" s="20">
        <f t="shared" si="278"/>
        <v>-50.87966616972669</v>
      </c>
      <c r="AX380" s="44">
        <f t="shared" si="279"/>
        <v>-20.448837862986775</v>
      </c>
    </row>
    <row r="381" spans="14:50" x14ac:dyDescent="0.3">
      <c r="N381" s="8">
        <v>63</v>
      </c>
      <c r="O381" s="35">
        <f t="shared" si="244"/>
        <v>42657.951880159271</v>
      </c>
      <c r="P381" s="34" t="str">
        <f t="shared" si="245"/>
        <v>545.10556621881</v>
      </c>
      <c r="Q381" s="4" t="str">
        <f t="shared" si="246"/>
        <v>1+5725.81496642824i</v>
      </c>
      <c r="R381" s="4">
        <f t="shared" si="255"/>
        <v>5725.8150537520532</v>
      </c>
      <c r="S381" s="4">
        <f t="shared" si="256"/>
        <v>1.5706216791690659</v>
      </c>
      <c r="T381" s="4" t="str">
        <f t="shared" si="247"/>
        <v>1+0.134013908243896i</v>
      </c>
      <c r="U381" s="4">
        <f t="shared" si="257"/>
        <v>1.0089399028697414</v>
      </c>
      <c r="V381" s="4">
        <f t="shared" si="258"/>
        <v>0.13322015972255005</v>
      </c>
      <c r="W381" t="str">
        <f t="shared" si="248"/>
        <v>1-0.139213647883758i</v>
      </c>
      <c r="X381" s="4">
        <f t="shared" si="259"/>
        <v>1.00964371921837</v>
      </c>
      <c r="Y381" s="4">
        <f t="shared" si="260"/>
        <v>-0.13832462246062371</v>
      </c>
      <c r="Z381" t="str">
        <f t="shared" si="249"/>
        <v>0.88353914504896+0.602856025067098i</v>
      </c>
      <c r="AA381" s="4">
        <f t="shared" si="261"/>
        <v>1.0696152615747163</v>
      </c>
      <c r="AB381" s="4">
        <f t="shared" si="262"/>
        <v>0.59876106817316188</v>
      </c>
      <c r="AC381" s="48" t="str">
        <f t="shared" si="263"/>
        <v>-0.0514702705598295-0.0746412267975431i</v>
      </c>
      <c r="AD381" s="20">
        <f t="shared" si="264"/>
        <v>-20.851016876410196</v>
      </c>
      <c r="AE381" s="44">
        <f t="shared" si="265"/>
        <v>-124.58893974277851</v>
      </c>
      <c r="AF381" t="str">
        <f t="shared" si="250"/>
        <v>-0.979317078436135</v>
      </c>
      <c r="AG381" t="str">
        <f t="shared" si="266"/>
        <v>268027.816487791i</v>
      </c>
      <c r="AH381">
        <f t="shared" si="267"/>
        <v>268027.81648779102</v>
      </c>
      <c r="AI381">
        <f t="shared" si="268"/>
        <v>1.5707963267948966</v>
      </c>
      <c r="AJ381" t="str">
        <f t="shared" si="251"/>
        <v>-1110.99305747696+262.645817932716i</v>
      </c>
      <c r="AK381">
        <f t="shared" si="269"/>
        <v>1141.6165728647904</v>
      </c>
      <c r="AL381">
        <f t="shared" si="270"/>
        <v>2.9094483586176088</v>
      </c>
      <c r="AM381" t="str">
        <f t="shared" si="252"/>
        <v>1+37288.0298297815i</v>
      </c>
      <c r="AN381">
        <f t="shared" si="271"/>
        <v>37288.029843190634</v>
      </c>
      <c r="AO381">
        <f t="shared" si="272"/>
        <v>1.5707695085370179</v>
      </c>
      <c r="AP381" t="str">
        <f t="shared" si="253"/>
        <v>1+251.946147498524i</v>
      </c>
      <c r="AQ381">
        <f t="shared" si="273"/>
        <v>251.94813204179152</v>
      </c>
      <c r="AR381">
        <f t="shared" si="274"/>
        <v>1.5668272454704912</v>
      </c>
      <c r="AS381" s="42" t="str">
        <f t="shared" si="275"/>
        <v>-0.00680059651215584+0.0292887917358106i</v>
      </c>
      <c r="AT381">
        <f t="shared" si="276"/>
        <v>-30.437924491053803</v>
      </c>
      <c r="AU381" s="44">
        <f t="shared" si="277"/>
        <v>103.07194015852322</v>
      </c>
      <c r="AV381" s="42" t="str">
        <f t="shared" si="254"/>
        <v>0.00253617988902754-0.000999897168390265i</v>
      </c>
      <c r="AW381" s="20">
        <f t="shared" si="278"/>
        <v>-51.288941367463998</v>
      </c>
      <c r="AX381" s="44">
        <f t="shared" si="279"/>
        <v>-21.516999584255277</v>
      </c>
    </row>
    <row r="382" spans="14:50" x14ac:dyDescent="0.3">
      <c r="N382" s="8">
        <v>64</v>
      </c>
      <c r="O382" s="35">
        <f t="shared" si="244"/>
        <v>43651.583224016598</v>
      </c>
      <c r="P382" s="34" t="str">
        <f t="shared" si="245"/>
        <v>545.10556621881</v>
      </c>
      <c r="Q382" s="4" t="str">
        <f t="shared" si="246"/>
        <v>1+5859.18633024227i</v>
      </c>
      <c r="R382" s="4">
        <f t="shared" si="255"/>
        <v>5859.1864155783505</v>
      </c>
      <c r="S382" s="4">
        <f t="shared" si="256"/>
        <v>1.5706256546343051</v>
      </c>
      <c r="T382" s="4" t="str">
        <f t="shared" si="247"/>
        <v>1+0.137135493174134i</v>
      </c>
      <c r="U382" s="4">
        <f t="shared" si="257"/>
        <v>1.0093592737415717</v>
      </c>
      <c r="V382" s="4">
        <f t="shared" si="258"/>
        <v>0.13628540166551975</v>
      </c>
      <c r="W382" t="str">
        <f t="shared" si="248"/>
        <v>1-0.14245635030929i</v>
      </c>
      <c r="X382" s="4">
        <f t="shared" si="259"/>
        <v>1.0100959418507942</v>
      </c>
      <c r="Y382" s="4">
        <f t="shared" si="260"/>
        <v>-0.14150425588715693</v>
      </c>
      <c r="Z382" t="str">
        <f t="shared" si="249"/>
        <v>0.878050514050352+0.616898345805391i</v>
      </c>
      <c r="AA382" s="4">
        <f t="shared" si="261"/>
        <v>1.0730965819913487</v>
      </c>
      <c r="AB382" s="4">
        <f t="shared" si="262"/>
        <v>0.61245359198188631</v>
      </c>
      <c r="AC382" s="48" t="str">
        <f t="shared" si="263"/>
        <v>-0.0511789686685886-0.0720684147922453i</v>
      </c>
      <c r="AD382" s="20">
        <f t="shared" si="264"/>
        <v>-21.071742133469336</v>
      </c>
      <c r="AE382" s="44">
        <f t="shared" si="265"/>
        <v>-125.38024549450105</v>
      </c>
      <c r="AF382" t="str">
        <f t="shared" si="250"/>
        <v>-0.979317078436135</v>
      </c>
      <c r="AG382" t="str">
        <f t="shared" si="266"/>
        <v>274270.986348268i</v>
      </c>
      <c r="AH382">
        <f t="shared" si="267"/>
        <v>274270.98634826799</v>
      </c>
      <c r="AI382">
        <f t="shared" si="268"/>
        <v>1.5707963267948966</v>
      </c>
      <c r="AJ382" t="str">
        <f t="shared" si="251"/>
        <v>-1163.39967571852+268.763624942395i</v>
      </c>
      <c r="AK382">
        <f t="shared" si="269"/>
        <v>1194.0404899140287</v>
      </c>
      <c r="AL382">
        <f t="shared" si="270"/>
        <v>2.9145597827400391</v>
      </c>
      <c r="AM382" t="str">
        <f t="shared" si="252"/>
        <v>1+38156.579620771i</v>
      </c>
      <c r="AN382">
        <f t="shared" si="271"/>
        <v>38156.579633874899</v>
      </c>
      <c r="AO382">
        <f t="shared" si="272"/>
        <v>1.5707701189950962</v>
      </c>
      <c r="AP382" t="str">
        <f t="shared" si="253"/>
        <v>1+257.814727167373i</v>
      </c>
      <c r="AQ382">
        <f t="shared" si="273"/>
        <v>257.81666653726438</v>
      </c>
      <c r="AR382">
        <f t="shared" si="274"/>
        <v>1.5669175918749778</v>
      </c>
      <c r="AS382" s="42" t="str">
        <f t="shared" si="275"/>
        <v>-0.00650952245831161+0.0286881808084726i</v>
      </c>
      <c r="AT382">
        <f t="shared" si="276"/>
        <v>-30.627903353603266</v>
      </c>
      <c r="AU382" s="44">
        <f t="shared" si="277"/>
        <v>102.7842885733493</v>
      </c>
      <c r="AV382" s="42" t="str">
        <f t="shared" si="254"/>
        <v>0.00240066236008134-0.000999100542130587i</v>
      </c>
      <c r="AW382" s="20">
        <f t="shared" si="278"/>
        <v>-51.699645487072594</v>
      </c>
      <c r="AX382" s="44">
        <f t="shared" si="279"/>
        <v>-22.595956921151746</v>
      </c>
    </row>
    <row r="383" spans="14:50" x14ac:dyDescent="0.3">
      <c r="N383" s="8">
        <v>65</v>
      </c>
      <c r="O383" s="35">
        <f t="shared" si="244"/>
        <v>44668.359215096389</v>
      </c>
      <c r="P383" s="34" t="str">
        <f t="shared" si="245"/>
        <v>545.10556621881</v>
      </c>
      <c r="Q383" s="4" t="str">
        <f t="shared" si="246"/>
        <v>1+5995.66431220412i</v>
      </c>
      <c r="R383" s="4">
        <f t="shared" si="255"/>
        <v>5995.6643955977142</v>
      </c>
      <c r="S383" s="4">
        <f t="shared" si="256"/>
        <v>1.5706295396069128</v>
      </c>
      <c r="T383" s="4" t="str">
        <f t="shared" si="247"/>
        <v>1+0.140329789158057i</v>
      </c>
      <c r="U383" s="4">
        <f t="shared" si="257"/>
        <v>1.0097982222826225</v>
      </c>
      <c r="V383" s="4">
        <f t="shared" si="258"/>
        <v>0.13941937637164806</v>
      </c>
      <c r="W383" t="str">
        <f t="shared" si="248"/>
        <v>1-0.145774584977389i</v>
      </c>
      <c r="X383" s="4">
        <f t="shared" si="259"/>
        <v>1.0105692601822649</v>
      </c>
      <c r="Y383" s="4">
        <f t="shared" si="260"/>
        <v>-0.14475497280440153</v>
      </c>
      <c r="Z383" t="str">
        <f t="shared" si="249"/>
        <v>0.872303211841991+0.631267754212248i</v>
      </c>
      <c r="AA383" s="4">
        <f t="shared" si="261"/>
        <v>1.0767598947295671</v>
      </c>
      <c r="AB383" s="4">
        <f t="shared" si="262"/>
        <v>0.62644195313988782</v>
      </c>
      <c r="AC383" s="48" t="str">
        <f t="shared" si="263"/>
        <v>-0.0508750626423142-0.0695409067383051i</v>
      </c>
      <c r="AD383" s="20">
        <f t="shared" si="264"/>
        <v>-21.29349769263883</v>
      </c>
      <c r="AE383" s="44">
        <f t="shared" si="265"/>
        <v>-126.18863097968116</v>
      </c>
      <c r="AF383" t="str">
        <f t="shared" si="250"/>
        <v>-0.979317078436135</v>
      </c>
      <c r="AG383" t="str">
        <f t="shared" si="266"/>
        <v>280659.578316114i</v>
      </c>
      <c r="AH383">
        <f t="shared" si="267"/>
        <v>280659.57831611403</v>
      </c>
      <c r="AI383">
        <f t="shared" si="268"/>
        <v>1.5707963267948966</v>
      </c>
      <c r="AJ383" t="str">
        <f t="shared" si="251"/>
        <v>-1218.27614178608+275.023933983526i</v>
      </c>
      <c r="AK383">
        <f t="shared" si="269"/>
        <v>1248.9335138064603</v>
      </c>
      <c r="AL383">
        <f t="shared" si="270"/>
        <v>2.9195659530858422</v>
      </c>
      <c r="AM383" t="str">
        <f t="shared" si="252"/>
        <v>1+39045.3605353378i</v>
      </c>
      <c r="AN383">
        <f t="shared" si="271"/>
        <v>39045.360548143428</v>
      </c>
      <c r="AO383">
        <f t="shared" si="272"/>
        <v>1.570770715557452</v>
      </c>
      <c r="AP383" t="str">
        <f t="shared" si="253"/>
        <v>1+263.820003617148i</v>
      </c>
      <c r="AQ383">
        <f t="shared" si="273"/>
        <v>263.82189884191189</v>
      </c>
      <c r="AR383">
        <f t="shared" si="274"/>
        <v>1.5670058818054073</v>
      </c>
      <c r="AS383" s="42" t="str">
        <f t="shared" si="275"/>
        <v>-0.00623029070912884+0.0280971098238737i</v>
      </c>
      <c r="AT383">
        <f t="shared" si="276"/>
        <v>-30.818311606916986</v>
      </c>
      <c r="AU383" s="44">
        <f t="shared" si="277"/>
        <v>102.50254896190359</v>
      </c>
      <c r="AV383" s="42" t="str">
        <f t="shared" si="254"/>
        <v>0.00227086492398467-0.000996182157201499i</v>
      </c>
      <c r="AW383" s="20">
        <f t="shared" si="278"/>
        <v>-52.111809299555823</v>
      </c>
      <c r="AX383" s="44">
        <f t="shared" si="279"/>
        <v>-23.686082017777622</v>
      </c>
    </row>
    <row r="384" spans="14:50" x14ac:dyDescent="0.3">
      <c r="N384" s="8">
        <v>66</v>
      </c>
      <c r="O384" s="35">
        <f t="shared" ref="O384:O418" si="280">10^(4+(N384/100))</f>
        <v>45708.818961487581</v>
      </c>
      <c r="P384" s="34" t="str">
        <f t="shared" si="245"/>
        <v>545.10556621881</v>
      </c>
      <c r="Q384" s="4" t="str">
        <f t="shared" si="246"/>
        <v>1+6135.32127474627i</v>
      </c>
      <c r="R384" s="4">
        <f t="shared" si="255"/>
        <v>6135.3213562415949</v>
      </c>
      <c r="S384" s="4">
        <f t="shared" si="256"/>
        <v>1.5706333361467524</v>
      </c>
      <c r="T384" s="4" t="str">
        <f t="shared" si="247"/>
        <v>1+0.143598489853675i</v>
      </c>
      <c r="U384" s="4">
        <f t="shared" si="257"/>
        <v>1.0102576534173131</v>
      </c>
      <c r="V384" s="4">
        <f t="shared" si="258"/>
        <v>0.14262349913631919</v>
      </c>
      <c r="W384" t="str">
        <f t="shared" si="248"/>
        <v>1-0.149170111259997i</v>
      </c>
      <c r="X384" s="4">
        <f t="shared" si="259"/>
        <v>1.0110646478308496</v>
      </c>
      <c r="Y384" s="4">
        <f t="shared" si="260"/>
        <v>-0.14807822183537098</v>
      </c>
      <c r="Z384" t="str">
        <f t="shared" si="249"/>
        <v>0.866285047625341+0.6459718691382i</v>
      </c>
      <c r="AA384" s="4">
        <f t="shared" si="261"/>
        <v>1.0806153059517243</v>
      </c>
      <c r="AB384" s="4">
        <f t="shared" si="262"/>
        <v>0.64073089345676648</v>
      </c>
      <c r="AC384" s="48" t="str">
        <f t="shared" si="263"/>
        <v>-0.0505581056585345-0.0670578736226949i</v>
      </c>
      <c r="AD384" s="20">
        <f t="shared" si="264"/>
        <v>-21.516334768364121</v>
      </c>
      <c r="AE384" s="44">
        <f t="shared" si="265"/>
        <v>-127.01436991155026</v>
      </c>
      <c r="AF384" t="str">
        <f t="shared" si="250"/>
        <v>-0.979317078436135</v>
      </c>
      <c r="AG384" t="str">
        <f t="shared" si="266"/>
        <v>287196.97970735i</v>
      </c>
      <c r="AH384">
        <f t="shared" si="267"/>
        <v>287196.97970735002</v>
      </c>
      <c r="AI384">
        <f t="shared" si="268"/>
        <v>1.5707963267948966</v>
      </c>
      <c r="AJ384" t="str">
        <f t="shared" si="251"/>
        <v>-1275.73885602156+281.430064354827i</v>
      </c>
      <c r="AK384">
        <f t="shared" si="269"/>
        <v>1306.4120750689503</v>
      </c>
      <c r="AL384">
        <f t="shared" si="270"/>
        <v>2.9244685707534681</v>
      </c>
      <c r="AM384" t="str">
        <f t="shared" si="252"/>
        <v>1+39954.8438168865i</v>
      </c>
      <c r="AN384">
        <f t="shared" si="271"/>
        <v>39954.843829400634</v>
      </c>
      <c r="AO384">
        <f t="shared" si="272"/>
        <v>1.5707712985403908</v>
      </c>
      <c r="AP384" t="str">
        <f t="shared" si="253"/>
        <v>1+269.96516092491i</v>
      </c>
      <c r="AQ384">
        <f t="shared" si="273"/>
        <v>269.96701300939077</v>
      </c>
      <c r="AR384">
        <f t="shared" si="274"/>
        <v>1.5670921620687606</v>
      </c>
      <c r="AS384" s="42" t="str">
        <f t="shared" si="275"/>
        <v>-0.0059624713468923+0.0275156086927095i</v>
      </c>
      <c r="AT384">
        <f t="shared" si="276"/>
        <v>-31.009131741443436</v>
      </c>
      <c r="AU384" s="44">
        <f t="shared" si="277"/>
        <v>102.2266265583897</v>
      </c>
      <c r="AV384" s="42" t="str">
        <f t="shared" si="254"/>
        <v>0.0021465894667094-0.000991306401486054i</v>
      </c>
      <c r="AW384" s="20">
        <f t="shared" si="278"/>
        <v>-52.525466509807572</v>
      </c>
      <c r="AX384" s="44">
        <f t="shared" si="279"/>
        <v>-24.787743353160618</v>
      </c>
    </row>
    <row r="385" spans="14:50" x14ac:dyDescent="0.3">
      <c r="N385" s="8">
        <v>67</v>
      </c>
      <c r="O385" s="35">
        <f t="shared" si="280"/>
        <v>46773.514128719893</v>
      </c>
      <c r="P385" s="34" t="str">
        <f t="shared" si="245"/>
        <v>545.10556621881</v>
      </c>
      <c r="Q385" s="4" t="str">
        <f t="shared" si="246"/>
        <v>1+6278.2312658389i</v>
      </c>
      <c r="R385" s="4">
        <f t="shared" si="255"/>
        <v>6278.2313454791638</v>
      </c>
      <c r="S385" s="4">
        <f t="shared" si="256"/>
        <v>1.5706370462667987</v>
      </c>
      <c r="T385" s="4" t="str">
        <f t="shared" si="247"/>
        <v>1+0.146943328369365i</v>
      </c>
      <c r="U385" s="4">
        <f t="shared" si="257"/>
        <v>1.0107385130449256</v>
      </c>
      <c r="V385" s="4">
        <f t="shared" si="258"/>
        <v>0.14589920553165492</v>
      </c>
      <c r="W385" t="str">
        <f t="shared" si="248"/>
        <v>1-0.152644729510096i</v>
      </c>
      <c r="X385" s="4">
        <f t="shared" si="259"/>
        <v>1.0115831223617813</v>
      </c>
      <c r="Y385" s="4">
        <f t="shared" si="260"/>
        <v>-0.15147547124296046</v>
      </c>
      <c r="Z385" t="str">
        <f t="shared" si="249"/>
        <v>0.859983256067228+0.661018486899623i</v>
      </c>
      <c r="AA385" s="4">
        <f t="shared" si="261"/>
        <v>1.0846735180408245</v>
      </c>
      <c r="AB385" s="4">
        <f t="shared" si="262"/>
        <v>0.65532506734156049</v>
      </c>
      <c r="AC385" s="48" t="str">
        <f t="shared" si="263"/>
        <v>-0.0502276464400105-0.0646185439722858i</v>
      </c>
      <c r="AD385" s="20">
        <f t="shared" si="264"/>
        <v>-21.740306923326486</v>
      </c>
      <c r="AE385" s="44">
        <f t="shared" si="265"/>
        <v>-127.85773095648054</v>
      </c>
      <c r="AF385" t="str">
        <f t="shared" si="250"/>
        <v>-0.979317078436135</v>
      </c>
      <c r="AG385" t="str">
        <f t="shared" si="266"/>
        <v>293886.65673873i</v>
      </c>
      <c r="AH385">
        <f t="shared" si="267"/>
        <v>293886.65673872997</v>
      </c>
      <c r="AI385">
        <f t="shared" si="268"/>
        <v>1.5707963267948966</v>
      </c>
      <c r="AJ385" t="str">
        <f t="shared" si="251"/>
        <v>-1335.90970454602+287.985412671416i</v>
      </c>
      <c r="AK385">
        <f t="shared" si="269"/>
        <v>1366.5980889097425</v>
      </c>
      <c r="AL385">
        <f t="shared" si="270"/>
        <v>2.9292693397704137</v>
      </c>
      <c r="AM385" t="str">
        <f t="shared" si="252"/>
        <v>1+40885.5116854921i</v>
      </c>
      <c r="AN385">
        <f t="shared" si="271"/>
        <v>40885.511697721369</v>
      </c>
      <c r="AO385">
        <f t="shared" si="272"/>
        <v>1.5707718682530176</v>
      </c>
      <c r="AP385" t="str">
        <f t="shared" si="253"/>
        <v>1+276.253457334407i</v>
      </c>
      <c r="AQ385">
        <f t="shared" si="273"/>
        <v>276.25526726057734</v>
      </c>
      <c r="AR385">
        <f t="shared" si="274"/>
        <v>1.5671764784068338</v>
      </c>
      <c r="AS385" s="42" t="str">
        <f t="shared" si="275"/>
        <v>-0.00570564566114636+0.0269436930414435i</v>
      </c>
      <c r="AT385">
        <f t="shared" si="276"/>
        <v>-31.200346886666026</v>
      </c>
      <c r="AU385" s="44">
        <f t="shared" si="277"/>
        <v>101.95642636774622</v>
      </c>
      <c r="AV385" s="42" t="str">
        <f t="shared" si="254"/>
        <v>0.00202764336655433-0.000984627772828728i</v>
      </c>
      <c r="AW385" s="20">
        <f t="shared" si="278"/>
        <v>-52.940653809992497</v>
      </c>
      <c r="AX385" s="44">
        <f t="shared" si="279"/>
        <v>-25.901304588734316</v>
      </c>
    </row>
    <row r="386" spans="14:50" x14ac:dyDescent="0.3">
      <c r="N386" s="8">
        <v>68</v>
      </c>
      <c r="O386" s="35">
        <f t="shared" si="280"/>
        <v>47863.009232263823</v>
      </c>
      <c r="P386" s="34" t="str">
        <f t="shared" si="245"/>
        <v>545.10556621881</v>
      </c>
      <c r="Q386" s="4" t="str">
        <f t="shared" si="246"/>
        <v>1+6424.47005825085i</v>
      </c>
      <c r="R386" s="4">
        <f t="shared" si="255"/>
        <v>6424.4701360782819</v>
      </c>
      <c r="S386" s="4">
        <f t="shared" si="256"/>
        <v>1.5706406719342068</v>
      </c>
      <c r="T386" s="4" t="str">
        <f t="shared" si="247"/>
        <v>1+0.15036607818278i</v>
      </c>
      <c r="U386" s="4">
        <f t="shared" si="257"/>
        <v>1.0112417898149135</v>
      </c>
      <c r="V386" s="4">
        <f t="shared" si="258"/>
        <v>0.14924795104084543</v>
      </c>
      <c r="W386" t="str">
        <f t="shared" si="248"/>
        <v>1-0.156200282016272i</v>
      </c>
      <c r="X386" s="4">
        <f t="shared" si="259"/>
        <v>1.0121257471786611</v>
      </c>
      <c r="Y386" s="4">
        <f t="shared" si="260"/>
        <v>-0.15494820846219148</v>
      </c>
      <c r="Z386" t="str">
        <f t="shared" si="249"/>
        <v>0.853384470222862+0.676415585412409i</v>
      </c>
      <c r="AA386" s="4">
        <f t="shared" si="261"/>
        <v>1.0889458655995563</v>
      </c>
      <c r="AB386" s="4">
        <f t="shared" si="262"/>
        <v>0.67022902279421537</v>
      </c>
      <c r="AC386" s="48" t="str">
        <f t="shared" si="263"/>
        <v>-0.049883230833068-0.0622222051463939i</v>
      </c>
      <c r="AD386" s="20">
        <f t="shared" si="264"/>
        <v>-21.965470134720896</v>
      </c>
      <c r="AE386" s="44">
        <f t="shared" si="265"/>
        <v>-128.71897663908902</v>
      </c>
      <c r="AF386" t="str">
        <f t="shared" si="250"/>
        <v>-0.979317078436135</v>
      </c>
      <c r="AG386" t="str">
        <f t="shared" si="266"/>
        <v>300732.156365561i</v>
      </c>
      <c r="AH386">
        <f t="shared" si="267"/>
        <v>300732.15636556101</v>
      </c>
      <c r="AI386">
        <f t="shared" si="268"/>
        <v>1.5707963267948966</v>
      </c>
      <c r="AJ386" t="str">
        <f t="shared" si="251"/>
        <v>-1398.91631779643+294.693454665741i</v>
      </c>
      <c r="AK386">
        <f t="shared" si="269"/>
        <v>1429.6192137838491</v>
      </c>
      <c r="AL386">
        <f t="shared" si="270"/>
        <v>2.9339699647223667</v>
      </c>
      <c r="AM386" t="str">
        <f t="shared" si="252"/>
        <v>1+41837.8575935768i</v>
      </c>
      <c r="AN386">
        <f t="shared" si="271"/>
        <v>41837.857605527701</v>
      </c>
      <c r="AO386">
        <f t="shared" si="272"/>
        <v>1.570772424997402</v>
      </c>
      <c r="AP386" t="str">
        <f t="shared" si="253"/>
        <v>1+282.688226983628i</v>
      </c>
      <c r="AQ386">
        <f t="shared" si="273"/>
        <v>282.68999571110965</v>
      </c>
      <c r="AR386">
        <f t="shared" si="274"/>
        <v>1.5672588755204675</v>
      </c>
      <c r="AS386" s="42" t="str">
        <f t="shared" si="275"/>
        <v>-0.00545940625028434+0.0263813651641044i</v>
      </c>
      <c r="AT386">
        <f t="shared" si="276"/>
        <v>-31.3919407941431</v>
      </c>
      <c r="AU386" s="44">
        <f t="shared" si="277"/>
        <v>101.69185330288416</v>
      </c>
      <c r="AV386" s="42" t="str">
        <f t="shared" si="254"/>
        <v>0.00191383953747726-0.000976291432489781i</v>
      </c>
      <c r="AW386" s="20">
        <f t="shared" si="278"/>
        <v>-53.357410928864006</v>
      </c>
      <c r="AX386" s="44">
        <f t="shared" si="279"/>
        <v>-27.027123336204873</v>
      </c>
    </row>
    <row r="387" spans="14:50" x14ac:dyDescent="0.3">
      <c r="N387" s="8">
        <v>69</v>
      </c>
      <c r="O387" s="35">
        <f t="shared" si="280"/>
        <v>48977.881936844598</v>
      </c>
      <c r="P387" s="34" t="str">
        <f t="shared" si="245"/>
        <v>545.10556621881</v>
      </c>
      <c r="Q387" s="4" t="str">
        <f t="shared" si="246"/>
        <v>1+6574.11518972561i</v>
      </c>
      <c r="R387" s="4">
        <f t="shared" si="255"/>
        <v>6574.1152657814728</v>
      </c>
      <c r="S387" s="4">
        <f t="shared" si="256"/>
        <v>1.5706442150713524</v>
      </c>
      <c r="T387" s="4" t="str">
        <f t="shared" si="247"/>
        <v>1+0.153868554081179i</v>
      </c>
      <c r="U387" s="4">
        <f t="shared" si="257"/>
        <v>1.0117685169716604</v>
      </c>
      <c r="V387" s="4">
        <f t="shared" si="258"/>
        <v>0.15267121063211081</v>
      </c>
      <c r="W387" t="str">
        <f t="shared" si="248"/>
        <v>1-0.159838653979528i</v>
      </c>
      <c r="X387" s="4">
        <f t="shared" si="259"/>
        <v>1.0126936334874368</v>
      </c>
      <c r="Y387" s="4">
        <f t="shared" si="260"/>
        <v>-0.15849793956502711</v>
      </c>
      <c r="Z387" t="str">
        <f t="shared" si="249"/>
        <v>0.846474693182753+0.692171328422001i</v>
      </c>
      <c r="AA387" s="4">
        <f t="shared" si="261"/>
        <v>1.0934443534484566</v>
      </c>
      <c r="AB387" s="4">
        <f t="shared" si="262"/>
        <v>0.68544718077087352</v>
      </c>
      <c r="AC387" s="48" t="str">
        <f t="shared" si="263"/>
        <v>-0.049524403615044-0.0598682046480066i</v>
      </c>
      <c r="AD387" s="20">
        <f t="shared" si="264"/>
        <v>-22.191882855529684</v>
      </c>
      <c r="AE387" s="44">
        <f t="shared" si="265"/>
        <v>-129.59836215376117</v>
      </c>
      <c r="AF387" t="str">
        <f t="shared" si="250"/>
        <v>-0.979317078436135</v>
      </c>
      <c r="AG387" t="str">
        <f t="shared" si="266"/>
        <v>307737.108162358i</v>
      </c>
      <c r="AH387">
        <f t="shared" si="267"/>
        <v>307737.108162358</v>
      </c>
      <c r="AI387">
        <f t="shared" si="268"/>
        <v>1.5707963267948966</v>
      </c>
      <c r="AJ387" t="str">
        <f t="shared" si="251"/>
        <v>-1464.89234124693+301.557747030458i</v>
      </c>
      <c r="AK387">
        <f t="shared" si="269"/>
        <v>1495.6091221432148</v>
      </c>
      <c r="AL387">
        <f t="shared" si="270"/>
        <v>2.9385721485436407</v>
      </c>
      <c r="AM387" t="str">
        <f t="shared" si="252"/>
        <v>1+42812.3864875472i</v>
      </c>
      <c r="AN387">
        <f t="shared" si="271"/>
        <v>42812.386499226057</v>
      </c>
      <c r="AO387">
        <f t="shared" si="272"/>
        <v>1.5707729690687369</v>
      </c>
      <c r="AP387" t="str">
        <f t="shared" si="253"/>
        <v>1+289.272881672617i</v>
      </c>
      <c r="AQ387">
        <f t="shared" si="273"/>
        <v>289.27461013918918</v>
      </c>
      <c r="AR387">
        <f t="shared" si="274"/>
        <v>1.5673393970932239</v>
      </c>
      <c r="AS387" s="42" t="str">
        <f t="shared" si="275"/>
        <v>-0.00522335707804495+0.0258286149367108i</v>
      </c>
      <c r="AT387">
        <f t="shared" si="276"/>
        <v>-31.583897820428724</v>
      </c>
      <c r="AU387" s="44">
        <f t="shared" si="277"/>
        <v>101.43281231265175</v>
      </c>
      <c r="AV387" s="42" t="str">
        <f t="shared" si="254"/>
        <v>0.00180499644896416-0.000966433740445211i</v>
      </c>
      <c r="AW387" s="20">
        <f t="shared" si="278"/>
        <v>-53.775780675958401</v>
      </c>
      <c r="AX387" s="44">
        <f t="shared" si="279"/>
        <v>-28.165549841109407</v>
      </c>
    </row>
    <row r="388" spans="14:50" x14ac:dyDescent="0.3">
      <c r="N388" s="8">
        <v>70</v>
      </c>
      <c r="O388" s="35">
        <f t="shared" si="280"/>
        <v>50118.723362727294</v>
      </c>
      <c r="P388" s="34" t="str">
        <f t="shared" si="245"/>
        <v>545.10556621881</v>
      </c>
      <c r="Q388" s="4" t="str">
        <f t="shared" si="246"/>
        <v>1+6727.24600409269i</v>
      </c>
      <c r="R388" s="4">
        <f t="shared" si="255"/>
        <v>6727.246078417309</v>
      </c>
      <c r="S388" s="4">
        <f t="shared" si="256"/>
        <v>1.5706476775568539</v>
      </c>
      <c r="T388" s="4" t="str">
        <f t="shared" si="247"/>
        <v>1+0.157452613123643i</v>
      </c>
      <c r="U388" s="4">
        <f t="shared" si="257"/>
        <v>1.0123197742706913</v>
      </c>
      <c r="V388" s="4">
        <f t="shared" si="258"/>
        <v>0.15617047826805566</v>
      </c>
      <c r="W388" t="str">
        <f t="shared" si="248"/>
        <v>1-0.16356177451284i</v>
      </c>
      <c r="X388" s="4">
        <f t="shared" si="259"/>
        <v>1.0132879423351435</v>
      </c>
      <c r="Y388" s="4">
        <f t="shared" si="260"/>
        <v>-0.16212618865320019</v>
      </c>
      <c r="Z388" t="str">
        <f t="shared" si="249"/>
        <v>0.839239268383387+0.708294069831896i</v>
      </c>
      <c r="AA388" s="4">
        <f t="shared" si="261"/>
        <v>1.0981816966949112</v>
      </c>
      <c r="AB388" s="4">
        <f t="shared" si="262"/>
        <v>0.70098381285300859</v>
      </c>
      <c r="AC388" s="48" t="str">
        <f t="shared" si="263"/>
        <v>-0.0491507105481429-0.0575559514343715i</v>
      </c>
      <c r="AD388" s="20">
        <f t="shared" si="264"/>
        <v>-22.419606069520039</v>
      </c>
      <c r="AE388" s="44">
        <f t="shared" si="265"/>
        <v>-130.49613407856913</v>
      </c>
      <c r="AF388" t="str">
        <f t="shared" si="250"/>
        <v>-0.979317078436135</v>
      </c>
      <c r="AG388" t="str">
        <f t="shared" si="266"/>
        <v>314905.226247286i</v>
      </c>
      <c r="AH388">
        <f t="shared" si="267"/>
        <v>314905.22624728602</v>
      </c>
      <c r="AI388">
        <f t="shared" si="268"/>
        <v>1.5707963267948966</v>
      </c>
      <c r="AJ388" t="str">
        <f t="shared" si="251"/>
        <v>-1533.97771888884+308.581929304241i</v>
      </c>
      <c r="AK388">
        <f t="shared" si="269"/>
        <v>1564.7077839457872</v>
      </c>
      <c r="AL388">
        <f t="shared" si="270"/>
        <v>2.9430775904623916</v>
      </c>
      <c r="AM388" t="str">
        <f t="shared" si="252"/>
        <v>1+43809.6150755224i</v>
      </c>
      <c r="AN388">
        <f t="shared" si="271"/>
        <v>43809.615086935424</v>
      </c>
      <c r="AO388">
        <f t="shared" si="272"/>
        <v>1.5707735007554964</v>
      </c>
      <c r="AP388" t="str">
        <f t="shared" si="253"/>
        <v>1+296.01091267245i</v>
      </c>
      <c r="AQ388">
        <f t="shared" si="273"/>
        <v>296.01260179454658</v>
      </c>
      <c r="AR388">
        <f t="shared" si="274"/>
        <v>1.5674180858145279</v>
      </c>
      <c r="AS388" s="42" t="str">
        <f t="shared" si="275"/>
        <v>-0.00499711348908207+0.0252854206939761i</v>
      </c>
      <c r="AT388">
        <f t="shared" si="276"/>
        <v>-31.776202909940441</v>
      </c>
      <c r="AU388" s="44">
        <f t="shared" si="277"/>
        <v>101.17920850089932</v>
      </c>
      <c r="AV388" s="42" t="str">
        <f t="shared" si="254"/>
        <v>0.00170093812413823-0.000955182772327992i</v>
      </c>
      <c r="AW388" s="20">
        <f t="shared" si="278"/>
        <v>-54.195808979460494</v>
      </c>
      <c r="AX388" s="44">
        <f t="shared" si="279"/>
        <v>-29.31692557766986</v>
      </c>
    </row>
    <row r="389" spans="14:50" x14ac:dyDescent="0.3">
      <c r="N389" s="8">
        <v>71</v>
      </c>
      <c r="O389" s="35">
        <f t="shared" si="280"/>
        <v>51286.138399136544</v>
      </c>
      <c r="P389" s="34" t="str">
        <f t="shared" si="245"/>
        <v>545.10556621881</v>
      </c>
      <c r="Q389" s="4" t="str">
        <f t="shared" si="246"/>
        <v>1+6883.94369333678i</v>
      </c>
      <c r="R389" s="4">
        <f t="shared" si="255"/>
        <v>6883.9437659695632</v>
      </c>
      <c r="S389" s="4">
        <f t="shared" si="256"/>
        <v>1.5706510612265663</v>
      </c>
      <c r="T389" s="4" t="str">
        <f t="shared" si="247"/>
        <v>1+0.161120155625717i</v>
      </c>
      <c r="U389" s="4">
        <f t="shared" si="257"/>
        <v>1.0128966899683578</v>
      </c>
      <c r="V389" s="4">
        <f t="shared" si="258"/>
        <v>0.15974726634604328</v>
      </c>
      <c r="W389" t="str">
        <f t="shared" si="248"/>
        <v>1-0.167371617663994i</v>
      </c>
      <c r="X389" s="4">
        <f t="shared" si="259"/>
        <v>1.0139098867253746</v>
      </c>
      <c r="Y389" s="4">
        <f t="shared" si="260"/>
        <v>-0.16583449717432869</v>
      </c>
      <c r="Z389" t="str">
        <f t="shared" si="249"/>
        <v>0.831662848518695+0.724792358132996i</v>
      </c>
      <c r="AA389" s="4">
        <f t="shared" si="261"/>
        <v>1.1031713629415054</v>
      </c>
      <c r="AB389" s="4">
        <f t="shared" si="262"/>
        <v>0.71684301715808429</v>
      </c>
      <c r="AC389" s="48" t="str">
        <f t="shared" si="263"/>
        <v>-0.0487617006965367-0.0552849172042907i</v>
      </c>
      <c r="AD389" s="20">
        <f t="shared" si="264"/>
        <v>-22.6487033385513</v>
      </c>
      <c r="AE389" s="44">
        <f t="shared" si="265"/>
        <v>-131.41252898799112</v>
      </c>
      <c r="AF389" t="str">
        <f t="shared" si="250"/>
        <v>-0.979317078436135</v>
      </c>
      <c r="AG389" t="str">
        <f t="shared" si="266"/>
        <v>322240.311251434i</v>
      </c>
      <c r="AH389">
        <f t="shared" si="267"/>
        <v>322240.31125143397</v>
      </c>
      <c r="AI389">
        <f t="shared" si="268"/>
        <v>1.5707963267948966</v>
      </c>
      <c r="AJ389" t="str">
        <f t="shared" si="251"/>
        <v>-1606.31899007056+315.769725801505i</v>
      </c>
      <c r="AK389">
        <f t="shared" si="269"/>
        <v>1637.0617635245353</v>
      </c>
      <c r="AL389">
        <f t="shared" si="270"/>
        <v>2.9474879840940629</v>
      </c>
      <c r="AM389" t="str">
        <f t="shared" si="252"/>
        <v>1+44830.0721012995i</v>
      </c>
      <c r="AN389">
        <f t="shared" si="271"/>
        <v>44830.072112452726</v>
      </c>
      <c r="AO389">
        <f t="shared" si="272"/>
        <v>1.5707740203395875</v>
      </c>
      <c r="AP389" t="str">
        <f t="shared" si="253"/>
        <v>1+302.905892576349i</v>
      </c>
      <c r="AQ389">
        <f t="shared" si="273"/>
        <v>302.90754324954452</v>
      </c>
      <c r="AR389">
        <f t="shared" si="274"/>
        <v>1.5674949834022809</v>
      </c>
      <c r="AS389" s="42" t="str">
        <f t="shared" si="275"/>
        <v>-0.00478030218755178+0.0247517500682099i</v>
      </c>
      <c r="AT389">
        <f t="shared" si="276"/>
        <v>-31.968841577831345</v>
      </c>
      <c r="AU389" s="44">
        <f t="shared" si="277"/>
        <v>100.93094723702168</v>
      </c>
      <c r="AV389" s="42" t="str">
        <f t="shared" si="254"/>
        <v>0.00160149411769068-0.000942658817891243i</v>
      </c>
      <c r="AW389" s="20">
        <f t="shared" si="278"/>
        <v>-54.617544916382641</v>
      </c>
      <c r="AX389" s="44">
        <f t="shared" si="279"/>
        <v>-30.481581750969422</v>
      </c>
    </row>
    <row r="390" spans="14:50" x14ac:dyDescent="0.3">
      <c r="N390" s="8">
        <v>72</v>
      </c>
      <c r="O390" s="35">
        <f t="shared" si="280"/>
        <v>52480.746024977314</v>
      </c>
      <c r="P390" s="34" t="str">
        <f t="shared" si="245"/>
        <v>545.10556621881</v>
      </c>
      <c r="Q390" s="4" t="str">
        <f t="shared" si="246"/>
        <v>1+7044.29134064681i</v>
      </c>
      <c r="R390" s="4">
        <f t="shared" si="255"/>
        <v>7044.29141162627</v>
      </c>
      <c r="S390" s="4">
        <f t="shared" si="256"/>
        <v>1.5706543678745561</v>
      </c>
      <c r="T390" s="4" t="str">
        <f t="shared" si="247"/>
        <v>1+0.164873126166981i</v>
      </c>
      <c r="U390" s="4">
        <f t="shared" si="257"/>
        <v>1.0135004428869645</v>
      </c>
      <c r="V390" s="4">
        <f t="shared" si="258"/>
        <v>0.16340310506496764</v>
      </c>
      <c r="W390" t="str">
        <f t="shared" si="248"/>
        <v>1-0.171270203462259i</v>
      </c>
      <c r="X390" s="4">
        <f t="shared" si="259"/>
        <v>1.0145607338124236</v>
      </c>
      <c r="Y390" s="4">
        <f t="shared" si="260"/>
        <v>-0.16962442315639514</v>
      </c>
      <c r="Z390" t="str">
        <f t="shared" si="249"/>
        <v>0.823729362986357+0.741674940936136i</v>
      </c>
      <c r="AA390" s="4">
        <f t="shared" si="261"/>
        <v>1.1084276166978746</v>
      </c>
      <c r="AB390" s="4">
        <f t="shared" si="262"/>
        <v>0.7330286924392263</v>
      </c>
      <c r="AC390" s="48" t="str">
        <f t="shared" si="263"/>
        <v>-0.0483569290226827-0.0530546376358979i</v>
      </c>
      <c r="AD390" s="20">
        <f t="shared" si="264"/>
        <v>-22.879240840625876</v>
      </c>
      <c r="AE390" s="44">
        <f t="shared" si="265"/>
        <v>-132.34777196140837</v>
      </c>
      <c r="AF390" t="str">
        <f t="shared" si="250"/>
        <v>-0.979317078436135</v>
      </c>
      <c r="AG390" t="str">
        <f t="shared" si="266"/>
        <v>329746.252333961i</v>
      </c>
      <c r="AH390">
        <f t="shared" si="267"/>
        <v>329746.25233396102</v>
      </c>
      <c r="AI390">
        <f t="shared" si="268"/>
        <v>1.5707963267948966</v>
      </c>
      <c r="AJ390" t="str">
        <f t="shared" si="251"/>
        <v>-1682.06960032721+323.124947587095i</v>
      </c>
      <c r="AK390">
        <f t="shared" si="269"/>
        <v>1712.8245304461586</v>
      </c>
      <c r="AL390">
        <f t="shared" si="270"/>
        <v>2.951805015676543</v>
      </c>
      <c r="AM390" t="str">
        <f t="shared" si="252"/>
        <v>1+45874.2986247007i</v>
      </c>
      <c r="AN390">
        <f t="shared" si="271"/>
        <v>45874.298635600055</v>
      </c>
      <c r="AO390">
        <f t="shared" si="272"/>
        <v>1.5707745280965009</v>
      </c>
      <c r="AP390" t="str">
        <f t="shared" si="253"/>
        <v>1+309.961477193924i</v>
      </c>
      <c r="AQ390">
        <f t="shared" si="273"/>
        <v>309.96309029340813</v>
      </c>
      <c r="AR390">
        <f t="shared" si="274"/>
        <v>1.5675701306249619</v>
      </c>
      <c r="AS390" s="42" t="str">
        <f t="shared" si="275"/>
        <v>-0.00457256118243073+0.0242275607905473i</v>
      </c>
      <c r="AT390">
        <f t="shared" si="276"/>
        <v>-32.161799892920172</v>
      </c>
      <c r="AU390" s="44">
        <f t="shared" si="277"/>
        <v>100.68793425835078</v>
      </c>
      <c r="AV390" s="42" t="str">
        <f t="shared" si="254"/>
        <v>0.00150649947509485-0.000928974860939391i</v>
      </c>
      <c r="AW390" s="20">
        <f t="shared" si="278"/>
        <v>-55.041040733546048</v>
      </c>
      <c r="AX390" s="44">
        <f t="shared" si="279"/>
        <v>-31.659837703057644</v>
      </c>
    </row>
    <row r="391" spans="14:50" x14ac:dyDescent="0.3">
      <c r="N391" s="8">
        <v>73</v>
      </c>
      <c r="O391" s="35">
        <f t="shared" si="280"/>
        <v>53703.179637025423</v>
      </c>
      <c r="P391" s="34" t="str">
        <f t="shared" si="245"/>
        <v>545.10556621881</v>
      </c>
      <c r="Q391" s="4" t="str">
        <f t="shared" si="246"/>
        <v>1+7208.37396446788i</v>
      </c>
      <c r="R391" s="4">
        <f t="shared" si="255"/>
        <v>7208.3740338316502</v>
      </c>
      <c r="S391" s="4">
        <f t="shared" si="256"/>
        <v>1.5706575992540512</v>
      </c>
      <c r="T391" s="4" t="str">
        <f t="shared" si="247"/>
        <v>1+0.168713514622092i</v>
      </c>
      <c r="U391" s="4">
        <f t="shared" si="257"/>
        <v>1.0141322645573105</v>
      </c>
      <c r="V391" s="4">
        <f t="shared" si="258"/>
        <v>0.16713954171362644</v>
      </c>
      <c r="W391" t="str">
        <f t="shared" si="248"/>
        <v>1-0.175259598989429i</v>
      </c>
      <c r="X391" s="4">
        <f t="shared" si="259"/>
        <v>1.015241807175973</v>
      </c>
      <c r="Y391" s="4">
        <f t="shared" si="260"/>
        <v>-0.17349754035543583</v>
      </c>
      <c r="Z391" t="str">
        <f t="shared" si="249"/>
        <v>0.815421983799897+0.758950769610191i</v>
      </c>
      <c r="AA391" s="4">
        <f t="shared" si="261"/>
        <v>1.1139655660549213</v>
      </c>
      <c r="AB391" s="4">
        <f t="shared" si="262"/>
        <v>0.74954451033394631</v>
      </c>
      <c r="AC391" s="48" t="str">
        <f t="shared" si="263"/>
        <v>-0.0479359592774387-0.0508647135448841i</v>
      </c>
      <c r="AD391" s="20">
        <f t="shared" si="264"/>
        <v>-23.11128739696489</v>
      </c>
      <c r="AE391" s="44">
        <f t="shared" si="265"/>
        <v>-133.30207498506789</v>
      </c>
      <c r="AF391" t="str">
        <f t="shared" si="250"/>
        <v>-0.979317078436135</v>
      </c>
      <c r="AG391" t="str">
        <f t="shared" si="266"/>
        <v>337427.029244184i</v>
      </c>
      <c r="AH391">
        <f t="shared" si="267"/>
        <v>337427.02924418403</v>
      </c>
      <c r="AI391">
        <f t="shared" si="268"/>
        <v>1.5707963267948966</v>
      </c>
      <c r="AJ391" t="str">
        <f t="shared" si="251"/>
        <v>-1761.39022685925+330.651494496961i</v>
      </c>
      <c r="AK391">
        <f t="shared" si="269"/>
        <v>1792.1567850186418</v>
      </c>
      <c r="AL391">
        <f t="shared" si="270"/>
        <v>2.9560303624405355</v>
      </c>
      <c r="AM391" t="str">
        <f t="shared" si="252"/>
        <v>1+46942.8483084509i</v>
      </c>
      <c r="AN391">
        <f t="shared" si="271"/>
        <v>46942.848319102151</v>
      </c>
      <c r="AO391">
        <f t="shared" si="272"/>
        <v>1.5707750242954557</v>
      </c>
      <c r="AP391" t="str">
        <f t="shared" si="253"/>
        <v>1+317.181407489534i</v>
      </c>
      <c r="AQ391">
        <f t="shared" si="273"/>
        <v>317.18298387057564</v>
      </c>
      <c r="AR391">
        <f t="shared" si="274"/>
        <v>1.5676435673232263</v>
      </c>
      <c r="AS391" s="42" t="str">
        <f t="shared" si="275"/>
        <v>-0.00437353970305714+0.0237128014548369i</v>
      </c>
      <c r="AT391">
        <f t="shared" si="276"/>
        <v>-32.35506446072646</v>
      </c>
      <c r="AU391" s="44">
        <f t="shared" si="277"/>
        <v>100.45007576477258</v>
      </c>
      <c r="AV391" s="42" t="str">
        <f t="shared" si="254"/>
        <v>0.001415794674451-0.000914237040719872i</v>
      </c>
      <c r="AW391" s="20">
        <f t="shared" si="278"/>
        <v>-55.466351857691343</v>
      </c>
      <c r="AX391" s="44">
        <f t="shared" si="279"/>
        <v>-32.851999220295298</v>
      </c>
    </row>
    <row r="392" spans="14:50" x14ac:dyDescent="0.3">
      <c r="N392" s="8">
        <v>74</v>
      </c>
      <c r="O392" s="35">
        <f t="shared" si="280"/>
        <v>54954.087385762505</v>
      </c>
      <c r="P392" s="34" t="str">
        <f t="shared" si="245"/>
        <v>545.10556621881</v>
      </c>
      <c r="Q392" s="4" t="str">
        <f t="shared" si="246"/>
        <v>1+7376.27856357901i</v>
      </c>
      <c r="R392" s="4">
        <f t="shared" si="255"/>
        <v>7376.2786313638671</v>
      </c>
      <c r="S392" s="4">
        <f t="shared" si="256"/>
        <v>1.5706607570783717</v>
      </c>
      <c r="T392" s="4" t="str">
        <f t="shared" si="247"/>
        <v>1+0.172643357215843i</v>
      </c>
      <c r="U392" s="4">
        <f t="shared" si="257"/>
        <v>1.0147934414405511</v>
      </c>
      <c r="V392" s="4">
        <f t="shared" si="258"/>
        <v>0.170958139875691</v>
      </c>
      <c r="W392" t="str">
        <f t="shared" si="248"/>
        <v>1-0.179341919475817i</v>
      </c>
      <c r="X392" s="4">
        <f t="shared" si="259"/>
        <v>1.0159544891781671</v>
      </c>
      <c r="Y392" s="4">
        <f t="shared" si="260"/>
        <v>-0.17745543731112537</v>
      </c>
      <c r="Z392" t="str">
        <f t="shared" si="249"/>
        <v>0.80672308989427+0.776629004028193i</v>
      </c>
      <c r="AA392" s="4">
        <f t="shared" si="261"/>
        <v>1.1198012116739209</v>
      </c>
      <c r="AB392" s="4">
        <f t="shared" si="262"/>
        <v>0.76639388573748668</v>
      </c>
      <c r="AC392" s="48" t="str">
        <f t="shared" si="263"/>
        <v>-0.0474983671965992-0.0487148119291448i</v>
      </c>
      <c r="AD392" s="20">
        <f t="shared" si="264"/>
        <v>-23.344914486233392</v>
      </c>
      <c r="AE392" s="44">
        <f t="shared" si="265"/>
        <v>-134.2756352460944</v>
      </c>
      <c r="AF392" t="str">
        <f t="shared" si="250"/>
        <v>-0.979317078436135</v>
      </c>
      <c r="AG392" t="str">
        <f t="shared" si="266"/>
        <v>345286.714431686i</v>
      </c>
      <c r="AH392">
        <f t="shared" si="267"/>
        <v>345286.71443168598</v>
      </c>
      <c r="AI392">
        <f t="shared" si="268"/>
        <v>1.5707963267948966</v>
      </c>
      <c r="AJ392" t="str">
        <f t="shared" si="251"/>
        <v>-1844.44911935022+338.353357205898i</v>
      </c>
      <c r="AK392">
        <f t="shared" si="269"/>
        <v>1875.2267991377212</v>
      </c>
      <c r="AL392">
        <f t="shared" si="270"/>
        <v>2.9601656911086969</v>
      </c>
      <c r="AM392" t="str">
        <f t="shared" si="252"/>
        <v>1+48036.2877117361i</v>
      </c>
      <c r="AN392">
        <f t="shared" si="271"/>
        <v>48036.287722144902</v>
      </c>
      <c r="AO392">
        <f t="shared" si="272"/>
        <v>1.5707755091995435</v>
      </c>
      <c r="AP392" t="str">
        <f t="shared" si="253"/>
        <v>1+324.569511565786i</v>
      </c>
      <c r="AQ392">
        <f t="shared" si="273"/>
        <v>324.57105206418652</v>
      </c>
      <c r="AR392">
        <f t="shared" si="274"/>
        <v>1.5677153324310131</v>
      </c>
      <c r="AS392" s="42" t="str">
        <f t="shared" si="275"/>
        <v>-0.00418289808816325+0.0232074122446843i</v>
      </c>
      <c r="AT392">
        <f t="shared" si="276"/>
        <v>-32.548622406652989</v>
      </c>
      <c r="AU392" s="44">
        <f t="shared" si="277"/>
        <v>100.21727850593767</v>
      </c>
      <c r="AV392" s="42" t="str">
        <f t="shared" si="254"/>
        <v>0.00132922555219946-0.000898545094797215i</v>
      </c>
      <c r="AW392" s="20">
        <f t="shared" si="278"/>
        <v>-55.893536892886374</v>
      </c>
      <c r="AX392" s="44">
        <f t="shared" si="279"/>
        <v>-34.058356740156668</v>
      </c>
    </row>
    <row r="393" spans="14:50" x14ac:dyDescent="0.3">
      <c r="N393" s="8">
        <v>75</v>
      </c>
      <c r="O393" s="35">
        <f t="shared" si="280"/>
        <v>56234.132519034953</v>
      </c>
      <c r="P393" s="34" t="str">
        <f t="shared" si="245"/>
        <v>545.10556621881</v>
      </c>
      <c r="Q393" s="4" t="str">
        <f t="shared" si="246"/>
        <v>1+7548.09416322115i</v>
      </c>
      <c r="R393" s="4">
        <f t="shared" si="255"/>
        <v>7548.0942294630358</v>
      </c>
      <c r="S393" s="4">
        <f t="shared" si="256"/>
        <v>1.5706638430218374</v>
      </c>
      <c r="T393" s="4" t="str">
        <f t="shared" si="247"/>
        <v>1+0.176664737602795i</v>
      </c>
      <c r="U393" s="4">
        <f t="shared" si="257"/>
        <v>1.0154853172312559</v>
      </c>
      <c r="V393" s="4">
        <f t="shared" si="258"/>
        <v>0.17486047854606765</v>
      </c>
      <c r="W393" t="str">
        <f t="shared" si="248"/>
        <v>1-0.183519329421783i</v>
      </c>
      <c r="X393" s="4">
        <f t="shared" si="259"/>
        <v>1.016700223404825</v>
      </c>
      <c r="Y393" s="4">
        <f t="shared" si="260"/>
        <v>-0.18149971630473893</v>
      </c>
      <c r="Z393" t="str">
        <f t="shared" si="249"/>
        <v>0.797614229749223+0.794719017424031i</v>
      </c>
      <c r="AA393" s="4">
        <f t="shared" si="261"/>
        <v>1.1259514981356273</v>
      </c>
      <c r="AB393" s="4">
        <f t="shared" si="262"/>
        <v>0.78357994529524699</v>
      </c>
      <c r="AC393" s="48" t="str">
        <f t="shared" si="263"/>
        <v>-0.0470437440138252-0.0466046668616876i</v>
      </c>
      <c r="AD393" s="20">
        <f t="shared" si="264"/>
        <v>-23.580196243888203</v>
      </c>
      <c r="AE393" s="44">
        <f t="shared" si="265"/>
        <v>-135.26863331821511</v>
      </c>
      <c r="AF393" t="str">
        <f t="shared" si="250"/>
        <v>-0.979317078436135</v>
      </c>
      <c r="AG393" t="str">
        <f t="shared" si="266"/>
        <v>353329.47520559i</v>
      </c>
      <c r="AH393">
        <f t="shared" si="267"/>
        <v>353329.47520559002</v>
      </c>
      <c r="AI393">
        <f t="shared" si="268"/>
        <v>1.5707963267948966</v>
      </c>
      <c r="AJ393" t="str">
        <f t="shared" si="251"/>
        <v>-1931.42245684701+346.234619343462i</v>
      </c>
      <c r="AK393">
        <f t="shared" si="269"/>
        <v>1962.2107731955946</v>
      </c>
      <c r="AL393">
        <f t="shared" si="270"/>
        <v>2.964212656517256</v>
      </c>
      <c r="AM393" t="str">
        <f t="shared" si="252"/>
        <v>1+49155.1965906017i</v>
      </c>
      <c r="AN393">
        <f t="shared" si="271"/>
        <v>49155.196600773561</v>
      </c>
      <c r="AO393">
        <f t="shared" si="272"/>
        <v>1.5707759830658665</v>
      </c>
      <c r="AP393" t="str">
        <f t="shared" si="253"/>
        <v>1+332.129706693255i</v>
      </c>
      <c r="AQ393">
        <f t="shared" si="273"/>
        <v>332.13121212579165</v>
      </c>
      <c r="AR393">
        <f t="shared" si="274"/>
        <v>1.5677854639961744</v>
      </c>
      <c r="AS393" s="42" t="str">
        <f t="shared" si="275"/>
        <v>-0.0040003076514492+0.0227113256242905i</v>
      </c>
      <c r="AT393">
        <f t="shared" si="276"/>
        <v>-32.742461359353861</v>
      </c>
      <c r="AU393" s="44">
        <f t="shared" si="277"/>
        <v>99.989449861426593</v>
      </c>
      <c r="AV393" s="42" t="str">
        <f t="shared" si="254"/>
        <v>0.00124664321383869-0.000881992783443701i</v>
      </c>
      <c r="AW393" s="20">
        <f t="shared" si="278"/>
        <v>-56.322657603242064</v>
      </c>
      <c r="AX393" s="44">
        <f t="shared" si="279"/>
        <v>-35.279183456788502</v>
      </c>
    </row>
    <row r="394" spans="14:50" x14ac:dyDescent="0.3">
      <c r="N394" s="8">
        <v>76</v>
      </c>
      <c r="O394" s="35">
        <f t="shared" si="280"/>
        <v>57543.993733715732</v>
      </c>
      <c r="P394" s="34" t="str">
        <f t="shared" si="245"/>
        <v>545.10556621881</v>
      </c>
      <c r="Q394" s="4" t="str">
        <f t="shared" si="246"/>
        <v>1+7723.91186229947i</v>
      </c>
      <c r="R394" s="4">
        <f t="shared" si="255"/>
        <v>7723.9119270335077</v>
      </c>
      <c r="S394" s="4">
        <f t="shared" si="256"/>
        <v>1.5706668587206565</v>
      </c>
      <c r="T394" s="4" t="str">
        <f t="shared" si="247"/>
        <v>1+0.180779787972058i</v>
      </c>
      <c r="U394" s="4">
        <f t="shared" si="257"/>
        <v>1.0162092952434663</v>
      </c>
      <c r="V394" s="4">
        <f t="shared" si="258"/>
        <v>0.17884815115325939</v>
      </c>
      <c r="W394" t="str">
        <f t="shared" si="248"/>
        <v>1-0.187794043745374i</v>
      </c>
      <c r="X394" s="4">
        <f t="shared" si="259"/>
        <v>1.0174805171924617</v>
      </c>
      <c r="Y394" s="4">
        <f t="shared" si="260"/>
        <v>-0.18563199221377452</v>
      </c>
      <c r="Z394" t="str">
        <f t="shared" si="249"/>
        <v>0.78807608225114+0.813230401362258i</v>
      </c>
      <c r="AA394" s="4">
        <f t="shared" si="261"/>
        <v>1.1324343676858828</v>
      </c>
      <c r="AB394" s="4">
        <f t="shared" si="262"/>
        <v>0.80110549403109133</v>
      </c>
      <c r="AC394" s="48" t="str">
        <f t="shared" si="263"/>
        <v>-0.0465717002965488-0.0445340801894849i</v>
      </c>
      <c r="AD394" s="20">
        <f t="shared" si="264"/>
        <v>-23.817209444471974</v>
      </c>
      <c r="AE394" s="44">
        <f t="shared" si="265"/>
        <v>-136.28123124014368</v>
      </c>
      <c r="AF394" t="str">
        <f t="shared" si="250"/>
        <v>-0.979317078436135</v>
      </c>
      <c r="AG394" t="str">
        <f t="shared" si="266"/>
        <v>361559.575944117i</v>
      </c>
      <c r="AH394">
        <f t="shared" si="267"/>
        <v>361559.57594411698</v>
      </c>
      <c r="AI394">
        <f t="shared" si="268"/>
        <v>1.5707963267948966</v>
      </c>
      <c r="AJ394" t="str">
        <f t="shared" si="251"/>
        <v>-2022.49472145916+354.299459659159i</v>
      </c>
      <c r="AK394">
        <f t="shared" si="269"/>
        <v>2053.2932098083161</v>
      </c>
      <c r="AL394">
        <f t="shared" si="270"/>
        <v>2.9681729003538786</v>
      </c>
      <c r="AM394" t="str">
        <f t="shared" si="252"/>
        <v>1+50300.1682053456i</v>
      </c>
      <c r="AN394">
        <f t="shared" si="271"/>
        <v>50300.168215285928</v>
      </c>
      <c r="AO394">
        <f t="shared" si="272"/>
        <v>1.5707764461456752</v>
      </c>
      <c r="AP394" t="str">
        <f t="shared" si="253"/>
        <v>1+339.866001387471i</v>
      </c>
      <c r="AQ394">
        <f t="shared" si="273"/>
        <v>339.8674725523295</v>
      </c>
      <c r="AR394">
        <f t="shared" si="274"/>
        <v>1.5678539992006328</v>
      </c>
      <c r="AS394" s="42" t="str">
        <f t="shared" si="275"/>
        <v>-0.00382545052653902+0.0222244669938507i</v>
      </c>
      <c r="AT394">
        <f t="shared" si="276"/>
        <v>-32.936569434320248</v>
      </c>
      <c r="AU394" s="44">
        <f t="shared" si="277"/>
        <v>99.766497914227514</v>
      </c>
      <c r="AV394" s="42" t="str">
        <f t="shared" si="254"/>
        <v>0.00116790393069396-0.00086466829557836i</v>
      </c>
      <c r="AW394" s="20">
        <f t="shared" si="278"/>
        <v>-56.753778878792211</v>
      </c>
      <c r="AX394" s="44">
        <f t="shared" si="279"/>
        <v>-36.514733325916126</v>
      </c>
    </row>
    <row r="395" spans="14:50" x14ac:dyDescent="0.3">
      <c r="N395" s="8">
        <v>77</v>
      </c>
      <c r="O395" s="35">
        <f t="shared" si="280"/>
        <v>58884.365535558936</v>
      </c>
      <c r="P395" s="34" t="str">
        <f t="shared" si="245"/>
        <v>545.10556621881</v>
      </c>
      <c r="Q395" s="4" t="str">
        <f t="shared" si="246"/>
        <v>1+7903.82488168523i</v>
      </c>
      <c r="R395" s="4">
        <f t="shared" si="255"/>
        <v>7903.8249449457417</v>
      </c>
      <c r="S395" s="4">
        <f t="shared" si="256"/>
        <v>1.5706698057737918</v>
      </c>
      <c r="T395" s="4" t="str">
        <f t="shared" si="247"/>
        <v>1+0.184990690177808i</v>
      </c>
      <c r="U395" s="4">
        <f t="shared" si="257"/>
        <v>1.0169668408814823</v>
      </c>
      <c r="V395" s="4">
        <f t="shared" si="258"/>
        <v>0.18292276448214498</v>
      </c>
      <c r="W395" t="str">
        <f t="shared" si="248"/>
        <v>1-0.192168328956706i</v>
      </c>
      <c r="X395" s="4">
        <f t="shared" si="259"/>
        <v>1.0182969442426961</v>
      </c>
      <c r="Y395" s="4">
        <f t="shared" si="260"/>
        <v>-0.1898538912573812</v>
      </c>
      <c r="Z395" t="str">
        <f t="shared" si="249"/>
        <v>0.778088415710379+0.832172970823663i</v>
      </c>
      <c r="AA395" s="4">
        <f t="shared" si="261"/>
        <v>1.1392688164047013</v>
      </c>
      <c r="AB395" s="4">
        <f t="shared" si="262"/>
        <v>0.81897298015459319</v>
      </c>
      <c r="AC395" s="48" t="str">
        <f t="shared" si="263"/>
        <v>-0.0460818701071787-0.0425029219918368i</v>
      </c>
      <c r="AD395" s="20">
        <f t="shared" si="264"/>
        <v>-24.056033464541077</v>
      </c>
      <c r="AE395" s="44">
        <f t="shared" si="265"/>
        <v>-137.31357048907168</v>
      </c>
      <c r="AF395" t="str">
        <f t="shared" si="250"/>
        <v>-0.979317078436135</v>
      </c>
      <c r="AG395" t="str">
        <f t="shared" si="266"/>
        <v>369981.380355616i</v>
      </c>
      <c r="AH395">
        <f t="shared" si="267"/>
        <v>369981.38035561598</v>
      </c>
      <c r="AI395">
        <f t="shared" si="268"/>
        <v>1.5707963267948966</v>
      </c>
      <c r="AJ395" t="str">
        <f t="shared" si="251"/>
        <v>-2117.85908967019+362.552154238075i</v>
      </c>
      <c r="AK395">
        <f t="shared" si="269"/>
        <v>2148.6673051548291</v>
      </c>
      <c r="AL395">
        <f t="shared" si="270"/>
        <v>2.972048050005736</v>
      </c>
      <c r="AM395" t="str">
        <f t="shared" si="252"/>
        <v>1+51471.8096350733i</v>
      </c>
      <c r="AN395">
        <f t="shared" si="271"/>
        <v>51471.809644787354</v>
      </c>
      <c r="AO395">
        <f t="shared" si="272"/>
        <v>1.5707768986845005</v>
      </c>
      <c r="AP395" t="str">
        <f t="shared" si="253"/>
        <v>1+347.78249753428i</v>
      </c>
      <c r="AQ395">
        <f t="shared" si="273"/>
        <v>347.78393521147797</v>
      </c>
      <c r="AR395">
        <f t="shared" si="274"/>
        <v>1.5679209743800844</v>
      </c>
      <c r="AS395" s="42" t="str">
        <f t="shared" si="275"/>
        <v>-0.00365801949395276+0.0217467553103739i</v>
      </c>
      <c r="AT395">
        <f t="shared" si="276"/>
        <v>-33.130935217714409</v>
      </c>
      <c r="AU395" s="44">
        <f t="shared" si="277"/>
        <v>99.54833151787399</v>
      </c>
      <c r="AV395" s="42" t="str">
        <f t="shared" si="254"/>
        <v>0.00109286902370224-0.000846654636269156i</v>
      </c>
      <c r="AW395" s="20">
        <f t="shared" si="278"/>
        <v>-57.186968682255504</v>
      </c>
      <c r="AX395" s="44">
        <f t="shared" si="279"/>
        <v>-37.765238971197768</v>
      </c>
    </row>
    <row r="396" spans="14:50" x14ac:dyDescent="0.3">
      <c r="N396" s="8">
        <v>78</v>
      </c>
      <c r="O396" s="35">
        <f t="shared" si="280"/>
        <v>60255.95860743591</v>
      </c>
      <c r="P396" s="34" t="str">
        <f t="shared" si="245"/>
        <v>545.10556621881</v>
      </c>
      <c r="Q396" s="4" t="str">
        <f t="shared" si="246"/>
        <v>1+8087.92861364278i</v>
      </c>
      <c r="R396" s="4">
        <f t="shared" si="255"/>
        <v>8087.9286754633049</v>
      </c>
      <c r="S396" s="4">
        <f t="shared" si="256"/>
        <v>1.57067268574381</v>
      </c>
      <c r="T396" s="4" t="str">
        <f t="shared" si="247"/>
        <v>1+0.189299676896132i</v>
      </c>
      <c r="U396" s="4">
        <f t="shared" si="257"/>
        <v>1.0177594841970179</v>
      </c>
      <c r="V396" s="4">
        <f t="shared" si="258"/>
        <v>0.1870859374914062</v>
      </c>
      <c r="W396" t="str">
        <f t="shared" si="248"/>
        <v>1-0.196644504359701i</v>
      </c>
      <c r="X396" s="4">
        <f t="shared" si="259"/>
        <v>1.0191511473254948</v>
      </c>
      <c r="Y396" s="4">
        <f t="shared" si="260"/>
        <v>-0.1941670496265489</v>
      </c>
      <c r="Z396" t="str">
        <f t="shared" si="249"/>
        <v>0.767630044947134+0.851556769409313i</v>
      </c>
      <c r="AA396" s="4">
        <f t="shared" si="261"/>
        <v>1.1464749528150908</v>
      </c>
      <c r="AB396" s="4">
        <f t="shared" si="262"/>
        <v>0.83718445812056508</v>
      </c>
      <c r="AC396" s="48" t="str">
        <f t="shared" si="263"/>
        <v>-0.045573915486784-0.0405111307478937i</v>
      </c>
      <c r="AD396" s="20">
        <f t="shared" si="264"/>
        <v>-24.296750223791115</v>
      </c>
      <c r="AE396" s="44">
        <f t="shared" si="265"/>
        <v>-138.36576985345593</v>
      </c>
      <c r="AF396" t="str">
        <f t="shared" si="250"/>
        <v>-0.979317078436135</v>
      </c>
      <c r="AG396" t="str">
        <f t="shared" si="266"/>
        <v>378599.353792263i</v>
      </c>
      <c r="AH396">
        <f t="shared" si="267"/>
        <v>378599.35379226302</v>
      </c>
      <c r="AI396">
        <f t="shared" si="268"/>
        <v>1.5707963267948966</v>
      </c>
      <c r="AJ396" t="str">
        <f t="shared" si="251"/>
        <v>-2217.7178420908+370.997078768114i</v>
      </c>
      <c r="AK396">
        <f t="shared" si="269"/>
        <v>2248.5353587574173</v>
      </c>
      <c r="AL396">
        <f t="shared" si="270"/>
        <v>2.9758397175118616</v>
      </c>
      <c r="AM396" t="str">
        <f t="shared" si="252"/>
        <v>1+52670.7420995796i</v>
      </c>
      <c r="AN396">
        <f t="shared" si="271"/>
        <v>52670.74210907254</v>
      </c>
      <c r="AO396">
        <f t="shared" si="272"/>
        <v>1.5707773409222847</v>
      </c>
      <c r="AP396" t="str">
        <f t="shared" si="253"/>
        <v>1+355.883392564728i</v>
      </c>
      <c r="AQ396">
        <f t="shared" si="273"/>
        <v>355.88479751652824</v>
      </c>
      <c r="AR396">
        <f t="shared" si="274"/>
        <v>1.5679864250432507</v>
      </c>
      <c r="AS396" s="42" t="str">
        <f t="shared" si="275"/>
        <v>-0.0034977177925329+0.021278103674877i</v>
      </c>
      <c r="AT396">
        <f t="shared" si="276"/>
        <v>-33.325547750474875</v>
      </c>
      <c r="AU396" s="44">
        <f t="shared" si="277"/>
        <v>99.334860357580411</v>
      </c>
      <c r="AV396" s="42" t="str">
        <f t="shared" si="254"/>
        <v>0.00102140473511369-0.000828029995785338i</v>
      </c>
      <c r="AW396" s="20">
        <f t="shared" si="278"/>
        <v>-57.622297974266019</v>
      </c>
      <c r="AX396" s="44">
        <f t="shared" si="279"/>
        <v>-39.03090949587564</v>
      </c>
    </row>
    <row r="397" spans="14:50" x14ac:dyDescent="0.3">
      <c r="N397" s="8">
        <v>79</v>
      </c>
      <c r="O397" s="35">
        <f t="shared" si="280"/>
        <v>61659.500186148245</v>
      </c>
      <c r="P397" s="34" t="str">
        <f t="shared" si="245"/>
        <v>545.10556621881</v>
      </c>
      <c r="Q397" s="4" t="str">
        <f t="shared" si="246"/>
        <v>1+8276.32067240763i</v>
      </c>
      <c r="R397" s="4">
        <f t="shared" si="255"/>
        <v>8276.3207328209483</v>
      </c>
      <c r="S397" s="4">
        <f t="shared" si="256"/>
        <v>1.5706755001577091</v>
      </c>
      <c r="T397" s="4" t="str">
        <f t="shared" si="247"/>
        <v>1+0.193709032808822i</v>
      </c>
      <c r="U397" s="4">
        <f t="shared" si="257"/>
        <v>1.0185888225342596</v>
      </c>
      <c r="V397" s="4">
        <f t="shared" si="258"/>
        <v>0.19133930001967892</v>
      </c>
      <c r="W397" t="str">
        <f t="shared" si="248"/>
        <v>1-0.201224943281804i</v>
      </c>
      <c r="X397" s="4">
        <f t="shared" si="259"/>
        <v>1.0200448410725704</v>
      </c>
      <c r="Y397" s="4">
        <f t="shared" si="260"/>
        <v>-0.19857311199286728</v>
      </c>
      <c r="Z397" t="str">
        <f t="shared" si="249"/>
        <v>0.75667878635484+0.871392074665786i</v>
      </c>
      <c r="AA397" s="4">
        <f t="shared" si="261"/>
        <v>1.1540740589363303</v>
      </c>
      <c r="AB397" s="4">
        <f t="shared" si="262"/>
        <v>0.85574155004855346</v>
      </c>
      <c r="AC397" s="48" t="str">
        <f t="shared" si="263"/>
        <v>-0.0450475312522873-0.0385587131594131i</v>
      </c>
      <c r="AD397" s="20">
        <f t="shared" si="264"/>
        <v>-24.539444101843081</v>
      </c>
      <c r="AE397" s="44">
        <f t="shared" si="265"/>
        <v>-139.4379232112565</v>
      </c>
      <c r="AF397" t="str">
        <f t="shared" si="250"/>
        <v>-0.979317078436135</v>
      </c>
      <c r="AG397" t="str">
        <f t="shared" si="266"/>
        <v>387418.065617644i</v>
      </c>
      <c r="AH397">
        <f t="shared" si="267"/>
        <v>387418.065617644</v>
      </c>
      <c r="AI397">
        <f t="shared" si="268"/>
        <v>1.5707963267948966</v>
      </c>
      <c r="AJ397" t="str">
        <f t="shared" si="251"/>
        <v>-2322.28279252316+379.638710860041i</v>
      </c>
      <c r="AK397">
        <f t="shared" si="269"/>
        <v>2353.1092025727662</v>
      </c>
      <c r="AL397">
        <f t="shared" si="270"/>
        <v>2.9795494986140687</v>
      </c>
      <c r="AM397" t="str">
        <f t="shared" si="252"/>
        <v>1+53897.6012887266i</v>
      </c>
      <c r="AN397">
        <f t="shared" si="271"/>
        <v>53897.601298003443</v>
      </c>
      <c r="AO397">
        <f t="shared" si="272"/>
        <v>1.5707777730935077</v>
      </c>
      <c r="AP397" t="str">
        <f t="shared" si="253"/>
        <v>1+364.172981680586i</v>
      </c>
      <c r="AQ397">
        <f t="shared" si="273"/>
        <v>364.17435465190084</v>
      </c>
      <c r="AR397">
        <f t="shared" si="274"/>
        <v>1.5680503858906956</v>
      </c>
      <c r="AS397" s="42" t="str">
        <f t="shared" si="275"/>
        <v>-0.00334425891757341+0.0208184198869603i</v>
      </c>
      <c r="AT397">
        <f t="shared" si="276"/>
        <v>-33.520396512717319</v>
      </c>
      <c r="AU397" s="44">
        <f t="shared" si="277"/>
        <v>99.125995005706315</v>
      </c>
      <c r="AV397" s="42" t="str">
        <f t="shared" si="254"/>
        <v>0.000953382088958652-0.000808868100147561i</v>
      </c>
      <c r="AW397" s="20">
        <f t="shared" si="278"/>
        <v>-58.059840614560407</v>
      </c>
      <c r="AX397" s="44">
        <f t="shared" si="279"/>
        <v>-40.311928205550196</v>
      </c>
    </row>
    <row r="398" spans="14:50" x14ac:dyDescent="0.3">
      <c r="N398" s="8">
        <v>80</v>
      </c>
      <c r="O398" s="35">
        <f t="shared" si="280"/>
        <v>63095.734448019342</v>
      </c>
      <c r="P398" s="34" t="str">
        <f t="shared" si="245"/>
        <v>545.10556621881</v>
      </c>
      <c r="Q398" s="4" t="str">
        <f t="shared" si="246"/>
        <v>1+8469.10094594306i</v>
      </c>
      <c r="R398" s="4">
        <f t="shared" si="255"/>
        <v>8469.1010049812048</v>
      </c>
      <c r="S398" s="4">
        <f t="shared" si="256"/>
        <v>1.5706782505077281</v>
      </c>
      <c r="T398" s="4" t="str">
        <f t="shared" si="247"/>
        <v>1+0.19822109581475i</v>
      </c>
      <c r="U398" s="4">
        <f t="shared" si="257"/>
        <v>1.0194565232642343</v>
      </c>
      <c r="V398" s="4">
        <f t="shared" si="258"/>
        <v>0.19568449137434352</v>
      </c>
      <c r="W398" t="str">
        <f t="shared" si="248"/>
        <v>1-0.205912074332362i</v>
      </c>
      <c r="X398" s="4">
        <f t="shared" si="259"/>
        <v>1.0209798148621041</v>
      </c>
      <c r="Y398" s="4">
        <f t="shared" si="260"/>
        <v>-0.20307372988957434</v>
      </c>
      <c r="Z398" t="str">
        <f t="shared" si="249"/>
        <v>0.745211410845762+0.891689403534486i</v>
      </c>
      <c r="AA398" s="4">
        <f t="shared" si="261"/>
        <v>1.1620886537740649</v>
      </c>
      <c r="AB398" s="4">
        <f t="shared" si="262"/>
        <v>0.87464540564872628</v>
      </c>
      <c r="AC398" s="48" t="str">
        <f t="shared" si="263"/>
        <v>-0.0445024500910395-0.0366457435717611i</v>
      </c>
      <c r="AD398" s="20">
        <f t="shared" si="264"/>
        <v>-24.784201828080555</v>
      </c>
      <c r="AE398" s="44">
        <f t="shared" si="265"/>
        <v>-140.53009722200272</v>
      </c>
      <c r="AF398" t="str">
        <f t="shared" si="250"/>
        <v>-0.979317078436135</v>
      </c>
      <c r="AG398" t="str">
        <f t="shared" si="266"/>
        <v>396442.1916295i</v>
      </c>
      <c r="AH398">
        <f t="shared" si="267"/>
        <v>396442.19162950001</v>
      </c>
      <c r="AI398">
        <f t="shared" si="268"/>
        <v>1.5707963267948966</v>
      </c>
      <c r="AJ398" t="str">
        <f t="shared" si="251"/>
        <v>-2431.77573724641+388.48163242158i</v>
      </c>
      <c r="AK398">
        <f t="shared" si="269"/>
        <v>2462.6106503037086</v>
      </c>
      <c r="AL398">
        <f t="shared" si="270"/>
        <v>2.9831789719008706</v>
      </c>
      <c r="AM398" t="str">
        <f t="shared" si="252"/>
        <v>1+55153.037699496i</v>
      </c>
      <c r="AN398">
        <f t="shared" si="271"/>
        <v>55153.037708561693</v>
      </c>
      <c r="AO398">
        <f t="shared" si="272"/>
        <v>1.5707781954273128</v>
      </c>
      <c r="AP398" t="str">
        <f t="shared" si="253"/>
        <v>1+372.655660131731i</v>
      </c>
      <c r="AQ398">
        <f t="shared" si="273"/>
        <v>372.65700185051696</v>
      </c>
      <c r="AR398">
        <f t="shared" si="274"/>
        <v>1.5681128908332125</v>
      </c>
      <c r="AS398" s="42" t="str">
        <f t="shared" si="275"/>
        <v>-0.00319736640772027+0.0203676069678374i</v>
      </c>
      <c r="AT398">
        <f t="shared" si="276"/>
        <v>-33.7154714084473</v>
      </c>
      <c r="AU398" s="44">
        <f t="shared" si="277"/>
        <v>98.921646971866622</v>
      </c>
      <c r="AV398" s="42" t="str">
        <f t="shared" si="254"/>
        <v>0.000888676741096121-0.000789238543077812i</v>
      </c>
      <c r="AW398" s="20">
        <f t="shared" si="278"/>
        <v>-58.499673236527855</v>
      </c>
      <c r="AX398" s="44">
        <f t="shared" si="279"/>
        <v>-41.608450250136116</v>
      </c>
    </row>
    <row r="399" spans="14:50" x14ac:dyDescent="0.3">
      <c r="N399" s="8">
        <v>81</v>
      </c>
      <c r="O399" s="35">
        <f t="shared" si="280"/>
        <v>64565.422903465682</v>
      </c>
      <c r="P399" s="34" t="str">
        <f t="shared" si="245"/>
        <v>545.10556621881</v>
      </c>
      <c r="Q399" s="4" t="str">
        <f t="shared" si="246"/>
        <v>1+8666.37164890186i</v>
      </c>
      <c r="R399" s="4">
        <f t="shared" si="255"/>
        <v>8666.3717065961318</v>
      </c>
      <c r="S399" s="4">
        <f t="shared" si="256"/>
        <v>1.5706809382521392</v>
      </c>
      <c r="T399" s="4" t="str">
        <f t="shared" si="247"/>
        <v>1+0.202838258269446i</v>
      </c>
      <c r="U399" s="4">
        <f t="shared" si="257"/>
        <v>1.0203643266097568</v>
      </c>
      <c r="V399" s="4">
        <f t="shared" si="258"/>
        <v>0.20012315879670928</v>
      </c>
      <c r="W399" t="str">
        <f t="shared" si="248"/>
        <v>1-0.2107083826903i</v>
      </c>
      <c r="X399" s="4">
        <f t="shared" si="259"/>
        <v>1.0219579357957753</v>
      </c>
      <c r="Y399" s="4">
        <f t="shared" si="260"/>
        <v>-0.20767055995845138</v>
      </c>
      <c r="Z399" t="str">
        <f t="shared" si="249"/>
        <v>0.733203594578984+0.912459517927847i</v>
      </c>
      <c r="AA399" s="4">
        <f t="shared" si="261"/>
        <v>1.1705425592265588</v>
      </c>
      <c r="AB399" s="4">
        <f t="shared" si="262"/>
        <v>0.89389666084320685</v>
      </c>
      <c r="AC399" s="48" t="str">
        <f t="shared" si="263"/>
        <v>-0.0439384479284566-0.0347723629338628i</v>
      </c>
      <c r="AD399" s="20">
        <f t="shared" si="264"/>
        <v>-25.031112341888711</v>
      </c>
      <c r="AE399" s="44">
        <f t="shared" si="265"/>
        <v>-141.64232894350869</v>
      </c>
      <c r="AF399" t="str">
        <f t="shared" si="250"/>
        <v>-0.979317078436135</v>
      </c>
      <c r="AG399" t="str">
        <f t="shared" si="266"/>
        <v>405676.516538892i</v>
      </c>
      <c r="AH399">
        <f t="shared" si="267"/>
        <v>405676.516538892</v>
      </c>
      <c r="AI399">
        <f t="shared" si="268"/>
        <v>1.5707963267948966</v>
      </c>
      <c r="AJ399" t="str">
        <f t="shared" si="251"/>
        <v>-2546.4289254763+397.530532086791i</v>
      </c>
      <c r="AK399">
        <f t="shared" si="269"/>
        <v>2577.2719678845674</v>
      </c>
      <c r="AL399">
        <f t="shared" si="270"/>
        <v>2.9867296980390439</v>
      </c>
      <c r="AM399" t="str">
        <f t="shared" si="252"/>
        <v>1+56437.7169808907i</v>
      </c>
      <c r="AN399">
        <f t="shared" si="271"/>
        <v>56437.716989750028</v>
      </c>
      <c r="AO399">
        <f t="shared" si="272"/>
        <v>1.5707786081476269</v>
      </c>
      <c r="AP399" t="str">
        <f t="shared" si="253"/>
        <v>1+381.335925546559i</v>
      </c>
      <c r="AQ399">
        <f t="shared" si="273"/>
        <v>381.33723672420291</v>
      </c>
      <c r="AR399">
        <f t="shared" si="274"/>
        <v>1.5681739730097943</v>
      </c>
      <c r="AS399" s="42" t="str">
        <f t="shared" si="275"/>
        <v>-0.00305677362254029+0.019925563652922i</v>
      </c>
      <c r="AT399">
        <f t="shared" si="276"/>
        <v>-33.910762750601251</v>
      </c>
      <c r="AU399" s="44">
        <f t="shared" si="277"/>
        <v>98.721728747996281</v>
      </c>
      <c r="AV399" s="42" t="str">
        <f t="shared" si="254"/>
        <v>0.000827168819644255-0.000769207099199431i</v>
      </c>
      <c r="AW399" s="20">
        <f t="shared" si="278"/>
        <v>-58.941875092489965</v>
      </c>
      <c r="AX399" s="44">
        <f t="shared" si="279"/>
        <v>-42.920600195512385</v>
      </c>
    </row>
    <row r="400" spans="14:50" x14ac:dyDescent="0.3">
      <c r="N400" s="8">
        <v>82</v>
      </c>
      <c r="O400" s="35">
        <f t="shared" si="280"/>
        <v>66069.344800759733</v>
      </c>
      <c r="P400" s="34" t="str">
        <f t="shared" si="245"/>
        <v>545.10556621881</v>
      </c>
      <c r="Q400" s="4" t="str">
        <f t="shared" si="246"/>
        <v>1+8868.23737682188i</v>
      </c>
      <c r="R400" s="4">
        <f t="shared" si="255"/>
        <v>8868.2374332028703</v>
      </c>
      <c r="S400" s="4">
        <f t="shared" si="256"/>
        <v>1.5706835648160196</v>
      </c>
      <c r="T400" s="4" t="str">
        <f t="shared" si="247"/>
        <v>1+0.207562968253558i</v>
      </c>
      <c r="U400" s="4">
        <f t="shared" si="257"/>
        <v>1.0213140485620609</v>
      </c>
      <c r="V400" s="4">
        <f t="shared" si="258"/>
        <v>0.2046569557972657</v>
      </c>
      <c r="W400" t="str">
        <f t="shared" si="248"/>
        <v>1-0.215616411421795i</v>
      </c>
      <c r="X400" s="4">
        <f t="shared" si="259"/>
        <v>1.022981151768894</v>
      </c>
      <c r="Y400" s="4">
        <f t="shared" si="260"/>
        <v>-0.21236526205609035</v>
      </c>
      <c r="Z400" t="str">
        <f t="shared" si="249"/>
        <v>0.720629867366292+0.933713430435442i</v>
      </c>
      <c r="AA400" s="4">
        <f t="shared" si="261"/>
        <v>1.1794609683732142</v>
      </c>
      <c r="AB400" s="4">
        <f t="shared" si="262"/>
        <v>0.91349539531867718</v>
      </c>
      <c r="AC400" s="48" t="str">
        <f t="shared" si="263"/>
        <v>-0.0433553495351758-0.0329387772364357i</v>
      </c>
      <c r="AD400" s="20">
        <f t="shared" si="264"/>
        <v>-25.280266620653155</v>
      </c>
      <c r="AE400" s="44">
        <f t="shared" si="265"/>
        <v>-142.77462338674059</v>
      </c>
      <c r="AF400" t="str">
        <f t="shared" si="250"/>
        <v>-0.979317078436135</v>
      </c>
      <c r="AG400" t="str">
        <f t="shared" si="266"/>
        <v>415125.936507116i</v>
      </c>
      <c r="AH400">
        <f t="shared" si="267"/>
        <v>415125.93650711601</v>
      </c>
      <c r="AI400">
        <f t="shared" si="268"/>
        <v>1.5707963267948966</v>
      </c>
      <c r="AJ400" t="str">
        <f t="shared" si="251"/>
        <v>-2666.48555199686+406.790207702053i</v>
      </c>
      <c r="AK400">
        <f t="shared" si="269"/>
        <v>2697.3363661379494</v>
      </c>
      <c r="AL400">
        <f t="shared" si="270"/>
        <v>2.9902032190876477</v>
      </c>
      <c r="AM400" t="str">
        <f t="shared" si="252"/>
        <v>1+57752.32028687i</v>
      </c>
      <c r="AN400">
        <f t="shared" si="271"/>
        <v>57752.320295527672</v>
      </c>
      <c r="AO400">
        <f t="shared" si="272"/>
        <v>1.5707790114732796</v>
      </c>
      <c r="AP400" t="str">
        <f t="shared" si="253"/>
        <v>1+390.21838031669i</v>
      </c>
      <c r="AQ400">
        <f t="shared" si="273"/>
        <v>390.21966164838608</v>
      </c>
      <c r="AR400">
        <f t="shared" si="274"/>
        <v>1.5682336648051958</v>
      </c>
      <c r="AS400" s="42" t="str">
        <f t="shared" si="275"/>
        <v>-0.00292222351249331+0.0194921848551043i</v>
      </c>
      <c r="AT400">
        <f t="shared" si="276"/>
        <v>-34.106261246428701</v>
      </c>
      <c r="AU400" s="44">
        <f t="shared" si="277"/>
        <v>98.526153848667107</v>
      </c>
      <c r="AV400" s="42" t="str">
        <f t="shared" si="254"/>
        <v>0.000768742756597763-0.000748836018284215i</v>
      </c>
      <c r="AW400" s="20">
        <f t="shared" si="278"/>
        <v>-59.38652786708186</v>
      </c>
      <c r="AX400" s="44">
        <f t="shared" si="279"/>
        <v>-44.248469538073486</v>
      </c>
    </row>
    <row r="401" spans="14:50" x14ac:dyDescent="0.3">
      <c r="N401" s="8">
        <v>83</v>
      </c>
      <c r="O401" s="35">
        <f t="shared" si="280"/>
        <v>67608.297539198305</v>
      </c>
      <c r="P401" s="34" t="str">
        <f t="shared" si="245"/>
        <v>545.10556621881</v>
      </c>
      <c r="Q401" s="4" t="str">
        <f t="shared" si="246"/>
        <v>1+9074.80516158409i</v>
      </c>
      <c r="R401" s="4">
        <f t="shared" si="255"/>
        <v>9074.8052166816906</v>
      </c>
      <c r="S401" s="4">
        <f t="shared" si="256"/>
        <v>1.5706861315920084</v>
      </c>
      <c r="T401" s="4" t="str">
        <f t="shared" si="247"/>
        <v>1+0.212397730870859i</v>
      </c>
      <c r="U401" s="4">
        <f t="shared" si="257"/>
        <v>1.0223075838900393</v>
      </c>
      <c r="V401" s="4">
        <f t="shared" si="258"/>
        <v>0.20928754035455074</v>
      </c>
      <c r="W401" t="str">
        <f t="shared" si="248"/>
        <v>1-0.220638762828647i</v>
      </c>
      <c r="X401" s="4">
        <f t="shared" si="259"/>
        <v>1.0240514946342083</v>
      </c>
      <c r="Y401" s="4">
        <f t="shared" si="260"/>
        <v>-0.21715949721299349</v>
      </c>
      <c r="Z401" t="str">
        <f t="shared" si="249"/>
        <v>0.707463558646477+0.955462410163011i</v>
      </c>
      <c r="AA401" s="4">
        <f t="shared" si="261"/>
        <v>1.1888705160980513</v>
      </c>
      <c r="AB401" s="4">
        <f t="shared" si="262"/>
        <v>0.93344108929629444</v>
      </c>
      <c r="AC401" s="48" t="str">
        <f t="shared" si="263"/>
        <v>-0.042753034330024-0.0311452553677012i</v>
      </c>
      <c r="AD401" s="20">
        <f t="shared" si="264"/>
        <v>-25.531757472932952</v>
      </c>
      <c r="AE401" s="44">
        <f t="shared" si="265"/>
        <v>-143.92695102522165</v>
      </c>
      <c r="AF401" t="str">
        <f t="shared" si="250"/>
        <v>-0.979317078436135</v>
      </c>
      <c r="AG401" t="str">
        <f t="shared" si="266"/>
        <v>424795.461741717i</v>
      </c>
      <c r="AH401">
        <f t="shared" si="267"/>
        <v>424795.46174171701</v>
      </c>
      <c r="AI401">
        <f t="shared" si="268"/>
        <v>1.5707963267948966</v>
      </c>
      <c r="AJ401" t="str">
        <f t="shared" si="251"/>
        <v>-2792.20027300923+416.265568869943i</v>
      </c>
      <c r="AK401">
        <f t="shared" si="269"/>
        <v>2823.0585166481119</v>
      </c>
      <c r="AL401">
        <f t="shared" si="270"/>
        <v>2.9936010578895527</v>
      </c>
      <c r="AM401" t="str">
        <f t="shared" si="252"/>
        <v>1+59097.5446375077i</v>
      </c>
      <c r="AN401">
        <f t="shared" si="271"/>
        <v>59097.544645968301</v>
      </c>
      <c r="AO401">
        <f t="shared" si="272"/>
        <v>1.5707794056181195</v>
      </c>
      <c r="AP401" t="str">
        <f t="shared" si="253"/>
        <v>1+399.307734037215i</v>
      </c>
      <c r="AQ401">
        <f t="shared" si="273"/>
        <v>399.3089862023333</v>
      </c>
      <c r="AR401">
        <f t="shared" si="274"/>
        <v>1.5682919978670942</v>
      </c>
      <c r="AS401" s="42" t="str">
        <f t="shared" si="275"/>
        <v>-0.00279346838288881+0.0190673620998675i</v>
      </c>
      <c r="AT401">
        <f t="shared" si="276"/>
        <v>-34.301957983225336</v>
      </c>
      <c r="AU401" s="44">
        <f t="shared" si="277"/>
        <v>98.334836846940888</v>
      </c>
      <c r="AV401" s="42" t="str">
        <f t="shared" si="254"/>
        <v>0.000713287111462283-0.000728184300291963i</v>
      </c>
      <c r="AW401" s="20">
        <f t="shared" si="278"/>
        <v>-59.833715456158281</v>
      </c>
      <c r="AX401" s="44">
        <f t="shared" si="279"/>
        <v>-45.592114178280752</v>
      </c>
    </row>
    <row r="402" spans="14:50" x14ac:dyDescent="0.3">
      <c r="N402" s="8">
        <v>84</v>
      </c>
      <c r="O402" s="35">
        <f t="shared" si="280"/>
        <v>69183.097091893651</v>
      </c>
      <c r="P402" s="34" t="str">
        <f t="shared" si="245"/>
        <v>545.10556621881</v>
      </c>
      <c r="Q402" s="4" t="str">
        <f t="shared" si="246"/>
        <v>1+9286.18452816219i</v>
      </c>
      <c r="R402" s="4">
        <f t="shared" si="255"/>
        <v>9286.1845820056169</v>
      </c>
      <c r="S402" s="4">
        <f t="shared" si="256"/>
        <v>1.5706886399410438</v>
      </c>
      <c r="T402" s="4" t="str">
        <f t="shared" si="247"/>
        <v>1+0.217345109576483i</v>
      </c>
      <c r="U402" s="4">
        <f t="shared" si="257"/>
        <v>1.0233469092428107</v>
      </c>
      <c r="V402" s="4">
        <f t="shared" si="258"/>
        <v>0.21401657297111809</v>
      </c>
      <c r="W402" t="str">
        <f t="shared" si="248"/>
        <v>1-0.225778099828049i</v>
      </c>
      <c r="X402" s="4">
        <f t="shared" si="259"/>
        <v>1.0251710834597143</v>
      </c>
      <c r="Y402" s="4">
        <f t="shared" si="260"/>
        <v>-0.22205492543893895</v>
      </c>
      <c r="Z402" t="str">
        <f t="shared" si="249"/>
        <v>0.693676740913511+0.977717988707486i</v>
      </c>
      <c r="AA402" s="4">
        <f t="shared" si="261"/>
        <v>1.198799351987897</v>
      </c>
      <c r="AB402" s="4">
        <f t="shared" si="262"/>
        <v>0.953732579858101</v>
      </c>
      <c r="AC402" s="48" t="str">
        <f t="shared" si="263"/>
        <v>-0.0421314423240687-0.0293921263271128i</v>
      </c>
      <c r="AD402" s="20">
        <f t="shared" si="264"/>
        <v>-25.785679294340369</v>
      </c>
      <c r="AE402" s="44">
        <f t="shared" si="265"/>
        <v>-145.09924527840272</v>
      </c>
      <c r="AF402" t="str">
        <f t="shared" si="250"/>
        <v>-0.979317078436135</v>
      </c>
      <c r="AG402" t="str">
        <f t="shared" si="266"/>
        <v>434690.219152965i</v>
      </c>
      <c r="AH402">
        <f t="shared" si="267"/>
        <v>434690.219152965</v>
      </c>
      <c r="AI402">
        <f t="shared" si="268"/>
        <v>1.5707963267948966</v>
      </c>
      <c r="AJ402" t="str">
        <f t="shared" si="251"/>
        <v>-2923.83974629152+425.961639552374i</v>
      </c>
      <c r="AK402">
        <f t="shared" si="269"/>
        <v>2954.7050919447452</v>
      </c>
      <c r="AL402">
        <f t="shared" si="270"/>
        <v>2.9969247175356721</v>
      </c>
      <c r="AM402" t="str">
        <f t="shared" si="252"/>
        <v>1+60474.1032885605i</v>
      </c>
      <c r="AN402">
        <f t="shared" si="271"/>
        <v>60474.103296828507</v>
      </c>
      <c r="AO402">
        <f t="shared" si="272"/>
        <v>1.5707797907911276</v>
      </c>
      <c r="AP402" t="str">
        <f t="shared" si="253"/>
        <v>1+408.608806003788i</v>
      </c>
      <c r="AQ402">
        <f t="shared" si="273"/>
        <v>408.61002966623477</v>
      </c>
      <c r="AR402">
        <f t="shared" si="274"/>
        <v>1.5683490031228622</v>
      </c>
      <c r="AS402" s="42" t="str">
        <f t="shared" si="275"/>
        <v>-0.00267026965326449+0.0186509839334011i</v>
      </c>
      <c r="AT402">
        <f t="shared" si="276"/>
        <v>-34.497844414425295</v>
      </c>
      <c r="AU402" s="44">
        <f t="shared" si="277"/>
        <v>98.147693406033639</v>
      </c>
      <c r="AV402" s="42" t="str">
        <f t="shared" si="254"/>
        <v>0.0006606943877817-0.000707307950901015i</v>
      </c>
      <c r="AW402" s="20">
        <f t="shared" si="278"/>
        <v>-60.283523708765671</v>
      </c>
      <c r="AX402" s="44">
        <f t="shared" si="279"/>
        <v>-46.951551872369109</v>
      </c>
    </row>
    <row r="403" spans="14:50" x14ac:dyDescent="0.3">
      <c r="N403" s="8">
        <v>85</v>
      </c>
      <c r="O403" s="35">
        <f t="shared" si="280"/>
        <v>70794.578438413781</v>
      </c>
      <c r="P403" s="34" t="str">
        <f t="shared" ref="P403:P466" si="281">COMPLEX(Adc,0)</f>
        <v>545.10556621881</v>
      </c>
      <c r="Q403" s="4" t="str">
        <f t="shared" ref="Q403:Q466" si="282">IMSUM(COMPLEX(1,0),IMDIV(COMPLEX(0,2*PI()*O403),COMPLEX(wp_lf,0)))</f>
        <v>1+9502.48755269432i</v>
      </c>
      <c r="R403" s="4">
        <f t="shared" si="255"/>
        <v>9502.4876053121206</v>
      </c>
      <c r="S403" s="4">
        <f t="shared" si="256"/>
        <v>1.5706910911930858</v>
      </c>
      <c r="T403" s="4" t="str">
        <f t="shared" ref="T403:T466" si="283">IMSUM(COMPLEX(1,0),IMDIV(COMPLEX(0,2*PI()*O403),COMPLEX(wz_esr,0)))</f>
        <v>1+0.222407727536107i</v>
      </c>
      <c r="U403" s="4">
        <f t="shared" si="257"/>
        <v>1.0244340863461032</v>
      </c>
      <c r="V403" s="4">
        <f t="shared" si="258"/>
        <v>0.21884571458006599</v>
      </c>
      <c r="W403" t="str">
        <f t="shared" ref="W403:W466" si="284">IMSUB(COMPLEX(1,0),IMDIV(COMPLEX(0,2*PI()*O403),COMPLEX(wz_rhp,0)))</f>
        <v>1-0.231037147364507i</v>
      </c>
      <c r="X403" s="4">
        <f t="shared" si="259"/>
        <v>1.0263421278805274</v>
      </c>
      <c r="Y403" s="4">
        <f t="shared" si="260"/>
        <v>-0.2270532033681042</v>
      </c>
      <c r="Z403" t="str">
        <f t="shared" ref="Z403:Z466" si="285">IMSUM(COMPLEX(1,0),IMDIV(COMPLEX(0,2*PI()*O403),COMPLEX(Q*(wsl/2),0)),IMDIV(IMPOWER(COMPLEX(0,2*PI()*O403),2),IMPOWER(COMPLEX(wsl/2,0),2)))</f>
        <v>0.679240170478545+1.0004919662712i</v>
      </c>
      <c r="AA403" s="4">
        <f t="shared" si="261"/>
        <v>1.2092772154328117</v>
      </c>
      <c r="AB403" s="4">
        <f t="shared" si="262"/>
        <v>0.97436801722458743</v>
      </c>
      <c r="AC403" s="48" t="str">
        <f t="shared" si="263"/>
        <v>-0.0414905801393411-0.0276797757407232i</v>
      </c>
      <c r="AD403" s="20">
        <f t="shared" si="264"/>
        <v>-26.042127783846635</v>
      </c>
      <c r="AE403" s="44">
        <f t="shared" si="265"/>
        <v>-146.2913999916164</v>
      </c>
      <c r="AF403" t="str">
        <f t="shared" ref="AF403:AF466" si="286">COMPLEX(Adc_ea_iso,0)</f>
        <v>-0.979317078436135</v>
      </c>
      <c r="AG403" t="str">
        <f t="shared" si="266"/>
        <v>444815.455072214i</v>
      </c>
      <c r="AH403">
        <f t="shared" si="267"/>
        <v>444815.45507221401</v>
      </c>
      <c r="AI403">
        <f t="shared" si="268"/>
        <v>1.5707963267948966</v>
      </c>
      <c r="AJ403" t="str">
        <f t="shared" ref="AJ403:AJ466" si="287">IMSUM(IMPRODUCT(COMPLEX(wpA_ea_iso,0),IMPOWER(COMPLEX(0,2*PI()*O403),2)),COMPLEX(0,wpB_ea_iso*2*PI()*O403),COMPLEX(1,0))</f>
        <v>-3061.68319681579+435.883560734364i</v>
      </c>
      <c r="AK403">
        <f t="shared" si="269"/>
        <v>3092.5553311432636</v>
      </c>
      <c r="AL403">
        <f t="shared" si="270"/>
        <v>3.0001756808973545</v>
      </c>
      <c r="AM403" t="str">
        <f t="shared" ref="AM403:AM466" si="288">IMSUM(COMPLEX(1,0),IMDIV(COMPLEX(0,2*PI()*O403),COMPLEX(wz1_ea_iso,0)))</f>
        <v>1+61882.7261096464i</v>
      </c>
      <c r="AN403">
        <f t="shared" si="271"/>
        <v>61882.72611772619</v>
      </c>
      <c r="AO403">
        <f t="shared" si="272"/>
        <v>1.5707801671965276</v>
      </c>
      <c r="AP403" t="str">
        <f t="shared" ref="AP403:AP466" si="289">IMSUM(COMPLEX(1,0),IMDIV(COMPLEX(0,2*PI()*O403),COMPLEX(wz2_ea_iso,0)))</f>
        <v>1+418.126527767882i</v>
      </c>
      <c r="AQ403">
        <f t="shared" si="273"/>
        <v>418.1277235764515</v>
      </c>
      <c r="AR403">
        <f t="shared" si="274"/>
        <v>1.5684047107959582</v>
      </c>
      <c r="AS403" s="42" t="str">
        <f t="shared" si="275"/>
        <v>-0.00255239761348856+0.0182429363048689i</v>
      </c>
      <c r="AT403">
        <f t="shared" si="276"/>
        <v>-34.693912346058113</v>
      </c>
      <c r="AU403" s="44">
        <f t="shared" si="277"/>
        <v>97.964640307053187</v>
      </c>
      <c r="AV403" s="42" t="str">
        <f t="shared" ref="AV403:AV466" si="290">IMPRODUCT(AC403,AS403)</f>
        <v>0.000610860843500979-0.000686260217191538i</v>
      </c>
      <c r="AW403" s="20">
        <f t="shared" si="278"/>
        <v>-60.736040129904751</v>
      </c>
      <c r="AX403" s="44">
        <f t="shared" si="279"/>
        <v>-48.326759684563228</v>
      </c>
    </row>
    <row r="404" spans="14:50" x14ac:dyDescent="0.3">
      <c r="N404" s="8">
        <v>86</v>
      </c>
      <c r="O404" s="35">
        <f t="shared" si="280"/>
        <v>72443.596007499116</v>
      </c>
      <c r="P404" s="34" t="str">
        <f t="shared" si="281"/>
        <v>545.10556621881</v>
      </c>
      <c r="Q404" s="4" t="str">
        <f t="shared" si="282"/>
        <v>1+9723.82892190721i</v>
      </c>
      <c r="R404" s="4">
        <f t="shared" ref="R404:R467" si="291">IMABS(Q404)</f>
        <v>9723.828973327285</v>
      </c>
      <c r="S404" s="4">
        <f t="shared" ref="S404:S467" si="292">IMARGUMENT(Q404)</f>
        <v>1.5706934866478202</v>
      </c>
      <c r="T404" s="4" t="str">
        <f t="shared" si="283"/>
        <v>1+0.227588269016786i</v>
      </c>
      <c r="U404" s="4">
        <f t="shared" ref="U404:U467" si="293">IMABS(T404)</f>
        <v>1.0255712652926938</v>
      </c>
      <c r="V404" s="4">
        <f t="shared" ref="V404:V467" si="294">IMARGUMENT(T404)</f>
        <v>0.22377662429556583</v>
      </c>
      <c r="W404" t="str">
        <f t="shared" si="284"/>
        <v>1-0.236418693854637i</v>
      </c>
      <c r="X404" s="4">
        <f t="shared" ref="X404:X467" si="295">IMABS(W404)</f>
        <v>1.0275669315445746</v>
      </c>
      <c r="Y404" s="4">
        <f t="shared" ref="Y404:Y467" si="296">IMARGUMENT(W404)</f>
        <v>-0.23215598173747035</v>
      </c>
      <c r="Z404" t="str">
        <f t="shared" si="285"/>
        <v>0.664123225440144+1.02379641791852i</v>
      </c>
      <c r="AA404" s="4">
        <f t="shared" ref="AA404:AA467" si="297">IMABS(Z404)</f>
        <v>1.2203355128454687</v>
      </c>
      <c r="AB404" s="4">
        <f t="shared" ref="AB404:AB467" si="298">IMARGUMENT(Z404)</f>
        <v>0.99534482143453884</v>
      </c>
      <c r="AC404" s="48" t="str">
        <f t="shared" ref="AC404:AC467" si="299">(IMDIV(IMPRODUCT(P404,T404,W404),IMPRODUCT(Q404,Z404)))</f>
        <v>-0.0408305270236875-0.026008641626924i</v>
      </c>
      <c r="AD404" s="20">
        <f t="shared" ref="AD404:AD467" si="300">20*LOG(IMABS(AC404))</f>
        <v>-26.301199618498792</v>
      </c>
      <c r="AE404" s="44">
        <f t="shared" ref="AE404:AE467" si="301">(180/PI())*IMARGUMENT(AC404)</f>
        <v>-147.5032669384623</v>
      </c>
      <c r="AF404" t="str">
        <f t="shared" si="286"/>
        <v>-0.979317078436135</v>
      </c>
      <c r="AG404" t="str">
        <f t="shared" ref="AG404:AG467" si="302">COMPLEX(0,1*2*PI()*O404)</f>
        <v>455176.538033572i</v>
      </c>
      <c r="AH404">
        <f t="shared" ref="AH404:AH467" si="303">IMABS(AG404)</f>
        <v>455176.53803357203</v>
      </c>
      <c r="AI404">
        <f t="shared" ref="AI404:AI467" si="304">IMARGUMENT(AG404)</f>
        <v>1.5707963267948966</v>
      </c>
      <c r="AJ404" t="str">
        <f t="shared" si="287"/>
        <v>-3206.02300902162+446.036593149858i</v>
      </c>
      <c r="AK404">
        <f t="shared" ref="AK404:AK467" si="305">IMABS(AJ404)</f>
        <v>3236.9016322410503</v>
      </c>
      <c r="AL404">
        <f t="shared" ref="AL404:AL467" si="306">IMARGUMENT(AJ404)</f>
        <v>3.0033554102225368</v>
      </c>
      <c r="AM404" t="str">
        <f t="shared" si="288"/>
        <v>1+63324.1599712305i</v>
      </c>
      <c r="AN404">
        <f t="shared" ref="AN404:AN467" si="307">IMABS(AM404)</f>
        <v>63324.15997912638</v>
      </c>
      <c r="AO404">
        <f t="shared" ref="AO404:AO467" si="308">IMARGUMENT(AM404)</f>
        <v>1.5707805350338946</v>
      </c>
      <c r="AP404" t="str">
        <f t="shared" si="289"/>
        <v>1+427.865945751559i</v>
      </c>
      <c r="AQ404">
        <f t="shared" ref="AQ404:AQ467" si="309">IMABS(AP404)</f>
        <v>427.86711434027745</v>
      </c>
      <c r="AR404">
        <f t="shared" ref="AR404:AR467" si="310">IMARGUMENT(AP404)</f>
        <v>1.5684591504219441</v>
      </c>
      <c r="AS404" s="42" t="str">
        <f t="shared" ref="AS404:AS467" si="311">IMDIV(IMPRODUCT(AF404,AM404,AP404),IMPRODUCT(AG404,AJ404))</f>
        <v>-0.00243963117776103+0.0178431029239797i</v>
      </c>
      <c r="AT404">
        <f t="shared" ref="AT404:AT467" si="312">20*LOG(IMABS(AS404))</f>
        <v>-34.890153923575554</v>
      </c>
      <c r="AU404" s="44">
        <f t="shared" ref="AU404:AU467" si="313">(180/PI())*IMARGUMENT(AS404)</f>
        <v>97.785595473062216</v>
      </c>
      <c r="AV404" s="42" t="str">
        <f t="shared" si="290"/>
        <v>0.00056368629619351-0.000665091803119734i</v>
      </c>
      <c r="AW404" s="20">
        <f t="shared" ref="AW404:AW467" si="314">20*LOG(IMABS(AV404))</f>
        <v>-61.191353542074353</v>
      </c>
      <c r="AX404" s="44">
        <f t="shared" ref="AX404:AX467" si="315">(180/PI())*IMARGUMENT(AV404)</f>
        <v>-49.717671465400095</v>
      </c>
    </row>
    <row r="405" spans="14:50" x14ac:dyDescent="0.3">
      <c r="N405" s="8">
        <v>87</v>
      </c>
      <c r="O405" s="35">
        <f t="shared" si="280"/>
        <v>74131.024130091857</v>
      </c>
      <c r="P405" s="34" t="str">
        <f t="shared" si="281"/>
        <v>545.10556621881</v>
      </c>
      <c r="Q405" s="4" t="str">
        <f t="shared" si="282"/>
        <v>1+9950.32599392458i</v>
      </c>
      <c r="R405" s="4">
        <f t="shared" si="291"/>
        <v>9950.3260441741895</v>
      </c>
      <c r="S405" s="4">
        <f t="shared" si="292"/>
        <v>1.5706958275753491</v>
      </c>
      <c r="T405" s="4" t="str">
        <f t="shared" si="283"/>
        <v>1+0.232889480810184i</v>
      </c>
      <c r="U405" s="4">
        <f t="shared" si="293"/>
        <v>1.0267606879268592</v>
      </c>
      <c r="V405" s="4">
        <f t="shared" si="294"/>
        <v>0.22881095700088713</v>
      </c>
      <c r="W405" t="str">
        <f t="shared" si="284"/>
        <v>1-0.241925592665619i</v>
      </c>
      <c r="X405" s="4">
        <f t="shared" si="295"/>
        <v>1.0288478956515443</v>
      </c>
      <c r="Y405" s="4">
        <f t="shared" si="296"/>
        <v>-0.2373649026921888</v>
      </c>
      <c r="Z405" t="str">
        <f t="shared" si="285"/>
        <v>0.648293840731118+1.04764369997816i</v>
      </c>
      <c r="AA405" s="4">
        <f t="shared" si="297"/>
        <v>1.2320073969071099</v>
      </c>
      <c r="AB405" s="4">
        <f t="shared" si="298"/>
        <v>1.0166596399348027</v>
      </c>
      <c r="AC405" s="48" t="str">
        <f t="shared" si="299"/>
        <v>-0.0401514407709775-0.0243792093686526i</v>
      </c>
      <c r="AD405" s="20">
        <f t="shared" si="300"/>
        <v>-26.562992084880499</v>
      </c>
      <c r="AE405" s="44">
        <f t="shared" si="301"/>
        <v>-148.73465337472544</v>
      </c>
      <c r="AF405" t="str">
        <f t="shared" si="286"/>
        <v>-0.979317078436135</v>
      </c>
      <c r="AG405" t="str">
        <f t="shared" si="302"/>
        <v>465778.961620369i</v>
      </c>
      <c r="AH405">
        <f t="shared" si="303"/>
        <v>465778.96162036899</v>
      </c>
      <c r="AI405">
        <f t="shared" si="304"/>
        <v>1.5707963267948966</v>
      </c>
      <c r="AJ405" t="str">
        <f t="shared" si="287"/>
        <v>-3357.16534700264+456.426120071032i</v>
      </c>
      <c r="AK405">
        <f t="shared" si="305"/>
        <v>3388.0501723260318</v>
      </c>
      <c r="AL405">
        <f t="shared" si="306"/>
        <v>3.0064653467914986</v>
      </c>
      <c r="AM405" t="str">
        <f t="shared" si="288"/>
        <v>1+64799.1691406257i</v>
      </c>
      <c r="AN405">
        <f t="shared" si="307"/>
        <v>64799.169148341847</v>
      </c>
      <c r="AO405">
        <f t="shared" si="308"/>
        <v>1.5707808944982611</v>
      </c>
      <c r="AP405" t="str">
        <f t="shared" si="289"/>
        <v>1+437.832223923148i</v>
      </c>
      <c r="AQ405">
        <f t="shared" si="309"/>
        <v>437.8333659116098</v>
      </c>
      <c r="AR405">
        <f t="shared" si="310"/>
        <v>1.5685123508641385</v>
      </c>
      <c r="AS405" s="42" t="str">
        <f t="shared" si="311"/>
        <v>-0.00233175763757098+0.0174513655950019i</v>
      </c>
      <c r="AT405">
        <f t="shared" si="312"/>
        <v>-35.086561619048702</v>
      </c>
      <c r="AU405" s="44">
        <f t="shared" si="313"/>
        <v>97.610477989704378</v>
      </c>
      <c r="AV405" s="42" t="str">
        <f t="shared" si="290"/>
        <v>0.000519073924286658-0.000643851064417096i</v>
      </c>
      <c r="AW405" s="20">
        <f t="shared" si="314"/>
        <v>-61.6495537039292</v>
      </c>
      <c r="AX405" s="44">
        <f t="shared" si="315"/>
        <v>-51.124175385021069</v>
      </c>
    </row>
    <row r="406" spans="14:50" x14ac:dyDescent="0.3">
      <c r="N406" s="8">
        <v>88</v>
      </c>
      <c r="O406" s="35">
        <f t="shared" si="280"/>
        <v>75857.757502918481</v>
      </c>
      <c r="P406" s="34" t="str">
        <f t="shared" si="281"/>
        <v>545.10556621881</v>
      </c>
      <c r="Q406" s="4" t="str">
        <f t="shared" si="282"/>
        <v>1+10182.098860492i</v>
      </c>
      <c r="R406" s="4">
        <f t="shared" si="291"/>
        <v>10182.098909597789</v>
      </c>
      <c r="S406" s="4">
        <f t="shared" si="292"/>
        <v>1.5706981152168629</v>
      </c>
      <c r="T406" s="4" t="str">
        <f t="shared" si="283"/>
        <v>1+0.238314173688965i</v>
      </c>
      <c r="U406" s="4">
        <f t="shared" si="293"/>
        <v>1.0280046913224932</v>
      </c>
      <c r="V406" s="4">
        <f t="shared" si="294"/>
        <v>0.23395036076750969</v>
      </c>
      <c r="W406" t="str">
        <f t="shared" si="284"/>
        <v>1-0.247560763628096i</v>
      </c>
      <c r="X406" s="4">
        <f t="shared" si="295"/>
        <v>1.0301875225841779</v>
      </c>
      <c r="Y406" s="4">
        <f t="shared" si="296"/>
        <v>-0.24268159691176142</v>
      </c>
      <c r="Z406" t="str">
        <f t="shared" si="285"/>
        <v>0.631718440104218+1.07204645659473i</v>
      </c>
      <c r="AA406" s="4">
        <f t="shared" si="297"/>
        <v>1.2443278477415118</v>
      </c>
      <c r="AB406" s="4">
        <f t="shared" si="298"/>
        <v>1.0383083066424761</v>
      </c>
      <c r="AC406" s="48" t="str">
        <f t="shared" si="299"/>
        <v>-0.0394535634438992-0.0227920058579866i</v>
      </c>
      <c r="AD406" s="20">
        <f t="shared" si="300"/>
        <v>-26.827602666092794</v>
      </c>
      <c r="AE406" s="44">
        <f t="shared" si="301"/>
        <v>-149.98531967606621</v>
      </c>
      <c r="AF406" t="str">
        <f t="shared" si="286"/>
        <v>-0.979317078436135</v>
      </c>
      <c r="AG406" t="str">
        <f t="shared" si="302"/>
        <v>476628.347377929i</v>
      </c>
      <c r="AH406">
        <f t="shared" si="303"/>
        <v>476628.34737792902</v>
      </c>
      <c r="AI406">
        <f t="shared" si="304"/>
        <v>1.5707963267948966</v>
      </c>
      <c r="AJ406" t="str">
        <f t="shared" si="287"/>
        <v>-3515.43080392171+467.057650162581i</v>
      </c>
      <c r="AK406">
        <f t="shared" si="305"/>
        <v>3546.3215570132706</v>
      </c>
      <c r="AL406">
        <f t="shared" si="306"/>
        <v>3.0095069106282386</v>
      </c>
      <c r="AM406" t="str">
        <f t="shared" si="288"/>
        <v>1+66308.5356872175i</v>
      </c>
      <c r="AN406">
        <f t="shared" si="307"/>
        <v>66308.535694758</v>
      </c>
      <c r="AO406">
        <f t="shared" si="308"/>
        <v>1.5707812457802195</v>
      </c>
      <c r="AP406" t="str">
        <f t="shared" si="289"/>
        <v>1+448.030646535254i</v>
      </c>
      <c r="AQ406">
        <f t="shared" si="309"/>
        <v>448.03176252895031</v>
      </c>
      <c r="AR406">
        <f t="shared" si="310"/>
        <v>1.5685643403289151</v>
      </c>
      <c r="AS406" s="42" t="str">
        <f t="shared" si="311"/>
        <v>-0.00222857241455702+0.0170676045283378i</v>
      </c>
      <c r="AT406">
        <f t="shared" si="312"/>
        <v>-35.283128218738007</v>
      </c>
      <c r="AU406" s="44">
        <f t="shared" si="313"/>
        <v>97.439208122624052</v>
      </c>
      <c r="AV406" s="42" t="str">
        <f t="shared" si="290"/>
        <v>0.000476930065538723-0.000622584182566626i</v>
      </c>
      <c r="AW406" s="20">
        <f t="shared" si="314"/>
        <v>-62.110730884830801</v>
      </c>
      <c r="AX406" s="44">
        <f t="shared" si="315"/>
        <v>-52.546111553442145</v>
      </c>
    </row>
    <row r="407" spans="14:50" x14ac:dyDescent="0.3">
      <c r="N407" s="8">
        <v>89</v>
      </c>
      <c r="O407" s="35">
        <f t="shared" si="280"/>
        <v>77624.711662869129</v>
      </c>
      <c r="P407" s="34" t="str">
        <f t="shared" si="281"/>
        <v>545.10556621881</v>
      </c>
      <c r="Q407" s="4" t="str">
        <f t="shared" si="282"/>
        <v>1+10419.2704106513i</v>
      </c>
      <c r="R407" s="4">
        <f t="shared" si="291"/>
        <v>10419.270458639303</v>
      </c>
      <c r="S407" s="4">
        <f t="shared" si="292"/>
        <v>1.5707003507852992</v>
      </c>
      <c r="T407" s="4" t="str">
        <f t="shared" si="283"/>
        <v>1+0.243865223897096i</v>
      </c>
      <c r="U407" s="4">
        <f t="shared" si="293"/>
        <v>1.0293057113542026</v>
      </c>
      <c r="V407" s="4">
        <f t="shared" si="294"/>
        <v>0.23919647409902642</v>
      </c>
      <c r="W407" t="str">
        <f t="shared" si="284"/>
        <v>1-0.253327194584302i</v>
      </c>
      <c r="X407" s="4">
        <f t="shared" si="295"/>
        <v>1.0315884196305971</v>
      </c>
      <c r="Y407" s="4">
        <f t="shared" si="296"/>
        <v>-0.24810768055110982</v>
      </c>
      <c r="Z407" t="str">
        <f t="shared" si="285"/>
        <v>0.614361864912411+1.0970176264328i</v>
      </c>
      <c r="AA407" s="4">
        <f t="shared" si="297"/>
        <v>1.2573337559148365</v>
      </c>
      <c r="AB407" s="4">
        <f t="shared" si="298"/>
        <v>1.0602858030933056</v>
      </c>
      <c r="AC407" s="48" t="str">
        <f t="shared" si="299"/>
        <v>-0.0387372267853273-0.0212475927914894i</v>
      </c>
      <c r="AD407" s="20">
        <f t="shared" si="300"/>
        <v>-27.095128583564442</v>
      </c>
      <c r="AE407" s="44">
        <f t="shared" si="301"/>
        <v>-151.25497709467518</v>
      </c>
      <c r="AF407" t="str">
        <f t="shared" si="286"/>
        <v>-0.979317078436135</v>
      </c>
      <c r="AG407" t="str">
        <f t="shared" si="302"/>
        <v>487730.447794191i</v>
      </c>
      <c r="AH407">
        <f t="shared" si="303"/>
        <v>487730.44779419102</v>
      </c>
      <c r="AI407">
        <f t="shared" si="304"/>
        <v>1.5707963267948966</v>
      </c>
      <c r="AJ407" t="str">
        <f t="shared" si="287"/>
        <v>-3681.15508203198+477.936820402484i</v>
      </c>
      <c r="AK407">
        <f t="shared" si="305"/>
        <v>3712.0515004868012</v>
      </c>
      <c r="AL407">
        <f t="shared" si="306"/>
        <v>3.012481500263676</v>
      </c>
      <c r="AM407" t="str">
        <f t="shared" si="288"/>
        <v>1+67853.0598971279i</v>
      </c>
      <c r="AN407">
        <f t="shared" si="307"/>
        <v>67853.059904496753</v>
      </c>
      <c r="AO407">
        <f t="shared" si="308"/>
        <v>1.5707815890660242</v>
      </c>
      <c r="AP407" t="str">
        <f t="shared" si="289"/>
        <v>1+458.466620926541i</v>
      </c>
      <c r="AQ407">
        <f t="shared" si="309"/>
        <v>458.46771151718048</v>
      </c>
      <c r="AR407">
        <f t="shared" si="310"/>
        <v>1.5686151463806515</v>
      </c>
      <c r="AS407" s="42" t="str">
        <f t="shared" si="311"/>
        <v>-0.00212987881411576+0.0166916986307565i</v>
      </c>
      <c r="AT407">
        <f t="shared" si="312"/>
        <v>-35.479846811035117</v>
      </c>
      <c r="AU407" s="44">
        <f t="shared" si="313"/>
        <v>97.271707331896096</v>
      </c>
      <c r="AV407" s="42" t="str">
        <f t="shared" si="290"/>
        <v>0.000437164014152242-0.0006013353175544i</v>
      </c>
      <c r="AW407" s="20">
        <f t="shared" si="314"/>
        <v>-62.574975394599548</v>
      </c>
      <c r="AX407" s="44">
        <f t="shared" si="315"/>
        <v>-53.983269762779067</v>
      </c>
    </row>
    <row r="408" spans="14:50" x14ac:dyDescent="0.3">
      <c r="N408" s="8">
        <v>90</v>
      </c>
      <c r="O408" s="35">
        <f t="shared" si="280"/>
        <v>79432.823472428237</v>
      </c>
      <c r="P408" s="34" t="str">
        <f t="shared" si="281"/>
        <v>545.10556621881</v>
      </c>
      <c r="Q408" s="4" t="str">
        <f t="shared" si="282"/>
        <v>1+10661.9663958978i</v>
      </c>
      <c r="R408" s="4">
        <f t="shared" si="291"/>
        <v>10661.966442793464</v>
      </c>
      <c r="S408" s="4">
        <f t="shared" si="292"/>
        <v>1.5707025354659863</v>
      </c>
      <c r="T408" s="4" t="str">
        <f t="shared" si="283"/>
        <v>1+0.249545574674876i</v>
      </c>
      <c r="U408" s="4">
        <f t="shared" si="293"/>
        <v>1.03066628636034</v>
      </c>
      <c r="V408" s="4">
        <f t="shared" si="294"/>
        <v>0.2445509229937845</v>
      </c>
      <c r="W408" t="str">
        <f t="shared" si="284"/>
        <v>1-0.25922794297226i</v>
      </c>
      <c r="X408" s="4">
        <f t="shared" si="295"/>
        <v>1.0330533027959541</v>
      </c>
      <c r="Y408" s="4">
        <f t="shared" si="296"/>
        <v>-0.25364475199095965</v>
      </c>
      <c r="Z408" t="str">
        <f t="shared" si="285"/>
        <v>0.596187299532675+1.12257044953715i</v>
      </c>
      <c r="AA408" s="4">
        <f t="shared" si="297"/>
        <v>1.2710640071601833</v>
      </c>
      <c r="AB408" s="4">
        <f t="shared" si="298"/>
        <v>1.0825862223362477</v>
      </c>
      <c r="AC408" s="48" t="str">
        <f t="shared" si="299"/>
        <v>-0.0380028571942342-0.0197465591097841i</v>
      </c>
      <c r="AD408" s="20">
        <f t="shared" si="300"/>
        <v>-27.365666293635165</v>
      </c>
      <c r="AE408" s="44">
        <f t="shared" si="301"/>
        <v>-152.54328567272856</v>
      </c>
      <c r="AF408" t="str">
        <f t="shared" si="286"/>
        <v>-0.979317078436135</v>
      </c>
      <c r="AG408" t="str">
        <f t="shared" si="302"/>
        <v>499091.149349751i</v>
      </c>
      <c r="AH408">
        <f t="shared" si="303"/>
        <v>499091.14934975101</v>
      </c>
      <c r="AI408">
        <f t="shared" si="304"/>
        <v>1.5707963267948966</v>
      </c>
      <c r="AJ408" t="str">
        <f t="shared" si="287"/>
        <v>-3854.6897047464+489.069399070808i</v>
      </c>
      <c r="AK408">
        <f t="shared" si="305"/>
        <v>3885.5915375892728</v>
      </c>
      <c r="AL408">
        <f t="shared" si="306"/>
        <v>3.0153904925470831</v>
      </c>
      <c r="AM408" t="str">
        <f t="shared" si="288"/>
        <v>1+69433.5606975374i</v>
      </c>
      <c r="AN408">
        <f t="shared" si="307"/>
        <v>69433.560704738527</v>
      </c>
      <c r="AO408">
        <f t="shared" si="308"/>
        <v>1.5707819245376902</v>
      </c>
      <c r="AP408" t="str">
        <f t="shared" si="289"/>
        <v>1+469.145680388767i</v>
      </c>
      <c r="AQ408">
        <f t="shared" si="309"/>
        <v>469.14674615458983</v>
      </c>
      <c r="AR408">
        <f t="shared" si="310"/>
        <v>1.5686647959563385</v>
      </c>
      <c r="AS408" s="42" t="str">
        <f t="shared" si="311"/>
        <v>-0.00203548778050912+0.0163235257753584i</v>
      </c>
      <c r="AT408">
        <f t="shared" si="312"/>
        <v>-35.676710774774165</v>
      </c>
      <c r="AU408" s="44">
        <f t="shared" si="313"/>
        <v>97.107898283672839</v>
      </c>
      <c r="AV408" s="42" t="str">
        <f t="shared" si="290"/>
        <v>0.000399687818046496-0.00058014673917228i</v>
      </c>
      <c r="AW408" s="20">
        <f t="shared" si="314"/>
        <v>-63.04237706840933</v>
      </c>
      <c r="AX408" s="44">
        <f t="shared" si="315"/>
        <v>-55.435387389055684</v>
      </c>
    </row>
    <row r="409" spans="14:50" x14ac:dyDescent="0.3">
      <c r="N409" s="8">
        <v>91</v>
      </c>
      <c r="O409" s="35">
        <f t="shared" si="280"/>
        <v>81283.051616410012</v>
      </c>
      <c r="P409" s="34" t="str">
        <f t="shared" si="281"/>
        <v>545.10556621881</v>
      </c>
      <c r="Q409" s="4" t="str">
        <f t="shared" si="282"/>
        <v>1+10910.315496855i</v>
      </c>
      <c r="R409" s="4">
        <f t="shared" si="291"/>
        <v>10910.315542683189</v>
      </c>
      <c r="S409" s="4">
        <f t="shared" si="292"/>
        <v>1.5707046704172705</v>
      </c>
      <c r="T409" s="4" t="str">
        <f t="shared" si="283"/>
        <v>1+0.255358237819473i</v>
      </c>
      <c r="U409" s="4">
        <f t="shared" si="293"/>
        <v>1.0320890608965227</v>
      </c>
      <c r="V409" s="4">
        <f t="shared" si="294"/>
        <v>0.25001531782043335</v>
      </c>
      <c r="W409" t="str">
        <f t="shared" si="284"/>
        <v>1-0.265266137446868i</v>
      </c>
      <c r="X409" s="4">
        <f t="shared" si="295"/>
        <v>1.034585000701238</v>
      </c>
      <c r="Y409" s="4">
        <f t="shared" si="296"/>
        <v>-0.25929438839231927</v>
      </c>
      <c r="Z409" t="str">
        <f t="shared" si="285"/>
        <v>0.577156193275138+1.14871847435282i</v>
      </c>
      <c r="AA409" s="4">
        <f t="shared" si="297"/>
        <v>1.2855595687307995</v>
      </c>
      <c r="AB409" s="4">
        <f t="shared" si="298"/>
        <v>1.1052027362725079</v>
      </c>
      <c r="AC409" s="48" t="str">
        <f t="shared" si="299"/>
        <v>-0.0372509801339325-0.0182895125925859i</v>
      </c>
      <c r="AD409" s="20">
        <f t="shared" si="300"/>
        <v>-27.639310939585343</v>
      </c>
      <c r="AE409" s="44">
        <f t="shared" si="301"/>
        <v>-153.84985235269446</v>
      </c>
      <c r="AF409" t="str">
        <f t="shared" si="286"/>
        <v>-0.979317078436135</v>
      </c>
      <c r="AG409" t="str">
        <f t="shared" si="302"/>
        <v>510716.475638947i</v>
      </c>
      <c r="AH409">
        <f t="shared" si="303"/>
        <v>510716.47563894698</v>
      </c>
      <c r="AI409">
        <f t="shared" si="304"/>
        <v>1.5707963267948966</v>
      </c>
      <c r="AJ409" t="str">
        <f t="shared" si="287"/>
        <v>-4036.4027622659+500.461288808118i</v>
      </c>
      <c r="AK409">
        <f t="shared" si="305"/>
        <v>4067.3097694696507</v>
      </c>
      <c r="AL409">
        <f t="shared" si="306"/>
        <v>3.0182352425023327</v>
      </c>
      <c r="AM409" t="str">
        <f t="shared" si="288"/>
        <v>1+71050.8760908903i</v>
      </c>
      <c r="AN409">
        <f t="shared" si="307"/>
        <v>71050.876097927525</v>
      </c>
      <c r="AO409">
        <f t="shared" si="308"/>
        <v>1.5707822523730886</v>
      </c>
      <c r="AP409" t="str">
        <f t="shared" si="289"/>
        <v>1+480.073487100611i</v>
      </c>
      <c r="AQ409">
        <f t="shared" si="309"/>
        <v>480.07452860669514</v>
      </c>
      <c r="AR409">
        <f t="shared" si="310"/>
        <v>1.5687133153798591</v>
      </c>
      <c r="AS409" s="42" t="str">
        <f t="shared" si="311"/>
        <v>-0.00194521765413305+0.0159629630523127i</v>
      </c>
      <c r="AT409">
        <f t="shared" si="312"/>
        <v>-35.873713767910893</v>
      </c>
      <c r="AU409" s="44">
        <f t="shared" si="313"/>
        <v>96.947704859243899</v>
      </c>
      <c r="AV409" s="42" t="str">
        <f t="shared" si="290"/>
        <v>0.000364416077950542-0.000559058936759812i</v>
      </c>
      <c r="AW409" s="20">
        <f t="shared" si="314"/>
        <v>-63.513024707496236</v>
      </c>
      <c r="AX409" s="44">
        <f t="shared" si="315"/>
        <v>-56.902147493450528</v>
      </c>
    </row>
    <row r="410" spans="14:50" x14ac:dyDescent="0.3">
      <c r="N410" s="8">
        <v>92</v>
      </c>
      <c r="O410" s="35">
        <f t="shared" si="280"/>
        <v>83176.377110267174</v>
      </c>
      <c r="P410" s="34" t="str">
        <f t="shared" si="281"/>
        <v>545.10556621881</v>
      </c>
      <c r="Q410" s="4" t="str">
        <f t="shared" si="282"/>
        <v>1+11164.4493915039i</v>
      </c>
      <c r="R410" s="4">
        <f t="shared" si="291"/>
        <v>11164.449436288911</v>
      </c>
      <c r="S410" s="4">
        <f t="shared" si="292"/>
        <v>1.570706756771131</v>
      </c>
      <c r="T410" s="4" t="str">
        <f t="shared" si="283"/>
        <v>1+0.261306295281829i</v>
      </c>
      <c r="U410" s="4">
        <f t="shared" si="293"/>
        <v>1.0335767895777819</v>
      </c>
      <c r="V410" s="4">
        <f t="shared" si="294"/>
        <v>0.25559125000094368</v>
      </c>
      <c r="W410" t="str">
        <f t="shared" si="284"/>
        <v>1-0.271444979538764i</v>
      </c>
      <c r="X410" s="4">
        <f t="shared" si="295"/>
        <v>1.0361864585666039</v>
      </c>
      <c r="Y410" s="4">
        <f t="shared" si="296"/>
        <v>-0.26505814205036043</v>
      </c>
      <c r="Z410" t="str">
        <f t="shared" si="285"/>
        <v>0.557228178611879+1.17547556490868i</v>
      </c>
      <c r="AA410" s="4">
        <f t="shared" si="297"/>
        <v>1.3008635772964408</v>
      </c>
      <c r="AB410" s="4">
        <f t="shared" si="298"/>
        <v>1.1281275671659703</v>
      </c>
      <c r="AC410" s="48" t="str">
        <f t="shared" si="299"/>
        <v>-0.0364822238347091-0.0168770706406821i</v>
      </c>
      <c r="AD410" s="20">
        <f t="shared" si="300"/>
        <v>-27.916155760604795</v>
      </c>
      <c r="AE410" s="44">
        <f t="shared" si="301"/>
        <v>-155.17422932617626</v>
      </c>
      <c r="AF410" t="str">
        <f t="shared" si="286"/>
        <v>-0.979317078436135</v>
      </c>
      <c r="AG410" t="str">
        <f t="shared" si="302"/>
        <v>522612.590563659i</v>
      </c>
      <c r="AH410">
        <f t="shared" si="303"/>
        <v>522612.59056365897</v>
      </c>
      <c r="AI410">
        <f t="shared" si="304"/>
        <v>1.5707963267948966</v>
      </c>
      <c r="AJ410" t="str">
        <f t="shared" si="287"/>
        <v>-4226.67969234819+512.118529745142i</v>
      </c>
      <c r="AK410">
        <f t="shared" si="305"/>
        <v>4257.5916443709011</v>
      </c>
      <c r="AL410">
        <f t="shared" si="306"/>
        <v>3.0210170832257228</v>
      </c>
      <c r="AM410" t="str">
        <f t="shared" si="288"/>
        <v>1+72705.8635992162i</v>
      </c>
      <c r="AN410">
        <f t="shared" si="307"/>
        <v>72705.863606093233</v>
      </c>
      <c r="AO410">
        <f t="shared" si="308"/>
        <v>1.5707825727460423</v>
      </c>
      <c r="AP410" t="str">
        <f t="shared" si="289"/>
        <v>1+491.255835129841i</v>
      </c>
      <c r="AQ410">
        <f t="shared" si="309"/>
        <v>491.25685292840194</v>
      </c>
      <c r="AR410">
        <f t="shared" si="310"/>
        <v>1.5687607303759397</v>
      </c>
      <c r="AS410" s="42" t="str">
        <f t="shared" si="311"/>
        <v>-0.00185889393153076+0.0156098870013831i</v>
      </c>
      <c r="AT410">
        <f t="shared" si="312"/>
        <v>-36.070849716564673</v>
      </c>
      <c r="AU410" s="44">
        <f t="shared" si="313"/>
        <v>96.791052161695163</v>
      </c>
      <c r="AV410" s="42" t="str">
        <f t="shared" si="290"/>
        <v>0.000331265750110495-0.000538110707422994i</v>
      </c>
      <c r="AW410" s="20">
        <f t="shared" si="314"/>
        <v>-63.987005477169483</v>
      </c>
      <c r="AX410" s="44">
        <f t="shared" si="315"/>
        <v>-58.383177164481097</v>
      </c>
    </row>
    <row r="411" spans="14:50" x14ac:dyDescent="0.3">
      <c r="N411" s="8">
        <v>93</v>
      </c>
      <c r="O411" s="35">
        <f t="shared" si="280"/>
        <v>85113.803820237721</v>
      </c>
      <c r="P411" s="34" t="str">
        <f t="shared" si="281"/>
        <v>545.10556621881</v>
      </c>
      <c r="Q411" s="4" t="str">
        <f t="shared" si="282"/>
        <v>1+11424.5028249991i</v>
      </c>
      <c r="R411" s="4">
        <f t="shared" si="291"/>
        <v>11424.502868764679</v>
      </c>
      <c r="S411" s="4">
        <f t="shared" si="292"/>
        <v>1.5707087956337806</v>
      </c>
      <c r="T411" s="4" t="str">
        <f t="shared" si="283"/>
        <v>1+0.267392900800742i</v>
      </c>
      <c r="U411" s="4">
        <f t="shared" si="293"/>
        <v>1.0351323410070015</v>
      </c>
      <c r="V411" s="4">
        <f t="shared" si="294"/>
        <v>0.26128028849601825</v>
      </c>
      <c r="W411" t="str">
        <f t="shared" si="284"/>
        <v>1-0.277767745351809i</v>
      </c>
      <c r="X411" s="4">
        <f t="shared" si="295"/>
        <v>1.0378607422760664</v>
      </c>
      <c r="Y411" s="4">
        <f t="shared" si="296"/>
        <v>-0.2709375365435111</v>
      </c>
      <c r="Z411" t="str">
        <f t="shared" si="285"/>
        <v>0.536360985552005+1.20285590816831i</v>
      </c>
      <c r="AA411" s="4">
        <f t="shared" si="297"/>
        <v>1.3170214283138022</v>
      </c>
      <c r="AB411" s="4">
        <f t="shared" si="298"/>
        <v>1.151351964068116</v>
      </c>
      <c r="AC411" s="48" t="str">
        <f t="shared" si="299"/>
        <v>-0.0356973221502795-0.0155098502987928i</v>
      </c>
      <c r="AD411" s="20">
        <f t="shared" si="300"/>
        <v>-28.196291460093668</v>
      </c>
      <c r="AE411" s="44">
        <f t="shared" si="301"/>
        <v>-156.51591266392552</v>
      </c>
      <c r="AF411" t="str">
        <f t="shared" si="286"/>
        <v>-0.979317078436135</v>
      </c>
      <c r="AG411" t="str">
        <f t="shared" si="302"/>
        <v>534785.801601483i</v>
      </c>
      <c r="AH411">
        <f t="shared" si="303"/>
        <v>534785.80160148302</v>
      </c>
      <c r="AI411">
        <f t="shared" si="304"/>
        <v>1.5707963267948966</v>
      </c>
      <c r="AJ411" t="str">
        <f t="shared" si="287"/>
        <v>-4425.92409787283+524.047302705327i</v>
      </c>
      <c r="AK411">
        <f t="shared" si="305"/>
        <v>4456.8407752133298</v>
      </c>
      <c r="AL411">
        <f t="shared" si="306"/>
        <v>3.0237373258223097</v>
      </c>
      <c r="AM411" t="str">
        <f t="shared" si="288"/>
        <v>1+74399.4007187983i</v>
      </c>
      <c r="AN411">
        <f t="shared" si="307"/>
        <v>74399.40072551879</v>
      </c>
      <c r="AO411">
        <f t="shared" si="308"/>
        <v>1.5707828858264172</v>
      </c>
      <c r="AP411" t="str">
        <f t="shared" si="289"/>
        <v>1+502.698653505395i</v>
      </c>
      <c r="AQ411">
        <f t="shared" si="309"/>
        <v>502.69964813607851</v>
      </c>
      <c r="AR411">
        <f t="shared" si="310"/>
        <v>1.5688070660837852</v>
      </c>
      <c r="AS411" s="42" t="str">
        <f t="shared" si="311"/>
        <v>-0.00177634902865873+0.0152641738272191i</v>
      </c>
      <c r="AT411">
        <f t="shared" si="312"/>
        <v>-36.268112804420461</v>
      </c>
      <c r="AU411" s="44">
        <f t="shared" si="313"/>
        <v>96.637866520343465</v>
      </c>
      <c r="AV411" s="42" t="str">
        <f t="shared" si="290"/>
        <v>0.000300155954522286-0.000517339222955202i</v>
      </c>
      <c r="AW411" s="20">
        <f t="shared" si="314"/>
        <v>-64.46440426451413</v>
      </c>
      <c r="AX411" s="44">
        <f t="shared" si="315"/>
        <v>-59.878046143582054</v>
      </c>
    </row>
    <row r="412" spans="14:50" x14ac:dyDescent="0.3">
      <c r="N412" s="8">
        <v>94</v>
      </c>
      <c r="O412" s="35">
        <f t="shared" si="280"/>
        <v>87096.358995608127</v>
      </c>
      <c r="P412" s="34" t="str">
        <f t="shared" si="281"/>
        <v>545.10556621881</v>
      </c>
      <c r="Q412" s="4" t="str">
        <f t="shared" si="282"/>
        <v>1+11690.6136811132i</v>
      </c>
      <c r="R412" s="4">
        <f t="shared" si="291"/>
        <v>11690.613723882554</v>
      </c>
      <c r="S412" s="4">
        <f t="shared" si="292"/>
        <v>1.5707107880862508</v>
      </c>
      <c r="T412" s="4" t="str">
        <f t="shared" si="283"/>
        <v>1+0.273621281575022i</v>
      </c>
      <c r="U412" s="4">
        <f t="shared" si="293"/>
        <v>1.0367587017868514</v>
      </c>
      <c r="V412" s="4">
        <f t="shared" si="294"/>
        <v>0.26708397608838824</v>
      </c>
      <c r="W412" t="str">
        <f t="shared" si="284"/>
        <v>1-0.284237787300132i</v>
      </c>
      <c r="X412" s="4">
        <f t="shared" si="295"/>
        <v>1.0396110425198815</v>
      </c>
      <c r="Y412" s="4">
        <f t="shared" si="296"/>
        <v>-0.27693406267432086</v>
      </c>
      <c r="Z412" t="str">
        <f t="shared" si="285"/>
        <v>0.51451035198132+1.23087402155214i</v>
      </c>
      <c r="AA412" s="4">
        <f t="shared" si="297"/>
        <v>1.3340808668247515</v>
      </c>
      <c r="AB412" s="4">
        <f t="shared" si="298"/>
        <v>1.1748661849023003</v>
      </c>
      <c r="AC412" s="48" t="str">
        <f t="shared" si="299"/>
        <v>-0.0348971164285305-0.0141884575974292i</v>
      </c>
      <c r="AD412" s="20">
        <f t="shared" si="300"/>
        <v>-28.479805536663385</v>
      </c>
      <c r="AE412" s="44">
        <f t="shared" si="301"/>
        <v>-157.87434126976038</v>
      </c>
      <c r="AF412" t="str">
        <f t="shared" si="286"/>
        <v>-0.979317078436135</v>
      </c>
      <c r="AG412" t="str">
        <f t="shared" si="302"/>
        <v>547242.563150044i</v>
      </c>
      <c r="AH412">
        <f t="shared" si="303"/>
        <v>547242.56315004395</v>
      </c>
      <c r="AI412">
        <f t="shared" si="304"/>
        <v>1.5707963267948966</v>
      </c>
      <c r="AJ412" t="str">
        <f t="shared" si="287"/>
        <v>-4634.55860293712+536.253932481992i</v>
      </c>
      <c r="AK412">
        <f t="shared" si="305"/>
        <v>4665.47979570814</v>
      </c>
      <c r="AL412">
        <f t="shared" si="306"/>
        <v>3.0263972593778541</v>
      </c>
      <c r="AM412" t="str">
        <f t="shared" si="288"/>
        <v>1+76132.3853854341i</v>
      </c>
      <c r="AN412">
        <f t="shared" si="307"/>
        <v>76132.385392001612</v>
      </c>
      <c r="AO412">
        <f t="shared" si="308"/>
        <v>1.5707831917802129</v>
      </c>
      <c r="AP412" t="str">
        <f t="shared" si="289"/>
        <v>1+514.408009361043i</v>
      </c>
      <c r="AQ412">
        <f t="shared" si="309"/>
        <v>514.40898135121131</v>
      </c>
      <c r="AR412">
        <f t="shared" si="310"/>
        <v>1.568852347070405</v>
      </c>
      <c r="AS412" s="42" t="str">
        <f t="shared" si="311"/>
        <v>-0.00169742204784629+0.0149256995983628i</v>
      </c>
      <c r="AT412">
        <f t="shared" si="312"/>
        <v>-36.465497462483825</v>
      </c>
      <c r="AU412" s="44">
        <f t="shared" si="313"/>
        <v>96.488075493112262</v>
      </c>
      <c r="AV412" s="42" t="str">
        <f t="shared" si="290"/>
        <v>0.000271007790695383-0.000496780075910529i</v>
      </c>
      <c r="AW412" s="20">
        <f t="shared" si="314"/>
        <v>-64.945302999147202</v>
      </c>
      <c r="AX412" s="44">
        <f t="shared" si="315"/>
        <v>-61.386265776648138</v>
      </c>
    </row>
    <row r="413" spans="14:50" x14ac:dyDescent="0.3">
      <c r="N413" s="8">
        <v>95</v>
      </c>
      <c r="O413" s="35">
        <f t="shared" si="280"/>
        <v>89125.093813374609</v>
      </c>
      <c r="P413" s="34" t="str">
        <f t="shared" si="281"/>
        <v>545.10556621881</v>
      </c>
      <c r="Q413" s="4" t="str">
        <f t="shared" si="282"/>
        <v>1+11962.9230553447i</v>
      </c>
      <c r="R413" s="4">
        <f t="shared" si="291"/>
        <v>11962.923097140505</v>
      </c>
      <c r="S413" s="4">
        <f t="shared" si="292"/>
        <v>1.5707127351849661</v>
      </c>
      <c r="T413" s="4" t="str">
        <f t="shared" si="283"/>
        <v>1+0.279994739974599i</v>
      </c>
      <c r="U413" s="4">
        <f t="shared" si="293"/>
        <v>1.0384589806118696</v>
      </c>
      <c r="V413" s="4">
        <f t="shared" si="294"/>
        <v>0.27300382546005558</v>
      </c>
      <c r="W413" t="str">
        <f t="shared" si="284"/>
        <v>1-0.290858535885613i</v>
      </c>
      <c r="X413" s="4">
        <f t="shared" si="295"/>
        <v>1.0414406790103421</v>
      </c>
      <c r="Y413" s="4">
        <f t="shared" si="296"/>
        <v>-0.28304917419935405</v>
      </c>
      <c r="Z413" t="str">
        <f t="shared" si="285"/>
        <v>0.491629929776458+1.25954476063473i</v>
      </c>
      <c r="AA413" s="4">
        <f t="shared" si="297"/>
        <v>1.3520920796655844</v>
      </c>
      <c r="AB413" s="4">
        <f t="shared" si="298"/>
        <v>1.1986594849369967</v>
      </c>
      <c r="AC413" s="48" t="str">
        <f t="shared" si="299"/>
        <v>-0.0340825562623617-0.0129134763172054i</v>
      </c>
      <c r="AD413" s="20">
        <f t="shared" si="300"/>
        <v>-28.766781582222769</v>
      </c>
      <c r="AE413" s="44">
        <f t="shared" si="301"/>
        <v>-159.24889620026218</v>
      </c>
      <c r="AF413" t="str">
        <f t="shared" si="286"/>
        <v>-0.979317078436135</v>
      </c>
      <c r="AG413" t="str">
        <f t="shared" si="302"/>
        <v>559989.479949198i</v>
      </c>
      <c r="AH413">
        <f t="shared" si="303"/>
        <v>559989.47994919796</v>
      </c>
      <c r="AI413">
        <f t="shared" si="304"/>
        <v>1.5707963267948966</v>
      </c>
      <c r="AJ413" t="str">
        <f t="shared" si="287"/>
        <v>-4853.0257492984+548.744891191819i</v>
      </c>
      <c r="AK413">
        <f t="shared" si="305"/>
        <v>4883.951256816802</v>
      </c>
      <c r="AL413">
        <f t="shared" si="306"/>
        <v>3.0289981509636399</v>
      </c>
      <c r="AM413" t="str">
        <f t="shared" si="288"/>
        <v>1+77905.7364505324i</v>
      </c>
      <c r="AN413">
        <f t="shared" si="307"/>
        <v>77905.736456950399</v>
      </c>
      <c r="AO413">
        <f t="shared" si="308"/>
        <v>1.5707834907696498</v>
      </c>
      <c r="AP413" t="str">
        <f t="shared" si="289"/>
        <v>1+526.390111152247i</v>
      </c>
      <c r="AQ413">
        <f t="shared" si="309"/>
        <v>526.39106101725827</v>
      </c>
      <c r="AR413">
        <f t="shared" si="310"/>
        <v>1.5688965973436346</v>
      </c>
      <c r="AS413" s="42" t="str">
        <f t="shared" si="311"/>
        <v>-0.00162195854882753+0.0145943404308815i</v>
      </c>
      <c r="AT413">
        <f t="shared" si="312"/>
        <v>-36.662998359184066</v>
      </c>
      <c r="AU413" s="44">
        <f t="shared" si="313"/>
        <v>96.341607867006857</v>
      </c>
      <c r="AV413" s="42" t="str">
        <f t="shared" si="290"/>
        <v>0.000243744163015054-0.000476467305539806i</v>
      </c>
      <c r="AW413" s="20">
        <f t="shared" si="314"/>
        <v>-65.429779941406835</v>
      </c>
      <c r="AX413" s="44">
        <f t="shared" si="315"/>
        <v>-62.907288333255373</v>
      </c>
    </row>
    <row r="414" spans="14:50" x14ac:dyDescent="0.3">
      <c r="N414" s="8">
        <v>96</v>
      </c>
      <c r="O414" s="35">
        <f t="shared" si="280"/>
        <v>91201.083935591028</v>
      </c>
      <c r="P414" s="34" t="str">
        <f t="shared" si="281"/>
        <v>545.10556621881</v>
      </c>
      <c r="Q414" s="4" t="str">
        <f t="shared" si="282"/>
        <v>1+12241.5753297281i</v>
      </c>
      <c r="R414" s="4">
        <f t="shared" si="291"/>
        <v>12241.575370572516</v>
      </c>
      <c r="S414" s="4">
        <f t="shared" si="292"/>
        <v>1.5707146379623043</v>
      </c>
      <c r="T414" s="4" t="str">
        <f t="shared" si="283"/>
        <v>1+0.286516655291479i</v>
      </c>
      <c r="U414" s="4">
        <f t="shared" si="293"/>
        <v>1.0402364124368153</v>
      </c>
      <c r="V414" s="4">
        <f t="shared" si="294"/>
        <v>0.27904131506024793</v>
      </c>
      <c r="W414" t="str">
        <f t="shared" si="284"/>
        <v>1-0.297633501516788i</v>
      </c>
      <c r="X414" s="4">
        <f t="shared" si="295"/>
        <v>1.04335310476614</v>
      </c>
      <c r="Y414" s="4">
        <f t="shared" si="296"/>
        <v>-0.28928428334634121</v>
      </c>
      <c r="Z414" t="str">
        <f t="shared" si="285"/>
        <v>0.467671186494288+1.28888332702146i</v>
      </c>
      <c r="AA414" s="4">
        <f t="shared" si="297"/>
        <v>1.3711077891073635</v>
      </c>
      <c r="AB414" s="4">
        <f t="shared" si="298"/>
        <v>1.2227201123439391</v>
      </c>
      <c r="AC414" s="48" t="str">
        <f t="shared" si="299"/>
        <v>-0.0332546989964874-0.0116854563047406i</v>
      </c>
      <c r="AD414" s="20">
        <f t="shared" si="300"/>
        <v>-29.057298552584708</v>
      </c>
      <c r="AE414" s="44">
        <f t="shared" si="301"/>
        <v>-160.63890039020825</v>
      </c>
      <c r="AF414" t="str">
        <f t="shared" si="286"/>
        <v>-0.979317078436135</v>
      </c>
      <c r="AG414" t="str">
        <f t="shared" si="302"/>
        <v>573033.310582958i</v>
      </c>
      <c r="AH414">
        <f t="shared" si="303"/>
        <v>573033.31058295805</v>
      </c>
      <c r="AI414">
        <f t="shared" si="304"/>
        <v>1.5707963267948966</v>
      </c>
      <c r="AJ414" t="str">
        <f t="shared" si="287"/>
        <v>-5081.78893506452+561.526801706453i</v>
      </c>
      <c r="AK414">
        <f t="shared" si="305"/>
        <v>5112.7185654579962</v>
      </c>
      <c r="AL414">
        <f t="shared" si="306"/>
        <v>3.0315412456715864</v>
      </c>
      <c r="AM414" t="str">
        <f t="shared" si="288"/>
        <v>1+79720.3941683011i</v>
      </c>
      <c r="AN414">
        <f t="shared" si="307"/>
        <v>79720.394174573026</v>
      </c>
      <c r="AO414">
        <f t="shared" si="308"/>
        <v>1.5707837829532563</v>
      </c>
      <c r="AP414" t="str">
        <f t="shared" si="289"/>
        <v>1+538.651311947982i</v>
      </c>
      <c r="AQ414">
        <f t="shared" si="309"/>
        <v>538.65224019146353</v>
      </c>
      <c r="AR414">
        <f t="shared" si="310"/>
        <v>1.5689398403648607</v>
      </c>
      <c r="AS414" s="42" t="str">
        <f t="shared" si="311"/>
        <v>-0.00154981032416693+0.0142699726575027i</v>
      </c>
      <c r="AT414">
        <f t="shared" si="312"/>
        <v>-36.860610390819076</v>
      </c>
      <c r="AU414" s="44">
        <f t="shared" si="313"/>
        <v>96.198393656836615</v>
      </c>
      <c r="AV414" s="42" t="str">
        <f t="shared" si="290"/>
        <v>0.000218289617790911-0.000456433404589669i</v>
      </c>
      <c r="AW414" s="20">
        <f t="shared" si="314"/>
        <v>-65.917908943403788</v>
      </c>
      <c r="AX414" s="44">
        <f t="shared" si="315"/>
        <v>-64.440506733371592</v>
      </c>
    </row>
    <row r="415" spans="14:50" x14ac:dyDescent="0.3">
      <c r="N415" s="8">
        <v>97</v>
      </c>
      <c r="O415" s="35">
        <f t="shared" si="280"/>
        <v>93325.430079699145</v>
      </c>
      <c r="P415" s="34" t="str">
        <f t="shared" si="281"/>
        <v>545.10556621881</v>
      </c>
      <c r="Q415" s="4" t="str">
        <f t="shared" si="282"/>
        <v>1+12526.7182493877i</v>
      </c>
      <c r="R415" s="4">
        <f t="shared" si="291"/>
        <v>12526.718289302384</v>
      </c>
      <c r="S415" s="4">
        <f t="shared" si="292"/>
        <v>1.570716497427143</v>
      </c>
      <c r="T415" s="4" t="str">
        <f t="shared" si="283"/>
        <v>1+0.293190485531491i</v>
      </c>
      <c r="U415" s="4">
        <f t="shared" si="293"/>
        <v>1.0420943627168278</v>
      </c>
      <c r="V415" s="4">
        <f t="shared" si="294"/>
        <v>0.2851978847616935</v>
      </c>
      <c r="W415" t="str">
        <f t="shared" si="284"/>
        <v>1-0.304566276370112i</v>
      </c>
      <c r="X415" s="4">
        <f t="shared" si="295"/>
        <v>1.0453519104598008</v>
      </c>
      <c r="Y415" s="4">
        <f t="shared" si="296"/>
        <v>-0.29564075611776897</v>
      </c>
      <c r="Z415" t="str">
        <f t="shared" si="285"/>
        <v>0.442583302428106+1.31890527640857i</v>
      </c>
      <c r="AA415" s="4">
        <f t="shared" si="297"/>
        <v>1.3911833479906719</v>
      </c>
      <c r="AB415" s="4">
        <f t="shared" si="298"/>
        <v>1.2470353114828832</v>
      </c>
      <c r="AC415" s="48" t="str">
        <f t="shared" si="299"/>
        <v>-0.0324147078811673-0.0105049014944373i</v>
      </c>
      <c r="AD415" s="20">
        <f t="shared" si="300"/>
        <v>-29.351430017077664</v>
      </c>
      <c r="AE415" s="44">
        <f t="shared" si="301"/>
        <v>-162.04361882059882</v>
      </c>
      <c r="AF415" t="str">
        <f t="shared" si="286"/>
        <v>-0.979317078436135</v>
      </c>
      <c r="AG415" t="str">
        <f t="shared" si="302"/>
        <v>586380.971062982i</v>
      </c>
      <c r="AH415">
        <f t="shared" si="303"/>
        <v>586380.97106298199</v>
      </c>
      <c r="AI415">
        <f t="shared" si="304"/>
        <v>1.5707963267948966</v>
      </c>
      <c r="AJ415" t="str">
        <f t="shared" si="287"/>
        <v>-5321.33339762329+574.606441164038i</v>
      </c>
      <c r="AK415">
        <f t="shared" si="305"/>
        <v>5352.2669674529716</v>
      </c>
      <c r="AL415">
        <f t="shared" si="306"/>
        <v>3.0340277666772173</v>
      </c>
      <c r="AM415" t="str">
        <f t="shared" si="288"/>
        <v>1+81577.3206942821i</v>
      </c>
      <c r="AN415">
        <f t="shared" si="307"/>
        <v>81577.320700411263</v>
      </c>
      <c r="AO415">
        <f t="shared" si="308"/>
        <v>1.570784068485952</v>
      </c>
      <c r="AP415" t="str">
        <f t="shared" si="289"/>
        <v>1+551.198112799204i</v>
      </c>
      <c r="AQ415">
        <f t="shared" si="309"/>
        <v>551.19901991331949</v>
      </c>
      <c r="AR415">
        <f t="shared" si="310"/>
        <v>1.5689820990614587</v>
      </c>
      <c r="AS415" s="42" t="str">
        <f t="shared" si="311"/>
        <v>-0.00148083517934935+0.0139524729830938i</v>
      </c>
      <c r="AT415">
        <f t="shared" si="312"/>
        <v>-37.058328672334618</v>
      </c>
      <c r="AU415" s="44">
        <f t="shared" si="313"/>
        <v>96.058364102324518</v>
      </c>
      <c r="AV415" s="42" t="str">
        <f t="shared" si="290"/>
        <v>0.000194570194049963-0.000436709308278302i</v>
      </c>
      <c r="AW415" s="20">
        <f t="shared" si="314"/>
        <v>-66.409758689412286</v>
      </c>
      <c r="AX415" s="44">
        <f t="shared" si="315"/>
        <v>-65.985254718274319</v>
      </c>
    </row>
    <row r="416" spans="14:50" x14ac:dyDescent="0.3">
      <c r="N416" s="8">
        <v>98</v>
      </c>
      <c r="O416" s="35">
        <f t="shared" si="280"/>
        <v>95499.258602143804</v>
      </c>
      <c r="P416" s="34" t="str">
        <f t="shared" si="281"/>
        <v>545.10556621881</v>
      </c>
      <c r="Q416" s="4" t="str">
        <f t="shared" si="282"/>
        <v>1+12818.5030008739i</v>
      </c>
      <c r="R416" s="4">
        <f t="shared" si="291"/>
        <v>12818.503039880014</v>
      </c>
      <c r="S416" s="4">
        <f t="shared" si="292"/>
        <v>1.5707183145653949</v>
      </c>
      <c r="T416" s="4" t="str">
        <f t="shared" si="283"/>
        <v>1+0.300019769247767i</v>
      </c>
      <c r="U416" s="4">
        <f t="shared" si="293"/>
        <v>1.0440363317143151</v>
      </c>
      <c r="V416" s="4">
        <f t="shared" si="294"/>
        <v>0.29147493130373814</v>
      </c>
      <c r="W416" t="str">
        <f t="shared" si="284"/>
        <v>1-0.311660536294579i</v>
      </c>
      <c r="X416" s="4">
        <f t="shared" si="295"/>
        <v>1.0474408288220507</v>
      </c>
      <c r="Y416" s="4">
        <f t="shared" si="296"/>
        <v>-0.30211990738127348</v>
      </c>
      <c r="Z416" t="str">
        <f t="shared" si="285"/>
        <v>0.416313062812214+1.349626526831i</v>
      </c>
      <c r="AA416" s="4">
        <f t="shared" si="297"/>
        <v>1.412376836468934</v>
      </c>
      <c r="AB416" s="4">
        <f t="shared" si="298"/>
        <v>1.2715913344797172</v>
      </c>
      <c r="AC416" s="48" t="str">
        <f t="shared" si="299"/>
        <v>-0.0315638487841535-0.0093722578139653i</v>
      </c>
      <c r="AD416" s="20">
        <f t="shared" si="300"/>
        <v>-29.649243394662349</v>
      </c>
      <c r="AE416" s="44">
        <f t="shared" si="301"/>
        <v>-163.46225916185568</v>
      </c>
      <c r="AF416" t="str">
        <f t="shared" si="286"/>
        <v>-0.979317078436135</v>
      </c>
      <c r="AG416" t="str">
        <f t="shared" si="302"/>
        <v>600039.538495534i</v>
      </c>
      <c r="AH416">
        <f t="shared" si="303"/>
        <v>600039.53849553398</v>
      </c>
      <c r="AI416">
        <f t="shared" si="304"/>
        <v>1.5707963267948966</v>
      </c>
      <c r="AJ416" t="str">
        <f t="shared" si="287"/>
        <v>-5572.16724289609+587.990744562545i</v>
      </c>
      <c r="AK416">
        <f t="shared" si="305"/>
        <v>5603.1045767944961</v>
      </c>
      <c r="AL416">
        <f t="shared" si="306"/>
        <v>3.0364589153281942</v>
      </c>
      <c r="AM416" t="str">
        <f t="shared" si="288"/>
        <v>1+83477.5005954987i</v>
      </c>
      <c r="AN416">
        <f t="shared" si="307"/>
        <v>83477.50060148834</v>
      </c>
      <c r="AO416">
        <f t="shared" si="308"/>
        <v>1.5707843475191299</v>
      </c>
      <c r="AP416" t="str">
        <f t="shared" si="289"/>
        <v>1+564.037166185803i</v>
      </c>
      <c r="AQ416">
        <f t="shared" si="309"/>
        <v>564.03805265151323</v>
      </c>
      <c r="AR416">
        <f t="shared" si="310"/>
        <v>1.5690233958389443</v>
      </c>
      <c r="AS416" s="42" t="str">
        <f t="shared" si="311"/>
        <v>-0.00141489671775715+0.0136417186272906i</v>
      </c>
      <c r="AT416">
        <f t="shared" si="312"/>
        <v>-37.256148528431595</v>
      </c>
      <c r="AU416" s="44">
        <f t="shared" si="313"/>
        <v>95.921451663735468</v>
      </c>
      <c r="AV416" s="42" t="str">
        <f t="shared" si="290"/>
        <v>0.000172513290045022-0.000417324367088817i</v>
      </c>
      <c r="AW416" s="20">
        <f t="shared" si="314"/>
        <v>-66.905391923093958</v>
      </c>
      <c r="AX416" s="44">
        <f t="shared" si="315"/>
        <v>-67.540807498120216</v>
      </c>
    </row>
    <row r="417" spans="14:50" x14ac:dyDescent="0.3">
      <c r="N417" s="8">
        <v>99</v>
      </c>
      <c r="O417" s="35">
        <f t="shared" si="280"/>
        <v>97723.722095581266</v>
      </c>
      <c r="P417" s="34" t="str">
        <f t="shared" si="281"/>
        <v>545.10556621881</v>
      </c>
      <c r="Q417" s="4" t="str">
        <f t="shared" si="282"/>
        <v>1+13117.084292324i</v>
      </c>
      <c r="R417" s="4">
        <f t="shared" si="291"/>
        <v>13117.084330442227</v>
      </c>
      <c r="S417" s="4">
        <f t="shared" si="292"/>
        <v>1.570720090340531</v>
      </c>
      <c r="T417" s="4" t="str">
        <f t="shared" si="283"/>
        <v>1+0.307008127416928i</v>
      </c>
      <c r="U417" s="4">
        <f t="shared" si="293"/>
        <v>1.0460659588668626</v>
      </c>
      <c r="V417" s="4">
        <f t="shared" si="294"/>
        <v>0.29787380352189491</v>
      </c>
      <c r="W417" t="str">
        <f t="shared" si="284"/>
        <v>1-0.318920042760704i</v>
      </c>
      <c r="X417" s="4">
        <f t="shared" si="295"/>
        <v>1.0496237390962959</v>
      </c>
      <c r="Y417" s="4">
        <f t="shared" si="296"/>
        <v>-0.30872299574846496</v>
      </c>
      <c r="Z417" t="str">
        <f t="shared" si="285"/>
        <v>0.388804744946278+1.38106336710237i</v>
      </c>
      <c r="AA417" s="4">
        <f t="shared" si="297"/>
        <v>1.4347491605311626</v>
      </c>
      <c r="AB417" s="4">
        <f t="shared" si="298"/>
        <v>1.2963734615679796</v>
      </c>
      <c r="AC417" s="48" t="str">
        <f t="shared" si="299"/>
        <v>-0.0307034853975692-0.00828790117212341i</v>
      </c>
      <c r="AD417" s="20">
        <f t="shared" si="300"/>
        <v>-29.95079918500323</v>
      </c>
      <c r="AE417" s="44">
        <f t="shared" si="301"/>
        <v>-164.89397291923862</v>
      </c>
      <c r="AF417" t="str">
        <f t="shared" si="286"/>
        <v>-0.979317078436135</v>
      </c>
      <c r="AG417" t="str">
        <f t="shared" si="302"/>
        <v>614016.254833857i</v>
      </c>
      <c r="AH417">
        <f t="shared" si="303"/>
        <v>614016.25483385695</v>
      </c>
      <c r="AI417">
        <f t="shared" si="304"/>
        <v>1.5707963267948966</v>
      </c>
      <c r="AJ417" t="str">
        <f t="shared" si="287"/>
        <v>-5834.82252309861+601.686808436795i</v>
      </c>
      <c r="AK417">
        <f t="shared" si="305"/>
        <v>5865.7634534223835</v>
      </c>
      <c r="AL417">
        <f t="shared" si="306"/>
        <v>3.0388358712562669</v>
      </c>
      <c r="AM417" t="str">
        <f t="shared" si="288"/>
        <v>1+85421.9413724862i</v>
      </c>
      <c r="AN417">
        <f t="shared" si="307"/>
        <v>85421.941378339485</v>
      </c>
      <c r="AO417">
        <f t="shared" si="308"/>
        <v>1.5707846202007372</v>
      </c>
      <c r="AP417" t="str">
        <f t="shared" si="289"/>
        <v>1+577.175279543827i</v>
      </c>
      <c r="AQ417">
        <f t="shared" si="309"/>
        <v>577.17614583114471</v>
      </c>
      <c r="AR417">
        <f t="shared" si="310"/>
        <v>1.5690637525928524</v>
      </c>
      <c r="AS417" s="42" t="str">
        <f t="shared" si="311"/>
        <v>-0.00135186413071551+0.0133375874550468i</v>
      </c>
      <c r="AT417">
        <f t="shared" si="312"/>
        <v>-37.454065484992881</v>
      </c>
      <c r="AU417" s="44">
        <f t="shared" si="313"/>
        <v>95.78759001614732</v>
      </c>
      <c r="AV417" s="42" t="str">
        <f t="shared" si="290"/>
        <v>0.000152047547298902-0.000398306305351323i</v>
      </c>
      <c r="AW417" s="20">
        <f t="shared" si="314"/>
        <v>-67.404864669996115</v>
      </c>
      <c r="AX417" s="44">
        <f t="shared" si="315"/>
        <v>-69.10638290309133</v>
      </c>
    </row>
    <row r="418" spans="14:50" x14ac:dyDescent="0.3">
      <c r="N418" s="8">
        <v>100</v>
      </c>
      <c r="O418" s="35">
        <f t="shared" si="280"/>
        <v>100000</v>
      </c>
      <c r="P418" s="34" t="str">
        <f t="shared" si="281"/>
        <v>545.10556621881</v>
      </c>
      <c r="Q418" s="4" t="str">
        <f t="shared" si="282"/>
        <v>1+13422.6204354911i</v>
      </c>
      <c r="R418" s="4">
        <f t="shared" si="291"/>
        <v>13422.62047274165</v>
      </c>
      <c r="S418" s="4">
        <f t="shared" si="292"/>
        <v>1.5707218256940902</v>
      </c>
      <c r="T418" s="4" t="str">
        <f t="shared" si="283"/>
        <v>1+0.31415926535898i</v>
      </c>
      <c r="U418" s="4">
        <f t="shared" si="293"/>
        <v>1.0481870272097886</v>
      </c>
      <c r="V418" s="4">
        <f t="shared" si="294"/>
        <v>0.30439579736461569</v>
      </c>
      <c r="W418" t="str">
        <f t="shared" si="284"/>
        <v>1-0.326348644854907i</v>
      </c>
      <c r="X418" s="4">
        <f t="shared" si="295"/>
        <v>1.0519046715357026</v>
      </c>
      <c r="Y418" s="4">
        <f t="shared" si="296"/>
        <v>-0.31545121824524658</v>
      </c>
      <c r="Z418" t="str">
        <f t="shared" si="285"/>
        <v>0.359999999999998+1.41323246545152i</v>
      </c>
      <c r="AA418" s="4">
        <f t="shared" si="297"/>
        <v>1.4583641525374176</v>
      </c>
      <c r="AB418" s="4">
        <f t="shared" si="298"/>
        <v>1.3213660305464625</v>
      </c>
      <c r="AC418" s="48" t="str">
        <f t="shared" si="299"/>
        <v>-0.0298350729066341-0.00725212574470684i</v>
      </c>
      <c r="AD418" s="20">
        <f t="shared" si="300"/>
        <v>-30.256150203794387</v>
      </c>
      <c r="AE418" s="44">
        <f t="shared" si="301"/>
        <v>-166.33785710082256</v>
      </c>
      <c r="AF418" t="str">
        <f t="shared" si="286"/>
        <v>-0.979317078436135</v>
      </c>
      <c r="AG418" t="str">
        <f t="shared" si="302"/>
        <v>628318.530717959i</v>
      </c>
      <c r="AH418">
        <f t="shared" si="303"/>
        <v>628318.53071795905</v>
      </c>
      <c r="AI418">
        <f t="shared" si="304"/>
        <v>1.5707963267948966</v>
      </c>
      <c r="AJ418" t="str">
        <f t="shared" si="287"/>
        <v>-6109.85636529498+615.701894621143i</v>
      </c>
      <c r="AK418">
        <f t="shared" si="305"/>
        <v>6140.8007317918764</v>
      </c>
      <c r="AL418">
        <f t="shared" si="306"/>
        <v>3.0411597925106042</v>
      </c>
      <c r="AM418" t="str">
        <f t="shared" si="288"/>
        <v>1+87411.6739934825i</v>
      </c>
      <c r="AN418">
        <f t="shared" si="307"/>
        <v>87411.673999202569</v>
      </c>
      <c r="AO418">
        <f t="shared" si="308"/>
        <v>1.5707848866753533</v>
      </c>
      <c r="AP418" t="str">
        <f t="shared" si="289"/>
        <v>1+590.619418874883i</v>
      </c>
      <c r="AQ418">
        <f t="shared" si="309"/>
        <v>590.62026544312255</v>
      </c>
      <c r="AR418">
        <f t="shared" si="310"/>
        <v>1.5691031907203414</v>
      </c>
      <c r="AS418" s="42" t="str">
        <f t="shared" si="311"/>
        <v>-0.00129161199274791+0.0130399580958382i</v>
      </c>
      <c r="AT418">
        <f t="shared" si="312"/>
        <v>-37.652075260822699</v>
      </c>
      <c r="AU418" s="44">
        <f t="shared" si="313"/>
        <v>95.656714042480957</v>
      </c>
      <c r="AV418" s="42" t="str">
        <f t="shared" si="290"/>
        <v>0.000133102753787443-0.000379681167904007i</v>
      </c>
      <c r="AW418" s="20">
        <f t="shared" si="314"/>
        <v>-67.90822546461709</v>
      </c>
      <c r="AX418" s="44">
        <f t="shared" si="315"/>
        <v>-70.681143058341661</v>
      </c>
    </row>
    <row r="419" spans="14:50" x14ac:dyDescent="0.3">
      <c r="N419" s="8">
        <v>1</v>
      </c>
      <c r="O419" s="35">
        <f>10^(5+(N419/100))</f>
        <v>102329.29922807543</v>
      </c>
      <c r="P419" s="34" t="str">
        <f t="shared" si="281"/>
        <v>545.10556621881</v>
      </c>
      <c r="Q419" s="4" t="str">
        <f t="shared" si="282"/>
        <v>1+13735.2734296825i</v>
      </c>
      <c r="R419" s="4">
        <f t="shared" si="291"/>
        <v>13735.273466085122</v>
      </c>
      <c r="S419" s="4">
        <f t="shared" si="292"/>
        <v>1.5707235215461803</v>
      </c>
      <c r="T419" s="4" t="str">
        <f t="shared" si="283"/>
        <v>1+0.321476974701913i</v>
      </c>
      <c r="U419" s="4">
        <f t="shared" si="293"/>
        <v>1.0504034678462817</v>
      </c>
      <c r="V419" s="4">
        <f t="shared" si="294"/>
        <v>0.31104215069937274</v>
      </c>
      <c r="W419" t="str">
        <f t="shared" si="284"/>
        <v>1-0.333950281320347i</v>
      </c>
      <c r="X419" s="4">
        <f t="shared" si="295"/>
        <v>1.0542878119346437</v>
      </c>
      <c r="Y419" s="4">
        <f t="shared" si="296"/>
        <v>-0.32230570477823983</v>
      </c>
      <c r="Z419" t="str">
        <f t="shared" si="285"/>
        <v>0.329837729247423+1.44615087836019i</v>
      </c>
      <c r="AA419" s="4">
        <f t="shared" si="297"/>
        <v>1.4832886740675415</v>
      </c>
      <c r="AB419" s="4">
        <f t="shared" si="298"/>
        <v>1.3465524755686784</v>
      </c>
      <c r="AC419" s="48" t="str">
        <f t="shared" si="299"/>
        <v>-0.0289601501215408-0.00626513278598583i</v>
      </c>
      <c r="AD419" s="20">
        <f t="shared" si="300"/>
        <v>-30.565340832340663</v>
      </c>
      <c r="AE419" s="44">
        <f t="shared" si="301"/>
        <v>-167.7929564205368</v>
      </c>
      <c r="AF419" t="str">
        <f t="shared" si="286"/>
        <v>-0.979317078436135</v>
      </c>
      <c r="AG419" t="str">
        <f t="shared" si="302"/>
        <v>642953.949403827i</v>
      </c>
      <c r="AH419">
        <f t="shared" si="303"/>
        <v>642953.94940382696</v>
      </c>
      <c r="AI419">
        <f t="shared" si="304"/>
        <v>1.5707963267948966</v>
      </c>
      <c r="AJ419" t="str">
        <f t="shared" si="287"/>
        <v>-6397.85215313892+630.043434099799i</v>
      </c>
      <c r="AK419">
        <f t="shared" si="305"/>
        <v>6428.7998026285259</v>
      </c>
      <c r="AL419">
        <f t="shared" si="306"/>
        <v>3.0434318157106155</v>
      </c>
      <c r="AM419" t="str">
        <f t="shared" si="288"/>
        <v>1+89447.7534410604i</v>
      </c>
      <c r="AN419">
        <f t="shared" si="307"/>
        <v>89447.753446650269</v>
      </c>
      <c r="AO419">
        <f t="shared" si="308"/>
        <v>1.5707851470842669</v>
      </c>
      <c r="AP419" t="str">
        <f t="shared" si="289"/>
        <v>1+604.376712439599i</v>
      </c>
      <c r="AQ419">
        <f t="shared" si="309"/>
        <v>604.37753973761949</v>
      </c>
      <c r="AR419">
        <f t="shared" si="310"/>
        <v>1.5691417311315379</v>
      </c>
      <c r="AS419" s="42" t="str">
        <f t="shared" si="311"/>
        <v>-0.00123402006214951+0.0127487100522237i</v>
      </c>
      <c r="AT419">
        <f t="shared" si="312"/>
        <v>-37.850173759690101</v>
      </c>
      <c r="AU419" s="44">
        <f t="shared" si="313"/>
        <v>95.52875982539841</v>
      </c>
      <c r="AV419" s="42" t="str">
        <f t="shared" si="290"/>
        <v>0.000115609767580057-0.000361473257418457i</v>
      </c>
      <c r="AW419" s="20">
        <f t="shared" si="314"/>
        <v>-68.415514592030775</v>
      </c>
      <c r="AX419" s="44">
        <f t="shared" si="315"/>
        <v>-72.26419659513833</v>
      </c>
    </row>
    <row r="420" spans="14:50" x14ac:dyDescent="0.3">
      <c r="N420" s="8">
        <v>2</v>
      </c>
      <c r="O420" s="35">
        <f t="shared" ref="O420:O483" si="316">10^(5+(N420/100))</f>
        <v>104712.85480508996</v>
      </c>
      <c r="P420" s="34" t="str">
        <f t="shared" si="281"/>
        <v>545.10556621881</v>
      </c>
      <c r="Q420" s="4" t="str">
        <f t="shared" si="282"/>
        <v>1+14055.2090476542i</v>
      </c>
      <c r="R420" s="4">
        <f t="shared" si="291"/>
        <v>14055.209083228197</v>
      </c>
      <c r="S420" s="4">
        <f t="shared" si="292"/>
        <v>1.5707251787959646</v>
      </c>
      <c r="T420" s="4" t="str">
        <f t="shared" si="283"/>
        <v>1+0.328965135392085i</v>
      </c>
      <c r="U420" s="4">
        <f t="shared" si="293"/>
        <v>1.0527193644573718</v>
      </c>
      <c r="V420" s="4">
        <f t="shared" si="294"/>
        <v>0.31781403791166901</v>
      </c>
      <c r="W420" t="str">
        <f t="shared" si="284"/>
        <v>1-0.341728982645297i</v>
      </c>
      <c r="X420" s="4">
        <f t="shared" si="295"/>
        <v>1.0567775061855686</v>
      </c>
      <c r="Y420" s="4">
        <f t="shared" si="296"/>
        <v>-0.32928751240366433</v>
      </c>
      <c r="Z420" t="str">
        <f t="shared" si="285"/>
        <v>0.298253954468359+1.47983605960664i</v>
      </c>
      <c r="AA420" s="4">
        <f t="shared" si="297"/>
        <v>1.5095927214544063</v>
      </c>
      <c r="AB420" s="4">
        <f t="shared" si="298"/>
        <v>1.371915375326066</v>
      </c>
      <c r="AC420" s="48" t="str">
        <f t="shared" si="299"/>
        <v>-0.0280803301114139-0.00532702019932283i</v>
      </c>
      <c r="AD420" s="20">
        <f t="shared" si="300"/>
        <v>-30.878406291930183</v>
      </c>
      <c r="AE420" s="44">
        <f t="shared" si="301"/>
        <v>-169.2582660399726</v>
      </c>
      <c r="AF420" t="str">
        <f t="shared" si="286"/>
        <v>-0.979317078436135</v>
      </c>
      <c r="AG420" t="str">
        <f t="shared" si="302"/>
        <v>657930.270784171i</v>
      </c>
      <c r="AH420">
        <f t="shared" si="303"/>
        <v>657930.27078417095</v>
      </c>
      <c r="AI420">
        <f t="shared" si="304"/>
        <v>1.5707963267948966</v>
      </c>
      <c r="AJ420" t="str">
        <f t="shared" si="287"/>
        <v>-6699.42076430874+644.719030946826i</v>
      </c>
      <c r="AK420">
        <f t="shared" si="305"/>
        <v>6730.371550376406</v>
      </c>
      <c r="AL420">
        <f t="shared" si="306"/>
        <v>3.0456530562164796</v>
      </c>
      <c r="AM420" t="str">
        <f t="shared" si="288"/>
        <v>1+91531.2592714939i</v>
      </c>
      <c r="AN420">
        <f t="shared" si="307"/>
        <v>91531.259276956509</v>
      </c>
      <c r="AO420">
        <f t="shared" si="308"/>
        <v>1.5707854015655496</v>
      </c>
      <c r="AP420" t="str">
        <f t="shared" si="289"/>
        <v>1+618.454454537122i</v>
      </c>
      <c r="AQ420">
        <f t="shared" si="309"/>
        <v>618.45526300356528</v>
      </c>
      <c r="AR420">
        <f t="shared" si="310"/>
        <v>1.5691793942606196</v>
      </c>
      <c r="AS420" s="42" t="str">
        <f t="shared" si="311"/>
        <v>-0.00117897308695481+0.012463723798429i</v>
      </c>
      <c r="AT420">
        <f t="shared" si="312"/>
        <v>-38.048357062669275</v>
      </c>
      <c r="AU420" s="44">
        <f t="shared" si="313"/>
        <v>95.403664638171961</v>
      </c>
      <c r="AV420" s="42" t="str">
        <f t="shared" si="290"/>
        <v>0.0000995004619071757-0.000343705065228706i</v>
      </c>
      <c r="AW420" s="20">
        <f t="shared" si="314"/>
        <v>-68.926763354599458</v>
      </c>
      <c r="AX420" s="44">
        <f t="shared" si="315"/>
        <v>-73.85460140180065</v>
      </c>
    </row>
    <row r="421" spans="14:50" x14ac:dyDescent="0.3">
      <c r="N421" s="8">
        <v>3</v>
      </c>
      <c r="O421" s="35">
        <f t="shared" si="316"/>
        <v>107151.93052376082</v>
      </c>
      <c r="P421" s="34" t="str">
        <f t="shared" si="281"/>
        <v>545.10556621881</v>
      </c>
      <c r="Q421" s="4" t="str">
        <f t="shared" si="282"/>
        <v>1+14382.5969235056i</v>
      </c>
      <c r="R421" s="4">
        <f t="shared" si="291"/>
        <v>14382.596958269836</v>
      </c>
      <c r="S421" s="4">
        <f t="shared" si="292"/>
        <v>1.5707267983221385</v>
      </c>
      <c r="T421" s="4" t="str">
        <f t="shared" si="283"/>
        <v>1+0.336627717751411i</v>
      </c>
      <c r="U421" s="4">
        <f t="shared" si="293"/>
        <v>1.0551389578432424</v>
      </c>
      <c r="V421" s="4">
        <f t="shared" si="294"/>
        <v>0.32471256430213619</v>
      </c>
      <c r="W421" t="str">
        <f t="shared" si="284"/>
        <v>1-0.349688873200165i</v>
      </c>
      <c r="X421" s="4">
        <f t="shared" si="295"/>
        <v>1.0593782648516068</v>
      </c>
      <c r="Y421" s="4">
        <f t="shared" si="296"/>
        <v>-0.33639761940687335</v>
      </c>
      <c r="Z421" t="str">
        <f t="shared" si="285"/>
        <v>0.26518168224199+1.51430586951984i</v>
      </c>
      <c r="AA421" s="4">
        <f t="shared" si="297"/>
        <v>1.5373495344452186</v>
      </c>
      <c r="AB421" s="4">
        <f t="shared" si="298"/>
        <v>1.3974365105189519</v>
      </c>
      <c r="AC421" s="48" t="str">
        <f t="shared" si="299"/>
        <v>-0.0271972894190592-0.0044377730995069i</v>
      </c>
      <c r="AD421" s="20">
        <f t="shared" si="300"/>
        <v>-31.195371953849431</v>
      </c>
      <c r="AE421" s="44">
        <f t="shared" si="301"/>
        <v>-170.73273484305918</v>
      </c>
      <c r="AF421" t="str">
        <f t="shared" si="286"/>
        <v>-0.979317078436135</v>
      </c>
      <c r="AG421" t="str">
        <f t="shared" si="302"/>
        <v>673255.435502822i</v>
      </c>
      <c r="AH421">
        <f t="shared" si="303"/>
        <v>673255.43550282205</v>
      </c>
      <c r="AI421">
        <f t="shared" si="304"/>
        <v>1.5707963267948966</v>
      </c>
      <c r="AJ421" t="str">
        <f t="shared" si="287"/>
        <v>-7015.20186626073+659.736466357926i</v>
      </c>
      <c r="AK421">
        <f t="shared" si="305"/>
        <v>7046.1556489642262</v>
      </c>
      <c r="AL421">
        <f t="shared" si="306"/>
        <v>3.0478246083157079</v>
      </c>
      <c r="AM421" t="str">
        <f t="shared" si="288"/>
        <v>1+93663.2961871526i</v>
      </c>
      <c r="AN421">
        <f t="shared" si="307"/>
        <v>93663.296192490889</v>
      </c>
      <c r="AO421">
        <f t="shared" si="308"/>
        <v>1.5707856502541313</v>
      </c>
      <c r="AP421" t="str">
        <f t="shared" si="289"/>
        <v>1+632.860109372654i</v>
      </c>
      <c r="AQ421">
        <f t="shared" si="309"/>
        <v>632.86089943617765</v>
      </c>
      <c r="AR421">
        <f t="shared" si="310"/>
        <v>1.5692162000766487</v>
      </c>
      <c r="AS421" s="42" t="str">
        <f t="shared" si="311"/>
        <v>-0.00112636061634829+0.0121848808695889i</v>
      </c>
      <c r="AT421">
        <f t="shared" si="312"/>
        <v>-38.246621420767404</v>
      </c>
      <c r="AU421" s="44">
        <f t="shared" si="313"/>
        <v>95.281366934619584</v>
      </c>
      <c r="AV421" s="42" t="str">
        <f t="shared" si="290"/>
        <v>0.0000847076922168122-0.000326397198703393i</v>
      </c>
      <c r="AW421" s="20">
        <f t="shared" si="314"/>
        <v>-69.441993374616814</v>
      </c>
      <c r="AX421" s="44">
        <f t="shared" si="315"/>
        <v>-75.45136790843965</v>
      </c>
    </row>
    <row r="422" spans="14:50" x14ac:dyDescent="0.3">
      <c r="N422" s="8">
        <v>4</v>
      </c>
      <c r="O422" s="35">
        <f t="shared" si="316"/>
        <v>109647.81961431868</v>
      </c>
      <c r="P422" s="34" t="str">
        <f t="shared" si="281"/>
        <v>545.10556621881</v>
      </c>
      <c r="Q422" s="4" t="str">
        <f t="shared" si="282"/>
        <v>1+14717.610642622i</v>
      </c>
      <c r="R422" s="4">
        <f t="shared" si="291"/>
        <v>14717.610676594904</v>
      </c>
      <c r="S422" s="4">
        <f t="shared" si="292"/>
        <v>1.5707283809833961</v>
      </c>
      <c r="T422" s="4" t="str">
        <f t="shared" si="283"/>
        <v>1+0.344468784582482i</v>
      </c>
      <c r="U422" s="4">
        <f t="shared" si="293"/>
        <v>1.0576666504866892</v>
      </c>
      <c r="V422" s="4">
        <f t="shared" si="294"/>
        <v>0.33173876028872018</v>
      </c>
      <c r="W422" t="str">
        <f t="shared" si="284"/>
        <v>1-0.357834173424282i</v>
      </c>
      <c r="X422" s="4">
        <f t="shared" si="295"/>
        <v>1.0620947677444981</v>
      </c>
      <c r="Y422" s="4">
        <f t="shared" si="296"/>
        <v>-0.34363691920275591</v>
      </c>
      <c r="Z422" t="str">
        <f t="shared" si="285"/>
        <v>0.230550761844851+1.54957858444927i</v>
      </c>
      <c r="AA422" s="4">
        <f t="shared" si="297"/>
        <v>1.5666357085075791</v>
      </c>
      <c r="AB422" s="4">
        <f t="shared" si="298"/>
        <v>1.4230969303319394</v>
      </c>
      <c r="AC422" s="48" t="str">
        <f t="shared" si="299"/>
        <v>-0.0263127559756878-0.00359725559091472i</v>
      </c>
      <c r="AD422" s="20">
        <f t="shared" si="300"/>
        <v>-31.516252695975837</v>
      </c>
      <c r="AE422" s="44">
        <f t="shared" si="301"/>
        <v>-172.21526922755874</v>
      </c>
      <c r="AF422" t="str">
        <f t="shared" si="286"/>
        <v>-0.979317078436135</v>
      </c>
      <c r="AG422" t="str">
        <f t="shared" si="302"/>
        <v>688937.569164965i</v>
      </c>
      <c r="AH422">
        <f t="shared" si="303"/>
        <v>688937.56916496495</v>
      </c>
      <c r="AI422">
        <f t="shared" si="304"/>
        <v>1.5707963267948966</v>
      </c>
      <c r="AJ422" t="str">
        <f t="shared" si="287"/>
        <v>-7345.8652730496+675.103702776133i</v>
      </c>
      <c r="AK422">
        <f t="shared" si="305"/>
        <v>7376.8219186380065</v>
      </c>
      <c r="AL422">
        <f t="shared" si="306"/>
        <v>3.0499475454241813</v>
      </c>
      <c r="AM422" t="str">
        <f t="shared" si="288"/>
        <v>1+95844.9946222299i</v>
      </c>
      <c r="AN422">
        <f t="shared" si="307"/>
        <v>95844.994627446664</v>
      </c>
      <c r="AO422">
        <f t="shared" si="308"/>
        <v>1.5707858932818697</v>
      </c>
      <c r="AP422" t="str">
        <f t="shared" si="289"/>
        <v>1+647.601315015069i</v>
      </c>
      <c r="AQ422">
        <f t="shared" si="309"/>
        <v>647.60208709457265</v>
      </c>
      <c r="AR422">
        <f t="shared" si="310"/>
        <v>1.5692521680941567</v>
      </c>
      <c r="AS422" s="42" t="str">
        <f t="shared" si="311"/>
        <v>-0.00107607681754165+0.0119120639422495i</v>
      </c>
      <c r="AT422">
        <f t="shared" si="312"/>
        <v>-38.444963247832398</v>
      </c>
      <c r="AU422" s="44">
        <f t="shared" si="313"/>
        <v>95.161806338196712</v>
      </c>
      <c r="AV422" s="42" t="str">
        <f t="shared" si="290"/>
        <v>0.0000711652853266588-0.000309568308331045i</v>
      </c>
      <c r="AW422" s="20">
        <f t="shared" si="314"/>
        <v>-69.961215943808241</v>
      </c>
      <c r="AX422" s="44">
        <f t="shared" si="315"/>
        <v>-77.053462889362009</v>
      </c>
    </row>
    <row r="423" spans="14:50" x14ac:dyDescent="0.3">
      <c r="N423" s="8">
        <v>5</v>
      </c>
      <c r="O423" s="35">
        <f t="shared" si="316"/>
        <v>112201.84543019651</v>
      </c>
      <c r="P423" s="34" t="str">
        <f t="shared" si="281"/>
        <v>545.10556621881</v>
      </c>
      <c r="Q423" s="4" t="str">
        <f t="shared" si="282"/>
        <v>1+15060.4278337117i</v>
      </c>
      <c r="R423" s="4">
        <f t="shared" si="291"/>
        <v>15060.427866911288</v>
      </c>
      <c r="S423" s="4">
        <f t="shared" si="292"/>
        <v>1.5707299276188857</v>
      </c>
      <c r="T423" s="4" t="str">
        <f t="shared" si="283"/>
        <v>1+0.352492493322723i</v>
      </c>
      <c r="U423" s="4">
        <f t="shared" si="293"/>
        <v>1.0603070111287909</v>
      </c>
      <c r="V423" s="4">
        <f t="shared" si="294"/>
        <v>0.33889357542283366</v>
      </c>
      <c r="W423" t="str">
        <f t="shared" si="284"/>
        <v>1-0.366169202063644i</v>
      </c>
      <c r="X423" s="4">
        <f t="shared" si="295"/>
        <v>1.0649318684967248</v>
      </c>
      <c r="Y423" s="4">
        <f t="shared" si="296"/>
        <v>-0.35100621406941707</v>
      </c>
      <c r="Z423" t="str">
        <f t="shared" si="285"/>
        <v>0.194287736451728+1.58567290645527i</v>
      </c>
      <c r="AA423" s="4">
        <f t="shared" si="297"/>
        <v>1.5975313113682119</v>
      </c>
      <c r="AB423" s="4">
        <f t="shared" si="298"/>
        <v>1.4488770274481972</v>
      </c>
      <c r="AC423" s="48" t="str">
        <f t="shared" si="299"/>
        <v>-0.0254284958744445-0.00280520396932197i</v>
      </c>
      <c r="AD423" s="20">
        <f t="shared" si="300"/>
        <v>-31.841052316705753</v>
      </c>
      <c r="AE423" s="44">
        <f t="shared" si="301"/>
        <v>-173.70473738690973</v>
      </c>
      <c r="AF423" t="str">
        <f t="shared" si="286"/>
        <v>-0.979317078436135</v>
      </c>
      <c r="AG423" t="str">
        <f t="shared" si="302"/>
        <v>704984.986645446i</v>
      </c>
      <c r="AH423">
        <f t="shared" si="303"/>
        <v>704984.98664544604</v>
      </c>
      <c r="AI423">
        <f t="shared" si="304"/>
        <v>1.5707963267948966</v>
      </c>
      <c r="AJ423" t="str">
        <f t="shared" si="287"/>
        <v>-7692.11236609401+690.828888113606i</v>
      </c>
      <c r="AK423">
        <f t="shared" si="305"/>
        <v>7723.0717467383838</v>
      </c>
      <c r="AL423">
        <f t="shared" si="306"/>
        <v>3.0520229203002067</v>
      </c>
      <c r="AM423" t="str">
        <f t="shared" si="288"/>
        <v>1+98077.5113421144i</v>
      </c>
      <c r="AN423">
        <f t="shared" si="307"/>
        <v>98077.511347212407</v>
      </c>
      <c r="AO423">
        <f t="shared" si="308"/>
        <v>1.5707861307776212</v>
      </c>
      <c r="AP423" t="str">
        <f t="shared" si="289"/>
        <v>1+662.685887446721i</v>
      </c>
      <c r="AQ423">
        <f t="shared" si="309"/>
        <v>662.68664195156987</v>
      </c>
      <c r="AR423">
        <f t="shared" si="310"/>
        <v>1.56928731738349</v>
      </c>
      <c r="AS423" s="42" t="str">
        <f t="shared" si="311"/>
        <v>-0.00102802029811923+0.0116451569067005i</v>
      </c>
      <c r="AT423">
        <f t="shared" si="312"/>
        <v>-38.643379113733197</v>
      </c>
      <c r="AU423" s="44">
        <f t="shared" si="313"/>
        <v>95.044923630328867</v>
      </c>
      <c r="AV423" s="42" t="str">
        <f t="shared" si="290"/>
        <v>0.0000588080502876234-0.000293235017738465i</v>
      </c>
      <c r="AW423" s="20">
        <f t="shared" si="314"/>
        <v>-70.48443143043896</v>
      </c>
      <c r="AX423" s="44">
        <f t="shared" si="315"/>
        <v>-78.659813756580874</v>
      </c>
    </row>
    <row r="424" spans="14:50" x14ac:dyDescent="0.3">
      <c r="N424" s="8">
        <v>6</v>
      </c>
      <c r="O424" s="35">
        <f t="shared" si="316"/>
        <v>114815.36214968823</v>
      </c>
      <c r="P424" s="34" t="str">
        <f t="shared" si="281"/>
        <v>545.10556621881</v>
      </c>
      <c r="Q424" s="4" t="str">
        <f t="shared" si="282"/>
        <v>1+15411.2302629872i</v>
      </c>
      <c r="R424" s="4">
        <f t="shared" si="291"/>
        <v>15411.230295431073</v>
      </c>
      <c r="S424" s="4">
        <f t="shared" si="292"/>
        <v>1.5707314390486538</v>
      </c>
      <c r="T424" s="4" t="str">
        <f t="shared" si="283"/>
        <v>1+0.360703098248712i</v>
      </c>
      <c r="U424" s="4">
        <f t="shared" si="293"/>
        <v>1.0630647793461225</v>
      </c>
      <c r="V424" s="4">
        <f t="shared" si="294"/>
        <v>0.34617787223041419</v>
      </c>
      <c r="W424" t="str">
        <f t="shared" si="284"/>
        <v>1-0.374698378460761i</v>
      </c>
      <c r="X424" s="4">
        <f t="shared" si="295"/>
        <v>1.0678945991160007</v>
      </c>
      <c r="Y424" s="4">
        <f t="shared" si="296"/>
        <v>-0.35850620872979977</v>
      </c>
      <c r="Z424" t="str">
        <f t="shared" si="285"/>
        <v>0.156315687323899+1.62260797322513i</v>
      </c>
      <c r="AA424" s="4">
        <f t="shared" si="297"/>
        <v>1.630120004440565</v>
      </c>
      <c r="AB424" s="4">
        <f t="shared" si="298"/>
        <v>1.4747566209557812</v>
      </c>
      <c r="AC424" s="48" t="str">
        <f t="shared" si="299"/>
        <v>-0.0245462991987129-0.00206122153113416i</v>
      </c>
      <c r="AD424" s="20">
        <f t="shared" si="300"/>
        <v>-32.169763016525749</v>
      </c>
      <c r="AE424" s="44">
        <f t="shared" si="301"/>
        <v>-175.1999740455708</v>
      </c>
      <c r="AF424" t="str">
        <f t="shared" si="286"/>
        <v>-0.979317078436135</v>
      </c>
      <c r="AG424" t="str">
        <f t="shared" si="302"/>
        <v>721406.196497424i</v>
      </c>
      <c r="AH424">
        <f t="shared" si="303"/>
        <v>721406.19649742404</v>
      </c>
      <c r="AI424">
        <f t="shared" si="304"/>
        <v>1.5707963267948966</v>
      </c>
      <c r="AJ424" t="str">
        <f t="shared" si="287"/>
        <v>-8054.67758190039+706.920360071757i</v>
      </c>
      <c r="AK424">
        <f t="shared" si="305"/>
        <v>8085.6395754357427</v>
      </c>
      <c r="AL424">
        <f t="shared" si="306"/>
        <v>3.0540517652702186</v>
      </c>
      <c r="AM424" t="str">
        <f t="shared" si="288"/>
        <v>1+100362.030056722i</v>
      </c>
      <c r="AN424">
        <f t="shared" si="307"/>
        <v>100362.03006170395</v>
      </c>
      <c r="AO424">
        <f t="shared" si="308"/>
        <v>1.5707863628673095</v>
      </c>
      <c r="AP424" t="str">
        <f t="shared" si="289"/>
        <v>1+678.12182470758i</v>
      </c>
      <c r="AQ424">
        <f t="shared" si="309"/>
        <v>678.12256203782067</v>
      </c>
      <c r="AR424">
        <f t="shared" si="310"/>
        <v>1.5693216665809198</v>
      </c>
      <c r="AS424" s="42" t="str">
        <f t="shared" si="311"/>
        <v>-0.000982093933833829+0.0113840449316817i</v>
      </c>
      <c r="AT424">
        <f t="shared" si="312"/>
        <v>-38.841865737801946</v>
      </c>
      <c r="AU424" s="44">
        <f t="shared" si="313"/>
        <v>94.930660738062869</v>
      </c>
      <c r="AV424" s="42" t="str">
        <f t="shared" si="290"/>
        <v>0.0000475718100657071-0.000277411859822636i</v>
      </c>
      <c r="AW424" s="20">
        <f t="shared" si="314"/>
        <v>-71.011628754327688</v>
      </c>
      <c r="AX424" s="44">
        <f t="shared" si="315"/>
        <v>-80.269313307507957</v>
      </c>
    </row>
    <row r="425" spans="14:50" x14ac:dyDescent="0.3">
      <c r="N425" s="8">
        <v>7</v>
      </c>
      <c r="O425" s="35">
        <f t="shared" si="316"/>
        <v>117489.75549395311</v>
      </c>
      <c r="P425" s="34" t="str">
        <f t="shared" si="281"/>
        <v>545.10556621881</v>
      </c>
      <c r="Q425" s="4" t="str">
        <f t="shared" si="282"/>
        <v>1+15770.2039305399i</v>
      </c>
      <c r="R425" s="4">
        <f t="shared" si="291"/>
        <v>15770.203962245261</v>
      </c>
      <c r="S425" s="4">
        <f t="shared" si="292"/>
        <v>1.5707329160740802</v>
      </c>
      <c r="T425" s="4" t="str">
        <f t="shared" si="283"/>
        <v>1+0.369104952731864i</v>
      </c>
      <c r="U425" s="4">
        <f t="shared" si="293"/>
        <v>1.0659448701181462</v>
      </c>
      <c r="V425" s="4">
        <f t="shared" si="294"/>
        <v>0.35359241989108947</v>
      </c>
      <c r="W425" t="str">
        <f t="shared" si="284"/>
        <v>1-0.383426224897859i</v>
      </c>
      <c r="X425" s="4">
        <f t="shared" si="295"/>
        <v>1.0709881745096086</v>
      </c>
      <c r="Y425" s="4">
        <f t="shared" si="296"/>
        <v>-0.36613750379842014</v>
      </c>
      <c r="Z425" t="str">
        <f t="shared" si="285"/>
        <v>0.116554070654151+1.66040336822015i</v>
      </c>
      <c r="AA425" s="4">
        <f t="shared" si="297"/>
        <v>1.6644891698604927</v>
      </c>
      <c r="AB425" s="4">
        <f t="shared" si="298"/>
        <v>1.5007150463245329</v>
      </c>
      <c r="AC425" s="48" t="str">
        <f t="shared" si="299"/>
        <v>-0.0236679651341274-0.00136477514241447i</v>
      </c>
      <c r="AD425" s="20">
        <f t="shared" si="300"/>
        <v>-32.502364956812471</v>
      </c>
      <c r="AE425" s="44">
        <f t="shared" si="301"/>
        <v>-176.69978560102439</v>
      </c>
      <c r="AF425" t="str">
        <f t="shared" si="286"/>
        <v>-0.979317078436135</v>
      </c>
      <c r="AG425" t="str">
        <f t="shared" si="302"/>
        <v>738209.905463728i</v>
      </c>
      <c r="AH425">
        <f t="shared" si="303"/>
        <v>738209.90546372801</v>
      </c>
      <c r="AI425">
        <f t="shared" si="304"/>
        <v>1.5707963267948966</v>
      </c>
      <c r="AJ425" t="str">
        <f t="shared" si="287"/>
        <v>-8434.32996990156+723.386650562018i</v>
      </c>
      <c r="AK425">
        <f t="shared" si="305"/>
        <v>8465.2944595797144</v>
      </c>
      <c r="AL425">
        <f t="shared" si="306"/>
        <v>3.0560350924648656</v>
      </c>
      <c r="AM425" t="str">
        <f t="shared" si="288"/>
        <v>1+102699.762048114i</v>
      </c>
      <c r="AN425">
        <f t="shared" si="307"/>
        <v>102699.76205298255</v>
      </c>
      <c r="AO425">
        <f t="shared" si="308"/>
        <v>1.5707865896739917</v>
      </c>
      <c r="AP425" t="str">
        <f t="shared" si="289"/>
        <v>1+693.917311135906i</v>
      </c>
      <c r="AQ425">
        <f t="shared" si="309"/>
        <v>693.91803168247895</v>
      </c>
      <c r="AR425">
        <f t="shared" si="310"/>
        <v>1.5693552338985206</v>
      </c>
      <c r="AS425" s="42" t="str">
        <f t="shared" si="311"/>
        <v>-0.000938204701817131+0.0111286145219712i</v>
      </c>
      <c r="AT425">
        <f t="shared" si="312"/>
        <v>-39.040419982533294</v>
      </c>
      <c r="AU425" s="44">
        <f t="shared" si="313"/>
        <v>94.818960721109818</v>
      </c>
      <c r="AV425" s="42" t="str">
        <f t="shared" si="290"/>
        <v>0.0000373934526403812-0.000262111222041622i</v>
      </c>
      <c r="AW425" s="20">
        <f t="shared" si="314"/>
        <v>-71.542784939345751</v>
      </c>
      <c r="AX425" s="44">
        <f t="shared" si="315"/>
        <v>-81.880824879914613</v>
      </c>
    </row>
    <row r="426" spans="14:50" x14ac:dyDescent="0.3">
      <c r="N426" s="8">
        <v>8</v>
      </c>
      <c r="O426" s="35">
        <f t="shared" si="316"/>
        <v>120226.44346174144</v>
      </c>
      <c r="P426" s="34" t="str">
        <f t="shared" si="281"/>
        <v>545.10556621881</v>
      </c>
      <c r="Q426" s="4" t="str">
        <f t="shared" si="282"/>
        <v>1+16137.5391689599i</v>
      </c>
      <c r="R426" s="4">
        <f t="shared" si="291"/>
        <v>16137.539199943558</v>
      </c>
      <c r="S426" s="4">
        <f t="shared" si="292"/>
        <v>1.5707343594783032</v>
      </c>
      <c r="T426" s="4" t="str">
        <f t="shared" si="283"/>
        <v>1+0.377702511546635i</v>
      </c>
      <c r="U426" s="4">
        <f t="shared" si="293"/>
        <v>1.0689523783726926</v>
      </c>
      <c r="V426" s="4">
        <f t="shared" si="294"/>
        <v>0.36113788777094208</v>
      </c>
      <c r="W426" t="str">
        <f t="shared" si="284"/>
        <v>1-0.392357368994644i</v>
      </c>
      <c r="X426" s="4">
        <f t="shared" si="295"/>
        <v>1.07421799696542</v>
      </c>
      <c r="Y426" s="4">
        <f t="shared" si="296"/>
        <v>-0.37390058911289897</v>
      </c>
      <c r="Z426" t="str">
        <f t="shared" si="285"/>
        <v>0.074918546722603+1.69907913105904i</v>
      </c>
      <c r="AA426" s="4">
        <f t="shared" si="297"/>
        <v>1.7007300439056663</v>
      </c>
      <c r="AB426" s="4">
        <f t="shared" si="298"/>
        <v>1.5267312514700853</v>
      </c>
      <c r="AC426" s="48" t="str">
        <f t="shared" si="299"/>
        <v>-0.0227952866204111-0.000715193682193267i</v>
      </c>
      <c r="AD426" s="20">
        <f t="shared" si="300"/>
        <v>-32.838825904457849</v>
      </c>
      <c r="AE426" s="44">
        <f t="shared" si="301"/>
        <v>-178.20295561633378</v>
      </c>
      <c r="AF426" t="str">
        <f t="shared" si="286"/>
        <v>-0.979317078436135</v>
      </c>
      <c r="AG426" t="str">
        <f t="shared" si="302"/>
        <v>755405.023093271i</v>
      </c>
      <c r="AH426">
        <f t="shared" si="303"/>
        <v>755405.02309327095</v>
      </c>
      <c r="AI426">
        <f t="shared" si="304"/>
        <v>1.5707963267948966</v>
      </c>
      <c r="AJ426" t="str">
        <f t="shared" si="287"/>
        <v>-8831.87482371326+740.236490229559i</v>
      </c>
      <c r="AK426">
        <f t="shared" si="305"/>
        <v>8862.8416979661488</v>
      </c>
      <c r="AL426">
        <f t="shared" si="306"/>
        <v>3.0579738940642813</v>
      </c>
      <c r="AM426" t="str">
        <f t="shared" si="288"/>
        <v>1+105091.946812736i</v>
      </c>
      <c r="AN426">
        <f t="shared" si="307"/>
        <v>105091.94681749375</v>
      </c>
      <c r="AO426">
        <f t="shared" si="308"/>
        <v>1.5707868113179233</v>
      </c>
      <c r="AP426" t="str">
        <f t="shared" si="289"/>
        <v>1+710.080721707676i</v>
      </c>
      <c r="AQ426">
        <f t="shared" si="309"/>
        <v>710.08142585262294</v>
      </c>
      <c r="AR426">
        <f t="shared" si="310"/>
        <v>1.5693880371338258</v>
      </c>
      <c r="AS426" s="42" t="str">
        <f t="shared" si="311"/>
        <v>-0.000896263519155026+0.0108787535693443i</v>
      </c>
      <c r="AT426">
        <f t="shared" si="312"/>
        <v>-39.239038847529045</v>
      </c>
      <c r="AU426" s="44">
        <f t="shared" si="313"/>
        <v>94.709767758349258</v>
      </c>
      <c r="AV426" s="42" t="str">
        <f t="shared" si="290"/>
        <v>0.0000282109996294896-0.000247343303679544i</v>
      </c>
      <c r="AW426" s="20">
        <f t="shared" si="314"/>
        <v>-72.07786475198688</v>
      </c>
      <c r="AX426" s="44">
        <f t="shared" si="315"/>
        <v>-83.493187857984523</v>
      </c>
    </row>
    <row r="427" spans="14:50" x14ac:dyDescent="0.3">
      <c r="N427" s="8">
        <v>9</v>
      </c>
      <c r="O427" s="35">
        <f t="shared" si="316"/>
        <v>123026.87708123829</v>
      </c>
      <c r="P427" s="34" t="str">
        <f t="shared" si="281"/>
        <v>545.10556621881</v>
      </c>
      <c r="Q427" s="4" t="str">
        <f t="shared" si="282"/>
        <v>1+16513.4307442528i</v>
      </c>
      <c r="R427" s="4">
        <f t="shared" si="291"/>
        <v>16513.430774531185</v>
      </c>
      <c r="S427" s="4">
        <f t="shared" si="292"/>
        <v>1.5707357700266353</v>
      </c>
      <c r="T427" s="4" t="str">
        <f t="shared" si="283"/>
        <v>1+0.386500333232513i</v>
      </c>
      <c r="U427" s="4">
        <f t="shared" si="293"/>
        <v>1.0720925834968003</v>
      </c>
      <c r="V427" s="4">
        <f t="shared" si="294"/>
        <v>0.36881483882693172</v>
      </c>
      <c r="W427" t="str">
        <f t="shared" si="284"/>
        <v>1-0.401496546161933i</v>
      </c>
      <c r="X427" s="4">
        <f t="shared" si="295"/>
        <v>1.0775896605758433</v>
      </c>
      <c r="Y427" s="4">
        <f t="shared" si="296"/>
        <v>-0.38179583697271985</v>
      </c>
      <c r="Z427" t="str">
        <f t="shared" si="285"/>
        <v>0.031320801000824+1.73865576814319i</v>
      </c>
      <c r="AA427" s="4">
        <f t="shared" si="297"/>
        <v>1.7389378576225545</v>
      </c>
      <c r="AB427" s="4">
        <f t="shared" si="298"/>
        <v>1.5527838977782902</v>
      </c>
      <c r="AC427" s="48" t="str">
        <f t="shared" si="299"/>
        <v>-0.0219300348191833-0.000111668431351148i</v>
      </c>
      <c r="AD427" s="20">
        <f t="shared" si="300"/>
        <v>-33.179100969679908</v>
      </c>
      <c r="AE427" s="44">
        <f t="shared" si="301"/>
        <v>-179.70825059894796</v>
      </c>
      <c r="AF427" t="str">
        <f t="shared" si="286"/>
        <v>-0.979317078436135</v>
      </c>
      <c r="AG427" t="str">
        <f t="shared" si="302"/>
        <v>773000.666465025i</v>
      </c>
      <c r="AH427">
        <f t="shared" si="303"/>
        <v>773000.66646502505</v>
      </c>
      <c r="AI427">
        <f t="shared" si="304"/>
        <v>1.5707963267948966</v>
      </c>
      <c r="AJ427" t="str">
        <f t="shared" si="287"/>
        <v>-9248.15538927021+757.478813082409i</v>
      </c>
      <c r="AK427">
        <f t="shared" si="305"/>
        <v>9279.124541483232</v>
      </c>
      <c r="AL427">
        <f t="shared" si="306"/>
        <v>3.0598691425514484</v>
      </c>
      <c r="AM427" t="str">
        <f t="shared" si="288"/>
        <v>1+107539.852718614i</v>
      </c>
      <c r="AN427">
        <f t="shared" si="307"/>
        <v>107539.85272326344</v>
      </c>
      <c r="AO427">
        <f t="shared" si="308"/>
        <v>1.5707870279166232</v>
      </c>
      <c r="AP427" t="str">
        <f t="shared" si="289"/>
        <v>1+726.620626477125i</v>
      </c>
      <c r="AQ427">
        <f t="shared" si="309"/>
        <v>726.62131459379145</v>
      </c>
      <c r="AR427">
        <f t="shared" si="310"/>
        <v>1.5694200936792624</v>
      </c>
      <c r="AS427" s="42" t="str">
        <f t="shared" si="311"/>
        <v>-0.000856185086763505+0.010634351397356i</v>
      </c>
      <c r="AT427">
        <f t="shared" si="312"/>
        <v>-39.437719463683308</v>
      </c>
      <c r="AU427" s="44">
        <f t="shared" si="313"/>
        <v>94.603027133856685</v>
      </c>
      <c r="AV427" s="42" t="str">
        <f t="shared" si="290"/>
        <v>0.0000199636901033688-0.000233116087577863i</v>
      </c>
      <c r="AW427" s="20">
        <f t="shared" si="314"/>
        <v>-72.616820433363202</v>
      </c>
      <c r="AX427" s="44">
        <f t="shared" si="315"/>
        <v>-85.105223465091285</v>
      </c>
    </row>
    <row r="428" spans="14:50" x14ac:dyDescent="0.3">
      <c r="N428" s="8">
        <v>10</v>
      </c>
      <c r="O428" s="35">
        <f t="shared" si="316"/>
        <v>125892.54117941685</v>
      </c>
      <c r="P428" s="34" t="str">
        <f t="shared" si="281"/>
        <v>545.10556621881</v>
      </c>
      <c r="Q428" s="4" t="str">
        <f t="shared" si="282"/>
        <v>1+16898.0779591075i</v>
      </c>
      <c r="R428" s="4">
        <f t="shared" si="291"/>
        <v>16898.077988696663</v>
      </c>
      <c r="S428" s="4">
        <f t="shared" si="292"/>
        <v>1.5707371484669677</v>
      </c>
      <c r="T428" s="4" t="str">
        <f t="shared" si="283"/>
        <v>1+0.395503082511007i</v>
      </c>
      <c r="U428" s="4">
        <f t="shared" si="293"/>
        <v>1.0753709537995289</v>
      </c>
      <c r="V428" s="4">
        <f t="shared" si="294"/>
        <v>0.37662372290357143</v>
      </c>
      <c r="W428" t="str">
        <f t="shared" si="284"/>
        <v>1-0.410848602112432i</v>
      </c>
      <c r="X428" s="4">
        <f t="shared" si="295"/>
        <v>1.0811089555903879</v>
      </c>
      <c r="Y428" s="4">
        <f t="shared" si="296"/>
        <v>-0.38982349531038041</v>
      </c>
      <c r="Z428" t="str">
        <f t="shared" si="285"/>
        <v>-0.0143316431751199+1.77915426352944i</v>
      </c>
      <c r="AA428" s="4">
        <f t="shared" si="297"/>
        <v>1.7792119855236708</v>
      </c>
      <c r="AB428" s="4">
        <f t="shared" si="298"/>
        <v>1.578851464843805</v>
      </c>
      <c r="AC428" s="48" t="str">
        <f t="shared" si="299"/>
        <v>-0.0210739436856157+0.000446744568588612i</v>
      </c>
      <c r="AD428" s="20">
        <f t="shared" si="300"/>
        <v>-33.523132442928528</v>
      </c>
      <c r="AE428" s="44">
        <f t="shared" si="301"/>
        <v>178.78557400538787</v>
      </c>
      <c r="AF428" t="str">
        <f t="shared" si="286"/>
        <v>-0.979317078436135</v>
      </c>
      <c r="AG428" t="str">
        <f t="shared" si="302"/>
        <v>791006.165022013i</v>
      </c>
      <c r="AH428">
        <f t="shared" si="303"/>
        <v>791006.16502201301</v>
      </c>
      <c r="AI428">
        <f t="shared" si="304"/>
        <v>1.5707963267948966</v>
      </c>
      <c r="AJ428" t="str">
        <f t="shared" si="287"/>
        <v>-9684.05465346367+775.122761228372i</v>
      </c>
      <c r="AK428">
        <f t="shared" si="305"/>
        <v>9715.0259817586521</v>
      </c>
      <c r="AL428">
        <f t="shared" si="306"/>
        <v>3.0617217909726158</v>
      </c>
      <c r="AM428" t="str">
        <f t="shared" si="288"/>
        <v>1+110044.777677862i</v>
      </c>
      <c r="AN428">
        <f t="shared" si="307"/>
        <v>110044.77768240562</v>
      </c>
      <c r="AO428">
        <f t="shared" si="308"/>
        <v>1.5707872395849347</v>
      </c>
      <c r="AP428" t="str">
        <f t="shared" si="289"/>
        <v>1+743.545795120694i</v>
      </c>
      <c r="AQ428">
        <f t="shared" si="309"/>
        <v>743.5464675739272</v>
      </c>
      <c r="AR428">
        <f t="shared" si="310"/>
        <v>1.5694514205313714</v>
      </c>
      <c r="AS428" s="42" t="str">
        <f t="shared" si="311"/>
        <v>-0.000817887738490523+0.0103952988003816i</v>
      </c>
      <c r="AT428">
        <f t="shared" si="312"/>
        <v>-39.636459087597842</v>
      </c>
      <c r="AU428" s="44">
        <f t="shared" si="313"/>
        <v>94.49868522251441</v>
      </c>
      <c r="AV428" s="42" t="str">
        <f t="shared" si="290"/>
        <v>0.0000125920768641787-0.000219435328419276i</v>
      </c>
      <c r="AW428" s="20">
        <f t="shared" si="314"/>
        <v>-73.15959153052637</v>
      </c>
      <c r="AX428" s="44">
        <f t="shared" si="315"/>
        <v>-86.715740772097703</v>
      </c>
    </row>
    <row r="429" spans="14:50" x14ac:dyDescent="0.3">
      <c r="N429" s="8">
        <v>11</v>
      </c>
      <c r="O429" s="35">
        <f t="shared" si="316"/>
        <v>128824.95516931375</v>
      </c>
      <c r="P429" s="34" t="str">
        <f t="shared" si="281"/>
        <v>545.10556621881</v>
      </c>
      <c r="Q429" s="4" t="str">
        <f t="shared" si="282"/>
        <v>1+17291.6847585686i</v>
      </c>
      <c r="R429" s="4">
        <f t="shared" si="291"/>
        <v>17291.684787484231</v>
      </c>
      <c r="S429" s="4">
        <f t="shared" si="292"/>
        <v>1.5707384955301675</v>
      </c>
      <c r="T429" s="4" t="str">
        <f t="shared" si="283"/>
        <v>1+0.404715532758951i</v>
      </c>
      <c r="U429" s="4">
        <f t="shared" si="293"/>
        <v>1.0787931509127973</v>
      </c>
      <c r="V429" s="4">
        <f t="shared" si="294"/>
        <v>0.38456486994524547</v>
      </c>
      <c r="W429" t="str">
        <f t="shared" si="284"/>
        <v>1-0.420418495429997i</v>
      </c>
      <c r="X429" s="4">
        <f t="shared" si="295"/>
        <v>1.0847818726820717</v>
      </c>
      <c r="Y429" s="4">
        <f t="shared" si="296"/>
        <v>-0.39798368082298163</v>
      </c>
      <c r="Z429" t="str">
        <f t="shared" si="285"/>
        <v>-0.0621356207600501+1.8205960900561i</v>
      </c>
      <c r="AA429" s="4">
        <f t="shared" si="297"/>
        <v>1.8216561032463827</v>
      </c>
      <c r="AB429" s="4">
        <f t="shared" si="298"/>
        <v>1.6049123575857085</v>
      </c>
      <c r="AC429" s="48" t="str">
        <f t="shared" si="299"/>
        <v>-0.0202286949345264+0.000961120211365087i</v>
      </c>
      <c r="AD429" s="20">
        <f t="shared" si="300"/>
        <v>-33.8708497351654</v>
      </c>
      <c r="AE429" s="44">
        <f t="shared" si="301"/>
        <v>177.27976767996248</v>
      </c>
      <c r="AF429" t="str">
        <f t="shared" si="286"/>
        <v>-0.979317078436135</v>
      </c>
      <c r="AG429" t="str">
        <f t="shared" si="302"/>
        <v>809431.065517901i</v>
      </c>
      <c r="AH429">
        <f t="shared" si="303"/>
        <v>809431.06551790098</v>
      </c>
      <c r="AI429">
        <f t="shared" si="304"/>
        <v>1.5707963267948966</v>
      </c>
      <c r="AJ429" t="str">
        <f t="shared" si="287"/>
        <v>-10140.497217075+793.177689722303i</v>
      </c>
      <c r="AK429">
        <f t="shared" si="305"/>
        <v>10171.470624102449</v>
      </c>
      <c r="AL429">
        <f t="shared" si="306"/>
        <v>3.0635327732038236</v>
      </c>
      <c r="AM429" t="str">
        <f t="shared" si="288"/>
        <v>1+112608.04983485i</v>
      </c>
      <c r="AN429">
        <f t="shared" si="307"/>
        <v>112608.04983929016</v>
      </c>
      <c r="AO429">
        <f t="shared" si="308"/>
        <v>1.5707874464350873</v>
      </c>
      <c r="AP429" t="str">
        <f t="shared" si="289"/>
        <v>1+760.865201586829i</v>
      </c>
      <c r="AQ429">
        <f t="shared" si="309"/>
        <v>760.86585873317108</v>
      </c>
      <c r="AR429">
        <f t="shared" si="310"/>
        <v>1.5694820342998186</v>
      </c>
      <c r="AS429" s="42" t="str">
        <f t="shared" si="311"/>
        <v>-0.000781293295358649+0.0101614880773201i</v>
      </c>
      <c r="AT429">
        <f t="shared" si="312"/>
        <v>-39.83525509622141</v>
      </c>
      <c r="AU429" s="44">
        <f t="shared" si="313"/>
        <v>94.396689475260743</v>
      </c>
      <c r="AV429" s="42" t="str">
        <f t="shared" si="290"/>
        <v>6.03813215754324E-06-0.000206304559174109i</v>
      </c>
      <c r="AW429" s="20">
        <f t="shared" si="314"/>
        <v>-73.706104831386796</v>
      </c>
      <c r="AX429" s="44">
        <f t="shared" si="315"/>
        <v>-88.323542844776767</v>
      </c>
    </row>
    <row r="430" spans="14:50" x14ac:dyDescent="0.3">
      <c r="N430" s="8">
        <v>12</v>
      </c>
      <c r="O430" s="35">
        <f t="shared" si="316"/>
        <v>131825.67385564081</v>
      </c>
      <c r="P430" s="34" t="str">
        <f t="shared" si="281"/>
        <v>545.10556621881</v>
      </c>
      <c r="Q430" s="4" t="str">
        <f t="shared" si="282"/>
        <v>1+17694.4598381711i</v>
      </c>
      <c r="R430" s="4">
        <f t="shared" si="291"/>
        <v>17694.459866428533</v>
      </c>
      <c r="S430" s="4">
        <f t="shared" si="292"/>
        <v>1.5707398119304656</v>
      </c>
      <c r="T430" s="4" t="str">
        <f t="shared" si="283"/>
        <v>1+0.414142568539405i</v>
      </c>
      <c r="U430" s="4">
        <f t="shared" si="293"/>
        <v>1.0823650341157625</v>
      </c>
      <c r="V430" s="4">
        <f t="shared" si="294"/>
        <v>0.39263848315031069</v>
      </c>
      <c r="W430" t="str">
        <f t="shared" si="284"/>
        <v>1-0.430211300198733i</v>
      </c>
      <c r="X430" s="4">
        <f t="shared" si="295"/>
        <v>1.0886146071124916</v>
      </c>
      <c r="Y430" s="4">
        <f t="shared" si="296"/>
        <v>-0.40627637209520595</v>
      </c>
      <c r="Z430" t="str">
        <f t="shared" si="285"/>
        <v>-0.1121925303996+1.86300322072815i</v>
      </c>
      <c r="AA430" s="4">
        <f t="shared" si="297"/>
        <v>1.866378355082625</v>
      </c>
      <c r="AB430" s="4">
        <f t="shared" si="298"/>
        <v>1.6309450143441682</v>
      </c>
      <c r="AC430" s="48" t="str">
        <f t="shared" si="299"/>
        <v>-0.0193959036848402+0.00143265815018297i</v>
      </c>
      <c r="AD430" s="20">
        <f t="shared" si="300"/>
        <v>-34.222169424042995</v>
      </c>
      <c r="AE430" s="44">
        <f t="shared" si="301"/>
        <v>175.7755786453767</v>
      </c>
      <c r="AF430" t="str">
        <f t="shared" si="286"/>
        <v>-0.979317078436135</v>
      </c>
      <c r="AG430" t="str">
        <f t="shared" si="302"/>
        <v>828285.13707881i</v>
      </c>
      <c r="AH430">
        <f t="shared" si="303"/>
        <v>828285.13707881002</v>
      </c>
      <c r="AI430">
        <f t="shared" si="304"/>
        <v>1.5707963267948966</v>
      </c>
      <c r="AJ430" t="str">
        <f t="shared" si="287"/>
        <v>-10618.451255978+811.653171526269i</v>
      </c>
      <c r="AK430">
        <f t="shared" si="305"/>
        <v>10649.426648718203</v>
      </c>
      <c r="AL430">
        <f t="shared" si="306"/>
        <v>3.065303004222641</v>
      </c>
      <c r="AM430" t="str">
        <f t="shared" si="288"/>
        <v>1+115231.028270404i</v>
      </c>
      <c r="AN430">
        <f t="shared" si="307"/>
        <v>115231.0282747431</v>
      </c>
      <c r="AO430">
        <f t="shared" si="308"/>
        <v>1.5707876485767553</v>
      </c>
      <c r="AP430" t="str">
        <f t="shared" si="289"/>
        <v>1+778.588028854083i</v>
      </c>
      <c r="AQ430">
        <f t="shared" si="309"/>
        <v>778.58867104196054</v>
      </c>
      <c r="AR430">
        <f t="shared" si="310"/>
        <v>1.5695119512161992</v>
      </c>
      <c r="AS430" s="42" t="str">
        <f t="shared" si="311"/>
        <v>-0.000746326924855335+0.00993281306034441i</v>
      </c>
      <c r="AT430">
        <f t="shared" si="312"/>
        <v>-40.034104981704829</v>
      </c>
      <c r="AU430" s="44">
        <f t="shared" si="313"/>
        <v>94.296988404028482</v>
      </c>
      <c r="AV430" s="42" t="str">
        <f t="shared" si="290"/>
        <v>2.45359566750779E-07-0.000193725116789558i</v>
      </c>
      <c r="AW430" s="20">
        <f t="shared" si="314"/>
        <v>-74.256274405747831</v>
      </c>
      <c r="AX430" s="44">
        <f t="shared" si="315"/>
        <v>-89.927432950594834</v>
      </c>
    </row>
    <row r="431" spans="14:50" x14ac:dyDescent="0.3">
      <c r="N431" s="8">
        <v>13</v>
      </c>
      <c r="O431" s="35">
        <f t="shared" si="316"/>
        <v>134896.28825916545</v>
      </c>
      <c r="P431" s="34" t="str">
        <f t="shared" si="281"/>
        <v>545.10556621881</v>
      </c>
      <c r="Q431" s="4" t="str">
        <f t="shared" si="282"/>
        <v>1+18106.6167545938i</v>
      </c>
      <c r="R431" s="4">
        <f t="shared" si="291"/>
        <v>18106.616782208013</v>
      </c>
      <c r="S431" s="4">
        <f t="shared" si="292"/>
        <v>1.5707410983658348</v>
      </c>
      <c r="T431" s="4" t="str">
        <f t="shared" si="283"/>
        <v>1+0.423789188191525i</v>
      </c>
      <c r="U431" s="4">
        <f t="shared" si="293"/>
        <v>1.0860926645678222</v>
      </c>
      <c r="V431" s="4">
        <f t="shared" si="294"/>
        <v>0.40084463209605559</v>
      </c>
      <c r="W431" t="str">
        <f t="shared" si="284"/>
        <v>1-0.440232208693355i</v>
      </c>
      <c r="X431" s="4">
        <f t="shared" si="295"/>
        <v>1.0926135627801028</v>
      </c>
      <c r="Y431" s="4">
        <f t="shared" si="296"/>
        <v>-0.41470140274759471</v>
      </c>
      <c r="Z431" t="str">
        <f t="shared" si="285"/>
        <v>-0.16460854951039+1.90639814036759i</v>
      </c>
      <c r="AA431" s="4">
        <f t="shared" si="297"/>
        <v>1.9134915322961115</v>
      </c>
      <c r="AB431" s="4">
        <f t="shared" si="298"/>
        <v>1.6569280145377403</v>
      </c>
      <c r="AC431" s="48" t="str">
        <f t="shared" si="299"/>
        <v>-0.0185771050504662+0.00186267487087514i</v>
      </c>
      <c r="AD431" s="20">
        <f t="shared" si="300"/>
        <v>-34.576995406673539</v>
      </c>
      <c r="AE431" s="44">
        <f t="shared" si="301"/>
        <v>174.27424768987683</v>
      </c>
      <c r="AF431" t="str">
        <f t="shared" si="286"/>
        <v>-0.979317078436135</v>
      </c>
      <c r="AG431" t="str">
        <f t="shared" si="302"/>
        <v>847578.37638305i</v>
      </c>
      <c r="AH431">
        <f t="shared" si="303"/>
        <v>847578.37638305</v>
      </c>
      <c r="AI431">
        <f t="shared" si="304"/>
        <v>1.5707963267948966</v>
      </c>
      <c r="AJ431" t="str">
        <f t="shared" si="287"/>
        <v>-11118.9305747695+830.55900258528i</v>
      </c>
      <c r="AK431">
        <f t="shared" si="305"/>
        <v>11149.907864342173</v>
      </c>
      <c r="AL431">
        <f t="shared" si="306"/>
        <v>3.0670333803842946</v>
      </c>
      <c r="AM431" t="str">
        <f t="shared" si="288"/>
        <v>1+117915.10372241i</v>
      </c>
      <c r="AN431">
        <f t="shared" si="307"/>
        <v>117915.10372665034</v>
      </c>
      <c r="AO431">
        <f t="shared" si="308"/>
        <v>1.5707878461171174</v>
      </c>
      <c r="AP431" t="str">
        <f t="shared" si="289"/>
        <v>1+796.723673800069i</v>
      </c>
      <c r="AQ431">
        <f t="shared" si="309"/>
        <v>796.72430136997752</v>
      </c>
      <c r="AR431">
        <f t="shared" si="310"/>
        <v>1.5695411871426441</v>
      </c>
      <c r="AS431" s="42" t="str">
        <f t="shared" si="311"/>
        <v>-0.000712917005170504+0.00970916913905968i</v>
      </c>
      <c r="AT431">
        <f t="shared" si="312"/>
        <v>-40.233006346463505</v>
      </c>
      <c r="AU431" s="44">
        <f t="shared" si="313"/>
        <v>94.199531566420163</v>
      </c>
      <c r="AV431" s="42" t="str">
        <f t="shared" si="290"/>
        <v>-4.84109127508667E-06-0.000181696187639607i</v>
      </c>
      <c r="AW431" s="20">
        <f t="shared" si="314"/>
        <v>-74.81000175313703</v>
      </c>
      <c r="AX431" s="44">
        <f t="shared" si="315"/>
        <v>-91.526220743702993</v>
      </c>
    </row>
    <row r="432" spans="14:50" x14ac:dyDescent="0.3">
      <c r="N432" s="8">
        <v>14</v>
      </c>
      <c r="O432" s="35">
        <f t="shared" si="316"/>
        <v>138038.42646028858</v>
      </c>
      <c r="P432" s="34" t="str">
        <f t="shared" si="281"/>
        <v>545.10556621881</v>
      </c>
      <c r="Q432" s="4" t="str">
        <f t="shared" si="282"/>
        <v>1+18528.3740388891i</v>
      </c>
      <c r="R432" s="4">
        <f t="shared" si="291"/>
        <v>18528.374065874734</v>
      </c>
      <c r="S432" s="4">
        <f t="shared" si="292"/>
        <v>1.5707423555183599</v>
      </c>
      <c r="T432" s="4" t="str">
        <f t="shared" si="283"/>
        <v>1+0.433660506480737i</v>
      </c>
      <c r="U432" s="4">
        <f t="shared" si="293"/>
        <v>1.0899823094349419</v>
      </c>
      <c r="V432" s="4">
        <f t="shared" si="294"/>
        <v>0.40918324586645449</v>
      </c>
      <c r="W432" t="str">
        <f t="shared" si="284"/>
        <v>1-0.450486534132189i</v>
      </c>
      <c r="X432" s="4">
        <f t="shared" si="295"/>
        <v>1.096785356136027</v>
      </c>
      <c r="Y432" s="4">
        <f t="shared" si="296"/>
        <v>-0.4232584546468961</v>
      </c>
      <c r="Z432" t="str">
        <f t="shared" si="285"/>
        <v>-0.21949485949648+1.95080385753522i</v>
      </c>
      <c r="AA432" s="4">
        <f t="shared" si="297"/>
        <v>1.9631132631408901</v>
      </c>
      <c r="AB432" s="4">
        <f t="shared" si="298"/>
        <v>1.6828401844717151</v>
      </c>
      <c r="AC432" s="48" t="str">
        <f t="shared" si="299"/>
        <v>-0.0177737419211123+0.00225259417790648i</v>
      </c>
      <c r="AD432" s="20">
        <f t="shared" si="300"/>
        <v>-34.935219157832698</v>
      </c>
      <c r="AE432" s="44">
        <f t="shared" si="301"/>
        <v>172.77700210222955</v>
      </c>
      <c r="AF432" t="str">
        <f t="shared" si="286"/>
        <v>-0.979317078436135</v>
      </c>
      <c r="AG432" t="str">
        <f t="shared" si="302"/>
        <v>867321.012961475i</v>
      </c>
      <c r="AH432">
        <f t="shared" si="303"/>
        <v>867321.01296147495</v>
      </c>
      <c r="AI432">
        <f t="shared" si="304"/>
        <v>1.5707963267948966</v>
      </c>
      <c r="AJ432" t="str">
        <f t="shared" si="287"/>
        <v>-11642.9967571852+849.90520702121i</v>
      </c>
      <c r="AK432">
        <f t="shared" si="305"/>
        <v>11673.975858667296</v>
      </c>
      <c r="AL432">
        <f t="shared" si="306"/>
        <v>3.068724779701435</v>
      </c>
      <c r="AM432" t="str">
        <f t="shared" si="288"/>
        <v>1+120661.6993232i</v>
      </c>
      <c r="AN432">
        <f t="shared" si="307"/>
        <v>120661.6993273438</v>
      </c>
      <c r="AO432">
        <f t="shared" si="308"/>
        <v>1.5707880391609117</v>
      </c>
      <c r="AP432" t="str">
        <f t="shared" si="289"/>
        <v>1+815.281752183788i</v>
      </c>
      <c r="AQ432">
        <f t="shared" si="309"/>
        <v>815.28236546847211</v>
      </c>
      <c r="AR432">
        <f t="shared" si="310"/>
        <v>1.5695697575802285</v>
      </c>
      <c r="AS432" s="42" t="str">
        <f t="shared" si="311"/>
        <v>-0.000680994994275051+0.0094904532804071i</v>
      </c>
      <c r="AT432">
        <f t="shared" si="312"/>
        <v>-40.431956898441669</v>
      </c>
      <c r="AU432" s="44">
        <f t="shared" si="313"/>
        <v>94.104269550163835</v>
      </c>
      <c r="AV432" s="42" t="str">
        <f t="shared" si="290"/>
        <v>-9.27431052732438E-06-0.000170214872679617i</v>
      </c>
      <c r="AW432" s="20">
        <f t="shared" si="314"/>
        <v>-75.36717605627436</v>
      </c>
      <c r="AX432" s="44">
        <f t="shared" si="315"/>
        <v>-93.118728347606606</v>
      </c>
    </row>
    <row r="433" spans="14:50" x14ac:dyDescent="0.3">
      <c r="N433" s="8">
        <v>15</v>
      </c>
      <c r="O433" s="35">
        <f t="shared" si="316"/>
        <v>141253.75446227577</v>
      </c>
      <c r="P433" s="34" t="str">
        <f t="shared" si="281"/>
        <v>545.10556621881</v>
      </c>
      <c r="Q433" s="4" t="str">
        <f t="shared" si="282"/>
        <v>1+18959.9553123519i</v>
      </c>
      <c r="R433" s="4">
        <f t="shared" si="291"/>
        <v>18959.95533872327</v>
      </c>
      <c r="S433" s="4">
        <f t="shared" si="292"/>
        <v>1.5707435840546</v>
      </c>
      <c r="T433" s="4" t="str">
        <f t="shared" si="283"/>
        <v>1+0.443761757310662i</v>
      </c>
      <c r="U433" s="4">
        <f t="shared" si="293"/>
        <v>1.0940404458937736</v>
      </c>
      <c r="V433" s="4">
        <f t="shared" si="294"/>
        <v>0.41765410621765764</v>
      </c>
      <c r="W433" t="str">
        <f t="shared" si="284"/>
        <v>1-0.460979713494314i</v>
      </c>
      <c r="X433" s="4">
        <f t="shared" si="295"/>
        <v>1.1011368199516807</v>
      </c>
      <c r="Y433" s="4">
        <f t="shared" si="296"/>
        <v>-0.4319470512182042</v>
      </c>
      <c r="Z433" t="str">
        <f t="shared" si="285"/>
        <v>-0.27696788158009+1.99624391673005i</v>
      </c>
      <c r="AA433" s="4">
        <f t="shared" si="297"/>
        <v>2.0153662154826089</v>
      </c>
      <c r="AB433" s="4">
        <f t="shared" si="298"/>
        <v>1.7086606999340992</v>
      </c>
      <c r="AC433" s="48" t="str">
        <f t="shared" si="299"/>
        <v>-0.0169871541443994+0.00260393629476823i</v>
      </c>
      <c r="AD433" s="20">
        <f t="shared" si="300"/>
        <v>-35.296720090634267</v>
      </c>
      <c r="AE433" s="44">
        <f t="shared" si="301"/>
        <v>171.28504978498196</v>
      </c>
      <c r="AF433" t="str">
        <f t="shared" si="286"/>
        <v>-0.979317078436135</v>
      </c>
      <c r="AG433" t="str">
        <f t="shared" si="302"/>
        <v>887523.514621324i</v>
      </c>
      <c r="AH433">
        <f t="shared" si="303"/>
        <v>887523.51462132402</v>
      </c>
      <c r="AI433">
        <f t="shared" si="304"/>
        <v>1.5707963267948966</v>
      </c>
      <c r="AJ433" t="str">
        <f t="shared" si="287"/>
        <v>-12191.7614178608+869.702042447729i</v>
      </c>
      <c r="AK433">
        <f t="shared" si="305"/>
        <v>12222.742250112162</v>
      </c>
      <c r="AL433">
        <f t="shared" si="306"/>
        <v>3.0703780621268191</v>
      </c>
      <c r="AM433" t="str">
        <f t="shared" si="288"/>
        <v>1+123472.271354119i</v>
      </c>
      <c r="AN433">
        <f t="shared" si="307"/>
        <v>123472.27135816851</v>
      </c>
      <c r="AO433">
        <f t="shared" si="308"/>
        <v>1.570788227810493</v>
      </c>
      <c r="AP433" t="str">
        <f t="shared" si="289"/>
        <v>1+834.272103744047i</v>
      </c>
      <c r="AQ433">
        <f t="shared" si="309"/>
        <v>834.27270306867752</v>
      </c>
      <c r="AR433">
        <f t="shared" si="310"/>
        <v>1.5695976776771901</v>
      </c>
      <c r="AS433" s="42" t="str">
        <f t="shared" si="311"/>
        <v>-0.000650495303729545+0.00927656404463394i</v>
      </c>
      <c r="AT433">
        <f t="shared" si="312"/>
        <v>-40.630954446569483</v>
      </c>
      <c r="AU433" s="44">
        <f t="shared" si="313"/>
        <v>94.011153957390434</v>
      </c>
      <c r="AV433" s="42" t="str">
        <f t="shared" si="290"/>
        <v>-0.0000131055178119026-0.000159276271687548i</v>
      </c>
      <c r="AW433" s="20">
        <f t="shared" si="314"/>
        <v>-75.927674537203728</v>
      </c>
      <c r="AX433" s="44">
        <f t="shared" si="315"/>
        <v>-94.703796257627587</v>
      </c>
    </row>
    <row r="434" spans="14:50" x14ac:dyDescent="0.3">
      <c r="N434" s="8">
        <v>16</v>
      </c>
      <c r="O434" s="35">
        <f t="shared" si="316"/>
        <v>144543.97707459307</v>
      </c>
      <c r="P434" s="34" t="str">
        <f t="shared" si="281"/>
        <v>545.10556621881</v>
      </c>
      <c r="Q434" s="4" t="str">
        <f t="shared" si="282"/>
        <v>1+19401.5894050859i</v>
      </c>
      <c r="R434" s="4">
        <f t="shared" si="291"/>
        <v>19401.58943085698</v>
      </c>
      <c r="S434" s="4">
        <f t="shared" si="292"/>
        <v>1.5707447846259415</v>
      </c>
      <c r="T434" s="4" t="str">
        <f t="shared" si="283"/>
        <v>1+0.454098296498193i</v>
      </c>
      <c r="U434" s="4">
        <f t="shared" si="293"/>
        <v>1.0982737649978538</v>
      </c>
      <c r="V434" s="4">
        <f t="shared" si="294"/>
        <v>0.42625684081900067</v>
      </c>
      <c r="W434" t="str">
        <f t="shared" si="284"/>
        <v>1-0.471717310402322i</v>
      </c>
      <c r="X434" s="4">
        <f t="shared" si="295"/>
        <v>1.1056750069225589</v>
      </c>
      <c r="Y434" s="4">
        <f t="shared" si="296"/>
        <v>-0.4407665509013467</v>
      </c>
      <c r="Z434" t="str">
        <f t="shared" si="285"/>
        <v>-0.33714952374659+2.04274241087295i</v>
      </c>
      <c r="AA434" s="4">
        <f t="shared" si="297"/>
        <v>2.0703783129036069</v>
      </c>
      <c r="AB434" s="4">
        <f t="shared" si="298"/>
        <v>1.7343691842945792</v>
      </c>
      <c r="AC434" s="48" t="str">
        <f t="shared" si="299"/>
        <v>-0.0162185692822208+0.00291830581097157i</v>
      </c>
      <c r="AD434" s="20">
        <f t="shared" si="300"/>
        <v>-35.661366015002876</v>
      </c>
      <c r="AE434" s="44">
        <f t="shared" si="301"/>
        <v>169.79957362144461</v>
      </c>
      <c r="AF434" t="str">
        <f t="shared" si="286"/>
        <v>-0.979317078436135</v>
      </c>
      <c r="AG434" t="str">
        <f t="shared" si="302"/>
        <v>908196.592996386i</v>
      </c>
      <c r="AH434">
        <f t="shared" si="303"/>
        <v>908196.592996386</v>
      </c>
      <c r="AI434">
        <f t="shared" si="304"/>
        <v>1.5707963267948966</v>
      </c>
      <c r="AJ434" t="str">
        <f t="shared" si="287"/>
        <v>-12766.3885602156+889.960005409021i</v>
      </c>
      <c r="AK434">
        <f t="shared" si="305"/>
        <v>12797.371045712138</v>
      </c>
      <c r="AL434">
        <f t="shared" si="306"/>
        <v>3.0719940698382722</v>
      </c>
      <c r="AM434" t="str">
        <f t="shared" si="288"/>
        <v>1+126348.310017657i</v>
      </c>
      <c r="AN434">
        <f t="shared" si="307"/>
        <v>126348.31002161432</v>
      </c>
      <c r="AO434">
        <f t="shared" si="308"/>
        <v>1.5707884121658855</v>
      </c>
      <c r="AP434" t="str">
        <f t="shared" si="289"/>
        <v>1+853.704797416605i</v>
      </c>
      <c r="AQ434">
        <f t="shared" si="309"/>
        <v>853.70538309895096</v>
      </c>
      <c r="AR434">
        <f t="shared" si="310"/>
        <v>1.5696249622369591</v>
      </c>
      <c r="AS434" s="42" t="str">
        <f t="shared" si="311"/>
        <v>-0.000621355177108196+0.00906740159762773i</v>
      </c>
      <c r="AT434">
        <f t="shared" si="312"/>
        <v>-40.829996896407017</v>
      </c>
      <c r="AU434" s="44">
        <f t="shared" si="313"/>
        <v>93.920137388770186</v>
      </c>
      <c r="AV434" s="42" t="str">
        <f t="shared" si="290"/>
        <v>-0.000016383958783974-0.000148873585444877i</v>
      </c>
      <c r="AW434" s="20">
        <f t="shared" si="314"/>
        <v>-76.491362911409894</v>
      </c>
      <c r="AX434" s="44">
        <f t="shared" si="315"/>
        <v>-96.280288989785191</v>
      </c>
    </row>
    <row r="435" spans="14:50" x14ac:dyDescent="0.3">
      <c r="N435" s="8">
        <v>17</v>
      </c>
      <c r="O435" s="35">
        <f t="shared" si="316"/>
        <v>147910.83881682079</v>
      </c>
      <c r="P435" s="34" t="str">
        <f t="shared" si="281"/>
        <v>545.10556621881</v>
      </c>
      <c r="Q435" s="4" t="str">
        <f t="shared" si="282"/>
        <v>1+19853.5104773329i</v>
      </c>
      <c r="R435" s="4">
        <f t="shared" si="291"/>
        <v>19853.510502517365</v>
      </c>
      <c r="S435" s="4">
        <f t="shared" si="292"/>
        <v>1.5707459578689429</v>
      </c>
      <c r="T435" s="4" t="str">
        <f t="shared" si="283"/>
        <v>1+0.464675604613228i</v>
      </c>
      <c r="U435" s="4">
        <f t="shared" si="293"/>
        <v>1.1026891753901773</v>
      </c>
      <c r="V435" s="4">
        <f t="shared" si="294"/>
        <v>0.43499091661022538</v>
      </c>
      <c r="W435" t="str">
        <f t="shared" si="284"/>
        <v>1-0.48270501807222i</v>
      </c>
      <c r="X435" s="4">
        <f t="shared" si="295"/>
        <v>1.1104071930927419</v>
      </c>
      <c r="Y435" s="4">
        <f t="shared" si="296"/>
        <v>-0.44971614079664041</v>
      </c>
      <c r="Z435" t="str">
        <f t="shared" si="285"/>
        <v>-0.40016743932772+2.09032399408098i</v>
      </c>
      <c r="AA435" s="4">
        <f t="shared" si="297"/>
        <v>2.1282829651455573</v>
      </c>
      <c r="AB435" s="4">
        <f t="shared" si="298"/>
        <v>1.7599458009310747</v>
      </c>
      <c r="AC435" s="48" t="str">
        <f t="shared" si="299"/>
        <v>-0.0154690950712768+0.00319737873044765i</v>
      </c>
      <c r="AD435" s="20">
        <f t="shared" si="300"/>
        <v>-36.029013687708002</v>
      </c>
      <c r="AE435" s="44">
        <f t="shared" si="301"/>
        <v>168.32172616348825</v>
      </c>
      <c r="AF435" t="str">
        <f t="shared" si="286"/>
        <v>-0.979317078436135</v>
      </c>
      <c r="AG435" t="str">
        <f t="shared" si="302"/>
        <v>929351.209226456i</v>
      </c>
      <c r="AH435">
        <f t="shared" si="303"/>
        <v>929351.20922645601</v>
      </c>
      <c r="AI435">
        <f t="shared" si="304"/>
        <v>1.5707963267948966</v>
      </c>
      <c r="AJ435" t="str">
        <f t="shared" si="287"/>
        <v>-13368.0970454602+910.689836945191i</v>
      </c>
      <c r="AK435">
        <f t="shared" si="305"/>
        <v>13399.081110134268</v>
      </c>
      <c r="AL435">
        <f t="shared" si="306"/>
        <v>3.0735736275253198</v>
      </c>
      <c r="AM435" t="str">
        <f t="shared" si="288"/>
        <v>1+129291.340227585i</v>
      </c>
      <c r="AN435">
        <f t="shared" si="307"/>
        <v>129291.34023145222</v>
      </c>
      <c r="AO435">
        <f t="shared" si="308"/>
        <v>1.5707885923248368</v>
      </c>
      <c r="AP435" t="str">
        <f t="shared" si="289"/>
        <v>1+873.590136672871i</v>
      </c>
      <c r="AQ435">
        <f t="shared" si="309"/>
        <v>873.59070902346787</v>
      </c>
      <c r="AR435">
        <f t="shared" si="310"/>
        <v>1.5696516257260082</v>
      </c>
      <c r="AS435" s="42" t="str">
        <f t="shared" si="311"/>
        <v>-0.000593514572920256+0.00886286771989574i</v>
      </c>
      <c r="AT435">
        <f t="shared" si="312"/>
        <v>-41.029082245968155</v>
      </c>
      <c r="AU435" s="44">
        <f t="shared" si="313"/>
        <v>93.831173427542026</v>
      </c>
      <c r="AV435" s="42" t="str">
        <f t="shared" si="290"/>
        <v>-0.000019156811383674-0.000138998234234883i</v>
      </c>
      <c r="AW435" s="20">
        <f t="shared" si="314"/>
        <v>-77.058095933676185</v>
      </c>
      <c r="AX435" s="44">
        <f t="shared" si="315"/>
        <v>-97.847100408969737</v>
      </c>
    </row>
    <row r="436" spans="14:50" x14ac:dyDescent="0.3">
      <c r="N436" s="8">
        <v>18</v>
      </c>
      <c r="O436" s="35">
        <f t="shared" si="316"/>
        <v>151356.12484362084</v>
      </c>
      <c r="P436" s="34" t="str">
        <f t="shared" si="281"/>
        <v>545.10556621881</v>
      </c>
      <c r="Q436" s="4" t="str">
        <f t="shared" si="282"/>
        <v>1+20315.9581436273i</v>
      </c>
      <c r="R436" s="4">
        <f t="shared" si="291"/>
        <v>20315.958168238496</v>
      </c>
      <c r="S436" s="4">
        <f t="shared" si="292"/>
        <v>1.5707471044056731</v>
      </c>
      <c r="T436" s="4" t="str">
        <f t="shared" si="283"/>
        <v>1+0.475499289884539i</v>
      </c>
      <c r="U436" s="4">
        <f t="shared" si="293"/>
        <v>1.1072938068465392</v>
      </c>
      <c r="V436" s="4">
        <f t="shared" si="294"/>
        <v>0.4438556333182998</v>
      </c>
      <c r="W436" t="str">
        <f t="shared" si="284"/>
        <v>1-0.493948662332058i</v>
      </c>
      <c r="X436" s="4">
        <f t="shared" si="295"/>
        <v>1.1153408810850742</v>
      </c>
      <c r="Y436" s="4">
        <f t="shared" si="296"/>
        <v>-0.45879483054762005</v>
      </c>
      <c r="Z436" t="str">
        <f t="shared" si="285"/>
        <v>-0.46615529777138+2.13901389473938i</v>
      </c>
      <c r="AA436" s="4">
        <f t="shared" si="297"/>
        <v>2.1892193137117295</v>
      </c>
      <c r="AB436" s="4">
        <f t="shared" si="298"/>
        <v>1.7853713389431278</v>
      </c>
      <c r="AC436" s="48" t="str">
        <f t="shared" si="299"/>
        <v>-0.0147397136719279+0.00344288889003181i</v>
      </c>
      <c r="AD436" s="20">
        <f t="shared" si="300"/>
        <v>-36.399509446351423</v>
      </c>
      <c r="AE436" s="44">
        <f t="shared" si="301"/>
        <v>166.85262469954444</v>
      </c>
      <c r="AF436" t="str">
        <f t="shared" si="286"/>
        <v>-0.979317078436135</v>
      </c>
      <c r="AG436" t="str">
        <f t="shared" si="302"/>
        <v>950998.579769078i</v>
      </c>
      <c r="AH436">
        <f t="shared" si="303"/>
        <v>950998.57976907794</v>
      </c>
      <c r="AI436">
        <f t="shared" si="304"/>
        <v>1.5707963267948966</v>
      </c>
      <c r="AJ436" t="str">
        <f t="shared" si="287"/>
        <v>-13998.1631779643+931.902528287317i</v>
      </c>
      <c r="AK436">
        <f t="shared" si="305"/>
        <v>14029.148751052</v>
      </c>
      <c r="AL436">
        <f t="shared" si="306"/>
        <v>3.0751175426769355</v>
      </c>
      <c r="AM436" t="str">
        <f t="shared" si="288"/>
        <v>1+132302.922417474i</v>
      </c>
      <c r="AN436">
        <f t="shared" si="307"/>
        <v>132302.9224212532</v>
      </c>
      <c r="AO436">
        <f t="shared" si="308"/>
        <v>1.5707887683828698</v>
      </c>
      <c r="AP436" t="str">
        <f t="shared" si="289"/>
        <v>1+893.938664982936i</v>
      </c>
      <c r="AQ436">
        <f t="shared" si="309"/>
        <v>893.93922430525083</v>
      </c>
      <c r="AR436">
        <f t="shared" si="310"/>
        <v>1.5696776822815204</v>
      </c>
      <c r="AS436" s="42" t="str">
        <f t="shared" si="311"/>
        <v>-0.000566916051909305+0.00866286581245387i</v>
      </c>
      <c r="AT436">
        <f t="shared" si="312"/>
        <v>-41.228208581717112</v>
      </c>
      <c r="AU436" s="44">
        <f t="shared" si="313"/>
        <v>93.744216623469882</v>
      </c>
      <c r="AV436" s="42" t="str">
        <f t="shared" si="290"/>
        <v>-0.0000214691041803708-0.000129639990630602i</v>
      </c>
      <c r="AW436" s="20">
        <f t="shared" si="314"/>
        <v>-77.627718028068557</v>
      </c>
      <c r="AX436" s="44">
        <f t="shared" si="315"/>
        <v>-99.403158676985669</v>
      </c>
    </row>
    <row r="437" spans="14:50" x14ac:dyDescent="0.3">
      <c r="N437" s="8">
        <v>19</v>
      </c>
      <c r="O437" s="35">
        <f t="shared" si="316"/>
        <v>154881.66189124843</v>
      </c>
      <c r="P437" s="34" t="str">
        <f t="shared" si="281"/>
        <v>545.10556621881</v>
      </c>
      <c r="Q437" s="4" t="str">
        <f t="shared" si="282"/>
        <v>1+20789.177599843i</v>
      </c>
      <c r="R437" s="4">
        <f t="shared" si="291"/>
        <v>20789.177623893975</v>
      </c>
      <c r="S437" s="4">
        <f t="shared" si="292"/>
        <v>1.5707482248440414</v>
      </c>
      <c r="T437" s="4" t="str">
        <f t="shared" si="283"/>
        <v>1+0.486575091173324i</v>
      </c>
      <c r="U437" s="4">
        <f t="shared" si="293"/>
        <v>1.1120950136343246</v>
      </c>
      <c r="V437" s="4">
        <f t="shared" si="294"/>
        <v>0.45285011717984358</v>
      </c>
      <c r="W437" t="str">
        <f t="shared" si="284"/>
        <v>1-0.505454204710848i</v>
      </c>
      <c r="X437" s="4">
        <f t="shared" si="295"/>
        <v>1.1204838031225064</v>
      </c>
      <c r="Y437" s="4">
        <f t="shared" si="296"/>
        <v>-0.46800144651053005</v>
      </c>
      <c r="Z437" t="str">
        <f t="shared" si="285"/>
        <v>-0.53525306817248+2.18883792887797i</v>
      </c>
      <c r="AA437" s="4">
        <f t="shared" si="297"/>
        <v>2.2533324934156642</v>
      </c>
      <c r="AB437" s="4">
        <f t="shared" si="298"/>
        <v>1.8106272912670469</v>
      </c>
      <c r="AC437" s="48" t="str">
        <f t="shared" si="299"/>
        <v>-0.0140312777428478+0.00365661402164949i</v>
      </c>
      <c r="AD437" s="20">
        <f t="shared" si="300"/>
        <v>-36.772689918554846</v>
      </c>
      <c r="AE437" s="44">
        <f t="shared" si="301"/>
        <v>165.39334675330298</v>
      </c>
      <c r="AF437" t="str">
        <f t="shared" si="286"/>
        <v>-0.979317078436135</v>
      </c>
      <c r="AG437" t="str">
        <f t="shared" si="302"/>
        <v>973150.182346649i</v>
      </c>
      <c r="AH437">
        <f t="shared" si="303"/>
        <v>973150.182346649</v>
      </c>
      <c r="AI437">
        <f t="shared" si="304"/>
        <v>1.5707963267948966</v>
      </c>
      <c r="AJ437" t="str">
        <f t="shared" si="287"/>
        <v>-14657.9234124694+953.60932668513i</v>
      </c>
      <c r="AK437">
        <f t="shared" si="305"/>
        <v>14688.910426364491</v>
      </c>
      <c r="AL437">
        <f t="shared" si="306"/>
        <v>3.0766266058698952</v>
      </c>
      <c r="AM437" t="str">
        <f t="shared" si="288"/>
        <v>1+135384.653368066i</v>
      </c>
      <c r="AN437">
        <f t="shared" si="307"/>
        <v>135384.65337175917</v>
      </c>
      <c r="AO437">
        <f t="shared" si="308"/>
        <v>1.5707889404333326</v>
      </c>
      <c r="AP437" t="str">
        <f t="shared" si="289"/>
        <v>1+914.761171405852i</v>
      </c>
      <c r="AQ437">
        <f t="shared" si="309"/>
        <v>914.76171799644442</v>
      </c>
      <c r="AR437">
        <f t="shared" si="310"/>
        <v>1.5697031457188844</v>
      </c>
      <c r="AS437" s="42" t="str">
        <f t="shared" si="311"/>
        <v>-0.000541504668608701+0.00846730089987136i</v>
      </c>
      <c r="AT437">
        <f t="shared" si="312"/>
        <v>-41.427374074731311</v>
      </c>
      <c r="AU437" s="44">
        <f t="shared" si="313"/>
        <v>93.659222476753015</v>
      </c>
      <c r="AV437" s="42" t="str">
        <f t="shared" si="290"/>
        <v>-0.0000233636487916975-0.000120787124222383i</v>
      </c>
      <c r="AW437" s="20">
        <f t="shared" si="314"/>
        <v>-78.200063993286193</v>
      </c>
      <c r="AX437" s="44">
        <f t="shared" si="315"/>
        <v>-100.94743076994402</v>
      </c>
    </row>
    <row r="438" spans="14:50" x14ac:dyDescent="0.3">
      <c r="N438" s="8">
        <v>20</v>
      </c>
      <c r="O438" s="35">
        <f t="shared" si="316"/>
        <v>158489.31924611164</v>
      </c>
      <c r="P438" s="34" t="str">
        <f t="shared" si="281"/>
        <v>545.10556621881</v>
      </c>
      <c r="Q438" s="4" t="str">
        <f t="shared" si="282"/>
        <v>1+21273.4197531993i</v>
      </c>
      <c r="R438" s="4">
        <f t="shared" si="291"/>
        <v>21273.419776702809</v>
      </c>
      <c r="S438" s="4">
        <f t="shared" si="292"/>
        <v>1.5707493197781186</v>
      </c>
      <c r="T438" s="4" t="str">
        <f t="shared" si="283"/>
        <v>1+0.497908881016031i</v>
      </c>
      <c r="U438" s="4">
        <f t="shared" si="293"/>
        <v>1.1171003776718706</v>
      </c>
      <c r="V438" s="4">
        <f t="shared" si="294"/>
        <v>0.46197331491756138</v>
      </c>
      <c r="W438" t="str">
        <f t="shared" si="284"/>
        <v>1-0.517227745599452i</v>
      </c>
      <c r="X438" s="4">
        <f t="shared" si="295"/>
        <v>1.1258439238268738</v>
      </c>
      <c r="Y438" s="4">
        <f t="shared" si="296"/>
        <v>-0.47733462626236667</v>
      </c>
      <c r="Z438" t="str">
        <f t="shared" si="285"/>
        <v>-0.60760731616614+2.23982251385915i</v>
      </c>
      <c r="AA438" s="4">
        <f t="shared" si="297"/>
        <v>2.3207739106274317</v>
      </c>
      <c r="AB438" s="4">
        <f t="shared" si="298"/>
        <v>1.8356959244780533</v>
      </c>
      <c r="AC438" s="48" t="str">
        <f t="shared" si="299"/>
        <v>-0.0133445083332802+0.00384036172804442i</v>
      </c>
      <c r="AD438" s="20">
        <f t="shared" si="300"/>
        <v>-37.148382796696161</v>
      </c>
      <c r="AE438" s="44">
        <f t="shared" si="301"/>
        <v>163.94492605386677</v>
      </c>
      <c r="AF438" t="str">
        <f t="shared" si="286"/>
        <v>-0.979317078436135</v>
      </c>
      <c r="AG438" t="str">
        <f t="shared" si="302"/>
        <v>995817.762032063i</v>
      </c>
      <c r="AH438">
        <f t="shared" si="303"/>
        <v>995817.76203206298</v>
      </c>
      <c r="AI438">
        <f t="shared" si="304"/>
        <v>1.5707963267948966</v>
      </c>
      <c r="AJ438" t="str">
        <f t="shared" si="287"/>
        <v>-15348.7771888884+975.821741370462i</v>
      </c>
      <c r="AK438">
        <f t="shared" si="305"/>
        <v>15379.765579002566</v>
      </c>
      <c r="AL438">
        <f t="shared" si="306"/>
        <v>3.0781015910572691</v>
      </c>
      <c r="AM438" t="str">
        <f t="shared" si="288"/>
        <v>1+138538.167053901i</v>
      </c>
      <c r="AN438">
        <f t="shared" si="307"/>
        <v>138538.16705751012</v>
      </c>
      <c r="AO438">
        <f t="shared" si="308"/>
        <v>1.570789108567449</v>
      </c>
      <c r="AP438" t="str">
        <f t="shared" si="289"/>
        <v>1+936.068696310141i</v>
      </c>
      <c r="AQ438">
        <f t="shared" si="309"/>
        <v>936.06923045881967</v>
      </c>
      <c r="AR438">
        <f t="shared" si="310"/>
        <v>1.5697280295390199</v>
      </c>
      <c r="AS438" s="42" t="str">
        <f t="shared" si="311"/>
        <v>-0.000517227867031206+0.00827607963070149i</v>
      </c>
      <c r="AT438">
        <f t="shared" si="312"/>
        <v>-41.626576977025458</v>
      </c>
      <c r="AU438" s="44">
        <f t="shared" si="313"/>
        <v>93.576147421919345</v>
      </c>
      <c r="AV438" s="42" t="str">
        <f t="shared" si="290"/>
        <v>-0.0000248809878901913-0.000112426555704011i</v>
      </c>
      <c r="AW438" s="20">
        <f t="shared" si="314"/>
        <v>-78.774959773721633</v>
      </c>
      <c r="AX438" s="44">
        <f t="shared" si="315"/>
        <v>-102.4789265242139</v>
      </c>
    </row>
    <row r="439" spans="14:50" x14ac:dyDescent="0.3">
      <c r="N439" s="8">
        <v>21</v>
      </c>
      <c r="O439" s="35">
        <f t="shared" si="316"/>
        <v>162181.00973589328</v>
      </c>
      <c r="P439" s="34" t="str">
        <f t="shared" si="281"/>
        <v>545.10556621881</v>
      </c>
      <c r="Q439" s="4" t="str">
        <f t="shared" si="282"/>
        <v>1+21768.9413552958i</v>
      </c>
      <c r="R439" s="4">
        <f t="shared" si="291"/>
        <v>21768.941378264302</v>
      </c>
      <c r="S439" s="4">
        <f t="shared" si="292"/>
        <v>1.5707503897884536</v>
      </c>
      <c r="T439" s="4" t="str">
        <f t="shared" si="283"/>
        <v>1+0.509506668738055i</v>
      </c>
      <c r="U439" s="4">
        <f t="shared" si="293"/>
        <v>1.1223177114741396</v>
      </c>
      <c r="V439" s="4">
        <f t="shared" si="294"/>
        <v>0.47122398802120041</v>
      </c>
      <c r="W439" t="str">
        <f t="shared" si="284"/>
        <v>1-0.52927552748509i</v>
      </c>
      <c r="X439" s="4">
        <f t="shared" si="295"/>
        <v>1.1314294427822797</v>
      </c>
      <c r="Y439" s="4">
        <f t="shared" si="296"/>
        <v>-0.48679281350079606</v>
      </c>
      <c r="Z439" t="str">
        <f t="shared" si="285"/>
        <v>-0.68337151481304+2.29199468238472i</v>
      </c>
      <c r="AA439" s="4">
        <f t="shared" si="297"/>
        <v>2.3917015389336735</v>
      </c>
      <c r="AB439" s="4">
        <f t="shared" si="298"/>
        <v>1.8605603397442623</v>
      </c>
      <c r="AC439" s="48" t="str">
        <f t="shared" si="299"/>
        <v>-0.0126799945416972+0.00399595563002167i</v>
      </c>
      <c r="AD439" s="20">
        <f t="shared" si="300"/>
        <v>-37.526407667911784</v>
      </c>
      <c r="AE439" s="44">
        <f t="shared" si="301"/>
        <v>162.50834900786336</v>
      </c>
      <c r="AF439" t="str">
        <f t="shared" si="286"/>
        <v>-0.979317078436135</v>
      </c>
      <c r="AG439" t="str">
        <f t="shared" si="302"/>
        <v>1019013.33747611i</v>
      </c>
      <c r="AH439">
        <f t="shared" si="303"/>
        <v>1019013.33747611</v>
      </c>
      <c r="AI439">
        <f t="shared" si="304"/>
        <v>1.5707963267948966</v>
      </c>
      <c r="AJ439" t="str">
        <f t="shared" si="287"/>
        <v>-16072.1899007054+998.551549659596i</v>
      </c>
      <c r="AK439">
        <f t="shared" si="305"/>
        <v>16103.179605334602</v>
      </c>
      <c r="AL439">
        <f t="shared" si="306"/>
        <v>3.0795432558566218</v>
      </c>
      <c r="AM439" t="str">
        <f t="shared" si="288"/>
        <v>1+141765.135509676i</v>
      </c>
      <c r="AN439">
        <f t="shared" si="307"/>
        <v>141765.13551320296</v>
      </c>
      <c r="AO439">
        <f t="shared" si="308"/>
        <v>1.5707892728743653</v>
      </c>
      <c r="AP439" t="str">
        <f t="shared" si="289"/>
        <v>1+957.872537227546i</v>
      </c>
      <c r="AQ439">
        <f t="shared" si="309"/>
        <v>957.87305921752318</v>
      </c>
      <c r="AR439">
        <f t="shared" si="310"/>
        <v>1.5697523469355341</v>
      </c>
      <c r="AS439" s="42" t="str">
        <f t="shared" si="311"/>
        <v>-0.000494035380370313+0.00808911027551676i</v>
      </c>
      <c r="AT439">
        <f t="shared" si="312"/>
        <v>-41.82581561802828</v>
      </c>
      <c r="AU439" s="44">
        <f t="shared" si="313"/>
        <v>93.494948811725749</v>
      </c>
      <c r="AV439" s="42" t="str">
        <f t="shared" si="290"/>
        <v>-0.0000260593598208165-0.00010454401760036i</v>
      </c>
      <c r="AW439" s="20">
        <f t="shared" si="314"/>
        <v>-79.352223285940056</v>
      </c>
      <c r="AX439" s="44">
        <f t="shared" si="315"/>
        <v>-103.99670218041089</v>
      </c>
    </row>
    <row r="440" spans="14:50" x14ac:dyDescent="0.3">
      <c r="N440" s="8">
        <v>22</v>
      </c>
      <c r="O440" s="35">
        <f t="shared" si="316"/>
        <v>165958.69074375604</v>
      </c>
      <c r="P440" s="34" t="str">
        <f t="shared" si="281"/>
        <v>545.10556621881</v>
      </c>
      <c r="Q440" s="4" t="str">
        <f t="shared" si="282"/>
        <v>1+22276.005138245i</v>
      </c>
      <c r="R440" s="4">
        <f t="shared" si="291"/>
        <v>22276.005160690675</v>
      </c>
      <c r="S440" s="4">
        <f t="shared" si="292"/>
        <v>1.5707514354423797</v>
      </c>
      <c r="T440" s="4" t="str">
        <f t="shared" si="283"/>
        <v>1+0.521374603639965i</v>
      </c>
      <c r="U440" s="4">
        <f t="shared" si="293"/>
        <v>1.1277550608712561</v>
      </c>
      <c r="V440" s="4">
        <f t="shared" si="294"/>
        <v>0.48060070738538507</v>
      </c>
      <c r="W440" t="str">
        <f t="shared" si="284"/>
        <v>1-0.541603938261194i</v>
      </c>
      <c r="X440" s="4">
        <f t="shared" si="295"/>
        <v>1.1372487968514344</v>
      </c>
      <c r="Y440" s="4">
        <f t="shared" si="296"/>
        <v>-0.49637425339047864</v>
      </c>
      <c r="Z440" t="str">
        <f t="shared" si="285"/>
        <v>-0.76270637013643+2.34538209682905i</v>
      </c>
      <c r="AA440" s="4">
        <f t="shared" si="297"/>
        <v>2.4662802328958726</v>
      </c>
      <c r="AB440" s="4">
        <f t="shared" si="298"/>
        <v>1.8852045245798434</v>
      </c>
      <c r="AC440" s="48" t="str">
        <f t="shared" si="299"/>
        <v>-0.012038194850814+0.00412522192417137i</v>
      </c>
      <c r="AD440" s="20">
        <f t="shared" si="300"/>
        <v>-37.906576888710887</v>
      </c>
      <c r="AE440" s="44">
        <f t="shared" si="301"/>
        <v>161.08455169359664</v>
      </c>
      <c r="AF440" t="str">
        <f t="shared" si="286"/>
        <v>-0.979317078436135</v>
      </c>
      <c r="AG440" t="str">
        <f t="shared" si="302"/>
        <v>1042749.20727993i</v>
      </c>
      <c r="AH440">
        <f t="shared" si="303"/>
        <v>1042749.20727993</v>
      </c>
      <c r="AI440">
        <f t="shared" si="304"/>
        <v>1.5707963267948966</v>
      </c>
      <c r="AJ440" t="str">
        <f t="shared" si="287"/>
        <v>-16829.6960032721+1021.81080319775i</v>
      </c>
      <c r="AK440">
        <f t="shared" si="305"/>
        <v>16860.686963468732</v>
      </c>
      <c r="AL440">
        <f t="shared" si="306"/>
        <v>3.0809523418375226</v>
      </c>
      <c r="AM440" t="str">
        <f t="shared" si="288"/>
        <v>1+145067.269716784i</v>
      </c>
      <c r="AN440">
        <f t="shared" si="307"/>
        <v>145067.26972023069</v>
      </c>
      <c r="AO440">
        <f t="shared" si="308"/>
        <v>1.5707894334411998</v>
      </c>
      <c r="AP440" t="str">
        <f t="shared" si="289"/>
        <v>1+980.184254843137i</v>
      </c>
      <c r="AQ440">
        <f t="shared" si="309"/>
        <v>980.18476495117795</v>
      </c>
      <c r="AR440">
        <f t="shared" si="310"/>
        <v>1.5697761108017176</v>
      </c>
      <c r="AS440" s="42" t="str">
        <f t="shared" si="311"/>
        <v>-0.000471879134590832+0.00790630272274891i</v>
      </c>
      <c r="AT440">
        <f t="shared" si="312"/>
        <v>-42.025088401208208</v>
      </c>
      <c r="AU440" s="44">
        <f t="shared" si="313"/>
        <v>93.415584901088224</v>
      </c>
      <c r="AV440" s="42" t="str">
        <f t="shared" si="290"/>
        <v>-0.0000269346803627817-0.0000971242188775458i</v>
      </c>
      <c r="AW440" s="20">
        <f t="shared" si="314"/>
        <v>-79.931665289919081</v>
      </c>
      <c r="AX440" s="44">
        <f t="shared" si="315"/>
        <v>-105.49986340531515</v>
      </c>
    </row>
    <row r="441" spans="14:50" x14ac:dyDescent="0.3">
      <c r="N441" s="8">
        <v>23</v>
      </c>
      <c r="O441" s="35">
        <f t="shared" si="316"/>
        <v>169824.36524617471</v>
      </c>
      <c r="P441" s="34" t="str">
        <f t="shared" si="281"/>
        <v>545.10556621881</v>
      </c>
      <c r="Q441" s="4" t="str">
        <f t="shared" si="282"/>
        <v>1+22794.879953976i</v>
      </c>
      <c r="R441" s="4">
        <f t="shared" si="291"/>
        <v>22794.87997591075</v>
      </c>
      <c r="S441" s="4">
        <f t="shared" si="292"/>
        <v>1.5707524572943168</v>
      </c>
      <c r="T441" s="4" t="str">
        <f t="shared" si="283"/>
        <v>1+0.53351897825793i</v>
      </c>
      <c r="U441" s="4">
        <f t="shared" si="293"/>
        <v>1.1334207074874649</v>
      </c>
      <c r="V441" s="4">
        <f t="shared" si="294"/>
        <v>0.49010184835811593</v>
      </c>
      <c r="W441" t="str">
        <f t="shared" si="284"/>
        <v>1-0.554219514614336i</v>
      </c>
      <c r="X441" s="4">
        <f t="shared" si="295"/>
        <v>1.1433106622346134</v>
      </c>
      <c r="Y441" s="4">
        <f t="shared" si="296"/>
        <v>-0.50607698841102122</v>
      </c>
      <c r="Z441" t="str">
        <f t="shared" si="285"/>
        <v>-0.84578016200102+2.40001306390589i</v>
      </c>
      <c r="AA441" s="4">
        <f t="shared" si="297"/>
        <v>2.5446820605634426</v>
      </c>
      <c r="AB441" s="4">
        <f t="shared" si="298"/>
        <v>1.9096133952244465</v>
      </c>
      <c r="AC441" s="48" t="str">
        <f t="shared" si="299"/>
        <v>-0.0114194400153895+0.00422997656511035i</v>
      </c>
      <c r="AD441" s="20">
        <f t="shared" si="300"/>
        <v>-38.288696493435594</v>
      </c>
      <c r="AE441" s="44">
        <f t="shared" si="301"/>
        <v>159.67441738706233</v>
      </c>
      <c r="AF441" t="str">
        <f t="shared" si="286"/>
        <v>-0.979317078436135</v>
      </c>
      <c r="AG441" t="str">
        <f t="shared" si="302"/>
        <v>1067037.95651586i</v>
      </c>
      <c r="AH441">
        <f t="shared" si="303"/>
        <v>1067037.95651586</v>
      </c>
      <c r="AI441">
        <f t="shared" si="304"/>
        <v>1.5707963267948966</v>
      </c>
      <c r="AJ441" t="str">
        <f t="shared" si="287"/>
        <v>-17622.9022685923+1045.61183434903i</v>
      </c>
      <c r="AK441">
        <f t="shared" si="305"/>
        <v>17653.894428042964</v>
      </c>
      <c r="AL441">
        <f t="shared" si="306"/>
        <v>3.0823295748080066</v>
      </c>
      <c r="AM441" t="str">
        <f t="shared" si="288"/>
        <v>1+148446.320510486i</v>
      </c>
      <c r="AN441">
        <f t="shared" si="307"/>
        <v>148446.32051385421</v>
      </c>
      <c r="AO441">
        <f t="shared" si="308"/>
        <v>1.5707895903530869</v>
      </c>
      <c r="AP441" t="str">
        <f t="shared" si="289"/>
        <v>1+1003.01567912491i</v>
      </c>
      <c r="AQ441">
        <f t="shared" si="309"/>
        <v>1003.0161776214801</v>
      </c>
      <c r="AR441">
        <f t="shared" si="310"/>
        <v>1.5697993337373797</v>
      </c>
      <c r="AS441" s="42" t="str">
        <f t="shared" si="311"/>
        <v>-0.000450713155787215+0.00772756847252313i</v>
      </c>
      <c r="AT441">
        <f t="shared" si="312"/>
        <v>-42.224393800841611</v>
      </c>
      <c r="AU441" s="44">
        <f t="shared" si="313"/>
        <v>93.338014831063489</v>
      </c>
      <c r="AV441" s="42" t="str">
        <f t="shared" si="290"/>
        <v>-0.0000275405416973994-0.0000901510107233598i</v>
      </c>
      <c r="AW441" s="20">
        <f t="shared" si="314"/>
        <v>-80.513090294277205</v>
      </c>
      <c r="AX441" s="44">
        <f t="shared" si="315"/>
        <v>-106.98756778187415</v>
      </c>
    </row>
    <row r="442" spans="14:50" x14ac:dyDescent="0.3">
      <c r="N442" s="8">
        <v>24</v>
      </c>
      <c r="O442" s="35">
        <f t="shared" si="316"/>
        <v>173780.0828749378</v>
      </c>
      <c r="P442" s="34" t="str">
        <f t="shared" si="281"/>
        <v>545.10556621881</v>
      </c>
      <c r="Q442" s="4" t="str">
        <f t="shared" si="282"/>
        <v>1+23325.8409167848i</v>
      </c>
      <c r="R442" s="4">
        <f t="shared" si="291"/>
        <v>23325.840938220252</v>
      </c>
      <c r="S442" s="4">
        <f t="shared" si="292"/>
        <v>1.5707534558860641</v>
      </c>
      <c r="T442" s="4" t="str">
        <f t="shared" si="283"/>
        <v>1+0.54594623170013i</v>
      </c>
      <c r="U442" s="4">
        <f t="shared" si="293"/>
        <v>1.1393231709693137</v>
      </c>
      <c r="V442" s="4">
        <f t="shared" si="294"/>
        <v>0.49972558625480623</v>
      </c>
      <c r="W442" t="str">
        <f t="shared" si="284"/>
        <v>1-0.567128945490094i</v>
      </c>
      <c r="X442" s="4">
        <f t="shared" si="295"/>
        <v>1.1496239562625277</v>
      </c>
      <c r="Y442" s="4">
        <f t="shared" si="296"/>
        <v>-0.51589885476204111</v>
      </c>
      <c r="Z442" t="str">
        <f t="shared" si="285"/>
        <v>-0.9327691010573+2.45591654967717i</v>
      </c>
      <c r="AA442" s="4">
        <f t="shared" si="297"/>
        <v>2.6270866553780561</v>
      </c>
      <c r="AB442" s="4">
        <f t="shared" si="298"/>
        <v>1.9337728296481946</v>
      </c>
      <c r="AC442" s="48" t="str">
        <f t="shared" si="299"/>
        <v>-0.0108239373518727+0.00431201325681825i</v>
      </c>
      <c r="AD442" s="20">
        <f t="shared" si="300"/>
        <v>-38.67256712593263</v>
      </c>
      <c r="AE442" s="44">
        <f t="shared" si="301"/>
        <v>158.27877461983118</v>
      </c>
      <c r="AF442" t="str">
        <f t="shared" si="286"/>
        <v>-0.979317078436135</v>
      </c>
      <c r="AG442" t="str">
        <f t="shared" si="302"/>
        <v>1091892.46340026i</v>
      </c>
      <c r="AH442">
        <f t="shared" si="303"/>
        <v>1091892.4634002601</v>
      </c>
      <c r="AI442">
        <f t="shared" si="304"/>
        <v>1.5707963267948966</v>
      </c>
      <c r="AJ442" t="str">
        <f t="shared" si="287"/>
        <v>-18453.4911935022+1069.96726273518i</v>
      </c>
      <c r="AK442">
        <f t="shared" si="305"/>
        <v>18484.484498410773</v>
      </c>
      <c r="AL442">
        <f t="shared" si="306"/>
        <v>3.0836756650996655</v>
      </c>
      <c r="AM442" t="str">
        <f t="shared" si="288"/>
        <v>1+151904.079508244i</v>
      </c>
      <c r="AN442">
        <f t="shared" si="307"/>
        <v>151904.07951153556</v>
      </c>
      <c r="AO442">
        <f t="shared" si="308"/>
        <v>1.5707897436932234</v>
      </c>
      <c r="AP442" t="str">
        <f t="shared" si="289"/>
        <v>1+1026.37891559625i</v>
      </c>
      <c r="AQ442">
        <f t="shared" si="309"/>
        <v>1026.3794027456584</v>
      </c>
      <c r="AR442">
        <f t="shared" si="310"/>
        <v>1.5698220280555273</v>
      </c>
      <c r="AS442" s="42" t="str">
        <f t="shared" si="311"/>
        <v>-0.000430493481188719+0.00755282062866443i</v>
      </c>
      <c r="AT442">
        <f t="shared" si="312"/>
        <v>-42.423730358916892</v>
      </c>
      <c r="AU442" s="44">
        <f t="shared" si="313"/>
        <v>93.262198612899311</v>
      </c>
      <c r="AV442" s="42" t="str">
        <f t="shared" si="290"/>
        <v>-0.0000279082282063951-0.0000836075509124552i</v>
      </c>
      <c r="AW442" s="20">
        <f t="shared" si="314"/>
        <v>-81.096297484849515</v>
      </c>
      <c r="AX442" s="44">
        <f t="shared" si="315"/>
        <v>-108.45902676726948</v>
      </c>
    </row>
    <row r="443" spans="14:50" x14ac:dyDescent="0.3">
      <c r="N443" s="8">
        <v>25</v>
      </c>
      <c r="O443" s="35">
        <f t="shared" si="316"/>
        <v>177827.94100389251</v>
      </c>
      <c r="P443" s="34" t="str">
        <f t="shared" si="281"/>
        <v>545.10556621881</v>
      </c>
      <c r="Q443" s="4" t="str">
        <f t="shared" si="282"/>
        <v>1+23869.1695492017i</v>
      </c>
      <c r="R443" s="4">
        <f t="shared" si="291"/>
        <v>23869.169570149224</v>
      </c>
      <c r="S443" s="4">
        <f t="shared" si="292"/>
        <v>1.5707544317470881</v>
      </c>
      <c r="T443" s="4" t="str">
        <f t="shared" si="283"/>
        <v>1+0.55866295306083i</v>
      </c>
      <c r="U443" s="4">
        <f t="shared" si="293"/>
        <v>1.1454712109532248</v>
      </c>
      <c r="V443" s="4">
        <f t="shared" si="294"/>
        <v>0.50946989239315199</v>
      </c>
      <c r="W443" t="str">
        <f t="shared" si="284"/>
        <v>1-0.580339075639589i</v>
      </c>
      <c r="X443" s="4">
        <f t="shared" si="295"/>
        <v>1.1561978389160794</v>
      </c>
      <c r="Y443" s="4">
        <f t="shared" si="296"/>
        <v>-0.52583747938031267</v>
      </c>
      <c r="Z443" t="str">
        <f t="shared" si="285"/>
        <v>-1.02385770250779+2.51312219491099i</v>
      </c>
      <c r="AA443" s="4">
        <f t="shared" si="297"/>
        <v>2.7136815880900182</v>
      </c>
      <c r="AB443" s="4">
        <f t="shared" si="298"/>
        <v>1.9576696913409386</v>
      </c>
      <c r="AC443" s="48" t="str">
        <f t="shared" si="299"/>
        <v>-0.0102517762582515+0.00437309240511784i</v>
      </c>
      <c r="AD443" s="20">
        <f t="shared" si="300"/>
        <v>-39.057984984135395</v>
      </c>
      <c r="AE443" s="44">
        <f t="shared" si="301"/>
        <v>156.89839575972996</v>
      </c>
      <c r="AF443" t="str">
        <f t="shared" si="286"/>
        <v>-0.979317078436135</v>
      </c>
      <c r="AG443" t="str">
        <f t="shared" si="302"/>
        <v>1117325.90612166i</v>
      </c>
      <c r="AH443">
        <f t="shared" si="303"/>
        <v>1117325.90612166</v>
      </c>
      <c r="AI443">
        <f t="shared" si="304"/>
        <v>1.5707963267948966</v>
      </c>
      <c r="AJ443" t="str">
        <f t="shared" si="287"/>
        <v>-19323.2245684702+1094.89000192673i</v>
      </c>
      <c r="AK443">
        <f t="shared" si="305"/>
        <v>19354.218967446075</v>
      </c>
      <c r="AL443">
        <f t="shared" si="306"/>
        <v>3.0849913078510531</v>
      </c>
      <c r="AM443" t="str">
        <f t="shared" si="288"/>
        <v>1+155442.380059645i</v>
      </c>
      <c r="AN443">
        <f t="shared" si="307"/>
        <v>155442.3800628616</v>
      </c>
      <c r="AO443">
        <f t="shared" si="308"/>
        <v>1.5707898935429121</v>
      </c>
      <c r="AP443" t="str">
        <f t="shared" si="289"/>
        <v>1+1050.28635175436i</v>
      </c>
      <c r="AQ443">
        <f t="shared" si="309"/>
        <v>1050.2868278148992</v>
      </c>
      <c r="AR443">
        <f t="shared" si="310"/>
        <v>1.5698442057888953</v>
      </c>
      <c r="AS443" s="42" t="str">
        <f t="shared" si="311"/>
        <v>-0.000411178073692286+0.00738197388903884i</v>
      </c>
      <c r="AT443">
        <f t="shared" si="312"/>
        <v>-42.623096682170988</v>
      </c>
      <c r="AU443" s="44">
        <f t="shared" si="313"/>
        <v>93.188097112173693</v>
      </c>
      <c r="AV443" s="42" t="str">
        <f t="shared" si="290"/>
        <v>-0.0000280667483351418-0.0000774764643658956i</v>
      </c>
      <c r="AW443" s="20">
        <f t="shared" si="314"/>
        <v>-81.681081666306383</v>
      </c>
      <c r="AX443" s="44">
        <f t="shared" si="315"/>
        <v>-109.91350712809634</v>
      </c>
    </row>
    <row r="444" spans="14:50" x14ac:dyDescent="0.3">
      <c r="N444" s="8">
        <v>26</v>
      </c>
      <c r="O444" s="35">
        <f t="shared" si="316"/>
        <v>181970.08586099857</v>
      </c>
      <c r="P444" s="34" t="str">
        <f t="shared" si="281"/>
        <v>545.10556621881</v>
      </c>
      <c r="Q444" s="4" t="str">
        <f t="shared" si="282"/>
        <v>1+24425.1539312591i</v>
      </c>
      <c r="R444" s="4">
        <f t="shared" si="291"/>
        <v>24425.153951729801</v>
      </c>
      <c r="S444" s="4">
        <f t="shared" si="292"/>
        <v>1.5707553853948033</v>
      </c>
      <c r="T444" s="4" t="str">
        <f t="shared" si="283"/>
        <v>1+0.571675884914015i</v>
      </c>
      <c r="U444" s="4">
        <f t="shared" si="293"/>
        <v>1.1518738287643409</v>
      </c>
      <c r="V444" s="4">
        <f t="shared" si="294"/>
        <v>0.51933253070427454</v>
      </c>
      <c r="W444" t="str">
        <f t="shared" si="284"/>
        <v>1-0.593856909248677i</v>
      </c>
      <c r="X444" s="4">
        <f t="shared" si="295"/>
        <v>1.1630417140680687</v>
      </c>
      <c r="Y444" s="4">
        <f t="shared" si="296"/>
        <v>-0.53589027762311647</v>
      </c>
      <c r="Z444" t="str">
        <f t="shared" si="285"/>
        <v>-1.11923917748858+2.57166033079762i</v>
      </c>
      <c r="AA444" s="4">
        <f t="shared" si="297"/>
        <v>2.8046627593034135</v>
      </c>
      <c r="AB444" s="4">
        <f t="shared" si="298"/>
        <v>1.9812918441884697</v>
      </c>
      <c r="AC444" s="48" t="str">
        <f t="shared" si="299"/>
        <v>-0.00970293477851285+0.00441493114922226i</v>
      </c>
      <c r="AD444" s="20">
        <f t="shared" si="300"/>
        <v>-39.444742767794402</v>
      </c>
      <c r="AE444" s="44">
        <f t="shared" si="301"/>
        <v>155.5339960970465</v>
      </c>
      <c r="AF444" t="str">
        <f t="shared" si="286"/>
        <v>-0.979317078436135</v>
      </c>
      <c r="AG444" t="str">
        <f t="shared" si="302"/>
        <v>1143351.76982803i</v>
      </c>
      <c r="AH444">
        <f t="shared" si="303"/>
        <v>1143351.7698280299</v>
      </c>
      <c r="AI444">
        <f t="shared" si="304"/>
        <v>1.5707963267948966</v>
      </c>
      <c r="AJ444" t="str">
        <f t="shared" si="287"/>
        <v>-20233.9472145915+1120.39326628989i</v>
      </c>
      <c r="AK444">
        <f t="shared" si="305"/>
        <v>20264.942658542677</v>
      </c>
      <c r="AL444">
        <f t="shared" si="306"/>
        <v>3.08627718328915</v>
      </c>
      <c r="AM444" t="str">
        <f t="shared" si="288"/>
        <v>1+159063.098218476i</v>
      </c>
      <c r="AN444">
        <f t="shared" si="307"/>
        <v>159063.09822161938</v>
      </c>
      <c r="AO444">
        <f t="shared" si="308"/>
        <v>1.5707900399816057</v>
      </c>
      <c r="AP444" t="str">
        <f t="shared" si="289"/>
        <v>1+1074.75066363835i</v>
      </c>
      <c r="AQ444">
        <f t="shared" si="309"/>
        <v>1074.751128862433</v>
      </c>
      <c r="AR444">
        <f t="shared" si="310"/>
        <v>1.5698658786963238</v>
      </c>
      <c r="AS444" s="42" t="str">
        <f t="shared" si="311"/>
        <v>-0.000392726739805078+0.00721494453438531i</v>
      </c>
      <c r="AT444">
        <f t="shared" si="312"/>
        <v>-42.822491439250818</v>
      </c>
      <c r="AU444" s="44">
        <f t="shared" si="313"/>
        <v>93.115672033035736</v>
      </c>
      <c r="AV444" s="42" t="str">
        <f t="shared" si="290"/>
        <v>-0.0000280428814226619-0.0000717399977644264i</v>
      </c>
      <c r="AW444" s="20">
        <f t="shared" si="314"/>
        <v>-82.26723420704522</v>
      </c>
      <c r="AX444" s="44">
        <f t="shared" si="315"/>
        <v>-111.3503318699177</v>
      </c>
    </row>
    <row r="445" spans="14:50" x14ac:dyDescent="0.3">
      <c r="N445" s="8">
        <v>27</v>
      </c>
      <c r="O445" s="35">
        <f t="shared" si="316"/>
        <v>186208.71366628664</v>
      </c>
      <c r="P445" s="34" t="str">
        <f t="shared" si="281"/>
        <v>545.10556621881</v>
      </c>
      <c r="Q445" s="4" t="str">
        <f t="shared" si="282"/>
        <v>1+24994.0888532361i</v>
      </c>
      <c r="R445" s="4">
        <f t="shared" si="291"/>
        <v>24994.088873240828</v>
      </c>
      <c r="S445" s="4">
        <f t="shared" si="292"/>
        <v>1.5707563173348464</v>
      </c>
      <c r="T445" s="4" t="str">
        <f t="shared" si="283"/>
        <v>1+0.58499192688841i</v>
      </c>
      <c r="U445" s="4">
        <f t="shared" si="293"/>
        <v>1.1585402688403259</v>
      </c>
      <c r="V445" s="4">
        <f t="shared" si="294"/>
        <v>0.52931105497488407</v>
      </c>
      <c r="W445" t="str">
        <f t="shared" si="284"/>
        <v>1-0.607689613651679i</v>
      </c>
      <c r="X445" s="4">
        <f t="shared" si="295"/>
        <v>1.1701652304440286</v>
      </c>
      <c r="Y445" s="4">
        <f t="shared" si="296"/>
        <v>-0.54605445167012434</v>
      </c>
      <c r="Z445" t="str">
        <f t="shared" si="285"/>
        <v>-1.21911584289619+2.63156199503161i</v>
      </c>
      <c r="AA445" s="4">
        <f t="shared" si="297"/>
        <v>2.9002348132686144</v>
      </c>
      <c r="AB445" s="4">
        <f t="shared" si="298"/>
        <v>2.0046281588632953</v>
      </c>
      <c r="AC445" s="48" t="str">
        <f t="shared" si="299"/>
        <v>-0.00917728701882674+0.00443919455592478i</v>
      </c>
      <c r="AD445" s="20">
        <f t="shared" si="300"/>
        <v>-39.832630620263757</v>
      </c>
      <c r="AE445" s="44">
        <f t="shared" si="301"/>
        <v>154.18623341190332</v>
      </c>
      <c r="AF445" t="str">
        <f t="shared" si="286"/>
        <v>-0.979317078436135</v>
      </c>
      <c r="AG445" t="str">
        <f t="shared" si="302"/>
        <v>1169983.85377682i</v>
      </c>
      <c r="AH445">
        <f t="shared" si="303"/>
        <v>1169983.85377682</v>
      </c>
      <c r="AI445">
        <f t="shared" si="304"/>
        <v>1.5707963267948966</v>
      </c>
      <c r="AJ445" t="str">
        <f t="shared" si="287"/>
        <v>-21187.5908967017+1146.49057799298i</v>
      </c>
      <c r="AK445">
        <f t="shared" si="305"/>
        <v>21218.587338732599</v>
      </c>
      <c r="AL445">
        <f t="shared" si="306"/>
        <v>3.0875339570086346</v>
      </c>
      <c r="AM445" t="str">
        <f t="shared" si="288"/>
        <v>1+162768.153737431i</v>
      </c>
      <c r="AN445">
        <f t="shared" si="307"/>
        <v>162768.15374050284</v>
      </c>
      <c r="AO445">
        <f t="shared" si="308"/>
        <v>1.5707901830869475</v>
      </c>
      <c r="AP445" t="str">
        <f t="shared" si="289"/>
        <v>1+1099.78482255021i</v>
      </c>
      <c r="AQ445">
        <f t="shared" si="309"/>
        <v>1099.7852771845041</v>
      </c>
      <c r="AR445">
        <f t="shared" si="310"/>
        <v>1.5698870582689941</v>
      </c>
      <c r="AS445" s="42" t="str">
        <f t="shared" si="311"/>
        <v>-0.000375101050880801+0.00705165041577914i</v>
      </c>
      <c r="AT445">
        <f t="shared" si="312"/>
        <v>-43.021913357997441</v>
      </c>
      <c r="AU445" s="44">
        <f t="shared" si="313"/>
        <v>93.044885902564317</v>
      </c>
      <c r="AV445" s="42" t="str">
        <f t="shared" si="290"/>
        <v>-0.0000278612381310148-0.0000663801663650258i</v>
      </c>
      <c r="AW445" s="20">
        <f t="shared" si="314"/>
        <v>-82.854543978261205</v>
      </c>
      <c r="AX445" s="44">
        <f t="shared" si="315"/>
        <v>-112.76888068553234</v>
      </c>
    </row>
    <row r="446" spans="14:50" x14ac:dyDescent="0.3">
      <c r="N446" s="8">
        <v>28</v>
      </c>
      <c r="O446" s="35">
        <f t="shared" si="316"/>
        <v>190546.07179632492</v>
      </c>
      <c r="P446" s="34" t="str">
        <f t="shared" si="281"/>
        <v>545.10556621881</v>
      </c>
      <c r="Q446" s="4" t="str">
        <f t="shared" si="282"/>
        <v>1+25576.2759719592i</v>
      </c>
      <c r="R446" s="4">
        <f t="shared" si="291"/>
        <v>25576.275991508566</v>
      </c>
      <c r="S446" s="4">
        <f t="shared" si="292"/>
        <v>1.5707572280613442</v>
      </c>
      <c r="T446" s="4" t="str">
        <f t="shared" si="283"/>
        <v>1+0.59861813932573i</v>
      </c>
      <c r="U446" s="4">
        <f t="shared" si="293"/>
        <v>1.1654800198758446</v>
      </c>
      <c r="V446" s="4">
        <f t="shared" si="294"/>
        <v>0.53940280677396724</v>
      </c>
      <c r="W446" t="str">
        <f t="shared" si="284"/>
        <v>1-0.621844523131567i</v>
      </c>
      <c r="X446" s="4">
        <f t="shared" si="295"/>
        <v>1.177578282301744</v>
      </c>
      <c r="Y446" s="4">
        <f t="shared" si="296"/>
        <v>-0.5563269896937586</v>
      </c>
      <c r="Z446" t="str">
        <f t="shared" si="285"/>
        <v>-1.32369955052868+2.69285894826823i</v>
      </c>
      <c r="AA446" s="4">
        <f t="shared" si="297"/>
        <v>3.0006115735526491</v>
      </c>
      <c r="AB446" s="4">
        <f t="shared" si="298"/>
        <v>2.0276685112621879</v>
      </c>
      <c r="AC446" s="48" t="str">
        <f t="shared" si="299"/>
        <v>-0.00867461122143514+0.0044474880266805i</v>
      </c>
      <c r="AD446" s="20">
        <f t="shared" si="300"/>
        <v>-40.221437056046753</v>
      </c>
      <c r="AE446" s="44">
        <f t="shared" si="301"/>
        <v>152.85570799250723</v>
      </c>
      <c r="AF446" t="str">
        <f t="shared" si="286"/>
        <v>-0.979317078436135</v>
      </c>
      <c r="AG446" t="str">
        <f t="shared" si="302"/>
        <v>1197236.27865146i</v>
      </c>
      <c r="AH446">
        <f t="shared" si="303"/>
        <v>1197236.2786514601</v>
      </c>
      <c r="AI446">
        <f t="shared" si="304"/>
        <v>1.5707963267948966</v>
      </c>
      <c r="AJ446" t="str">
        <f t="shared" si="287"/>
        <v>-22186.1784209082+1173.19577417613i</v>
      </c>
      <c r="AK446">
        <f t="shared" si="305"/>
        <v>22217.175816221948</v>
      </c>
      <c r="AL446">
        <f t="shared" si="306"/>
        <v>3.0887622802487318</v>
      </c>
      <c r="AM446" t="str">
        <f t="shared" si="288"/>
        <v>1+166559.511085991i</v>
      </c>
      <c r="AN446">
        <f t="shared" si="307"/>
        <v>166559.51108899291</v>
      </c>
      <c r="AO446">
        <f t="shared" si="308"/>
        <v>1.5707903229348139</v>
      </c>
      <c r="AP446" t="str">
        <f t="shared" si="289"/>
        <v>1+1125.40210193238i</v>
      </c>
      <c r="AQ446">
        <f t="shared" si="309"/>
        <v>1125.4025462179384</v>
      </c>
      <c r="AR446">
        <f t="shared" si="310"/>
        <v>1.5699077557365195</v>
      </c>
      <c r="AS446" s="42" t="str">
        <f t="shared" si="311"/>
        <v>-0.00035826426753604+0.00689201094086319i</v>
      </c>
      <c r="AT446">
        <f t="shared" si="312"/>
        <v>-43.221361222844628</v>
      </c>
      <c r="AU446" s="44">
        <f t="shared" si="313"/>
        <v>92.975702055257244</v>
      </c>
      <c r="AV446" s="42" t="str">
        <f t="shared" si="290"/>
        <v>-0.0000275443329038327-0.0000613788914861196i</v>
      </c>
      <c r="AW446" s="20">
        <f t="shared" si="314"/>
        <v>-83.442798278891374</v>
      </c>
      <c r="AX446" s="44">
        <f t="shared" si="315"/>
        <v>-114.16858995223552</v>
      </c>
    </row>
    <row r="447" spans="14:50" x14ac:dyDescent="0.3">
      <c r="N447" s="8">
        <v>29</v>
      </c>
      <c r="O447" s="35">
        <f t="shared" si="316"/>
        <v>194984.45997580473</v>
      </c>
      <c r="P447" s="34" t="str">
        <f t="shared" si="281"/>
        <v>545.10556621881</v>
      </c>
      <c r="Q447" s="4" t="str">
        <f t="shared" si="282"/>
        <v>1+26172.0239707443i</v>
      </c>
      <c r="R447" s="4">
        <f t="shared" si="291"/>
        <v>26172.023989848669</v>
      </c>
      <c r="S447" s="4">
        <f t="shared" si="292"/>
        <v>1.5707581180571761</v>
      </c>
      <c r="T447" s="4" t="str">
        <f t="shared" si="283"/>
        <v>1+0.61256174702416i</v>
      </c>
      <c r="U447" s="4">
        <f t="shared" si="293"/>
        <v>1.172702815685752</v>
      </c>
      <c r="V447" s="4">
        <f t="shared" si="294"/>
        <v>0.5496049141156587</v>
      </c>
      <c r="W447" t="str">
        <f t="shared" si="284"/>
        <v>1-0.636329142808696i</v>
      </c>
      <c r="X447" s="4">
        <f t="shared" si="295"/>
        <v>1.1852910098316152</v>
      </c>
      <c r="Y447" s="4">
        <f t="shared" si="296"/>
        <v>-0.56670466584493995</v>
      </c>
      <c r="Z447" t="str">
        <f t="shared" si="285"/>
        <v>-1.43321213645158+2.75558369096339i</v>
      </c>
      <c r="AA447" s="4">
        <f t="shared" si="297"/>
        <v>3.1060165012400569</v>
      </c>
      <c r="AB447" s="4">
        <f t="shared" si="298"/>
        <v>2.0504037736061882</v>
      </c>
      <c r="AC447" s="48" t="str">
        <f t="shared" si="299"/>
        <v>-0.00819459830662803+0.0044413509365685i</v>
      </c>
      <c r="AD447" s="20">
        <f t="shared" si="300"/>
        <v>-40.610949866680755</v>
      </c>
      <c r="AE447" s="44">
        <f t="shared" si="301"/>
        <v>151.54296306927048</v>
      </c>
      <c r="AF447" t="str">
        <f t="shared" si="286"/>
        <v>-0.979317078436135</v>
      </c>
      <c r="AG447" t="str">
        <f t="shared" si="302"/>
        <v>1225123.49404832i</v>
      </c>
      <c r="AH447">
        <f t="shared" si="303"/>
        <v>1225123.49404832</v>
      </c>
      <c r="AI447">
        <f t="shared" si="304"/>
        <v>1.5707963267948966</v>
      </c>
      <c r="AJ447" t="str">
        <f t="shared" si="287"/>
        <v>-23231.8279252314+1200.52301428783i</v>
      </c>
      <c r="AK447">
        <f t="shared" si="305"/>
        <v>23262.826231036423</v>
      </c>
      <c r="AL447">
        <f t="shared" si="306"/>
        <v>3.089962790167446</v>
      </c>
      <c r="AM447" t="str">
        <f t="shared" si="288"/>
        <v>1+170439.180492002i</v>
      </c>
      <c r="AN447">
        <f t="shared" si="307"/>
        <v>170439.1804949356</v>
      </c>
      <c r="AO447">
        <f t="shared" si="308"/>
        <v>1.5707904595993545</v>
      </c>
      <c r="AP447" t="str">
        <f t="shared" si="289"/>
        <v>1+1151.61608440542i</v>
      </c>
      <c r="AQ447">
        <f t="shared" si="309"/>
        <v>1151.6165185778082</v>
      </c>
      <c r="AR447">
        <f t="shared" si="310"/>
        <v>1.5699279820729006</v>
      </c>
      <c r="AS447" s="42" t="str">
        <f t="shared" si="311"/>
        <v>-0.000342181267134691+0.00673594705896885i</v>
      </c>
      <c r="AT447">
        <f t="shared" si="312"/>
        <v>-43.420833872329879</v>
      </c>
      <c r="AU447" s="44">
        <f t="shared" si="313"/>
        <v>92.908084617662396</v>
      </c>
      <c r="AV447" s="42" t="str">
        <f t="shared" si="290"/>
        <v>-0.0000271126667468054-0.000056718127454227i</v>
      </c>
      <c r="AW447" s="20">
        <f t="shared" si="314"/>
        <v>-84.031783739010635</v>
      </c>
      <c r="AX447" s="44">
        <f t="shared" si="315"/>
        <v>-115.54895231306715</v>
      </c>
    </row>
    <row r="448" spans="14:50" x14ac:dyDescent="0.3">
      <c r="N448" s="8">
        <v>30</v>
      </c>
      <c r="O448" s="35">
        <f t="shared" si="316"/>
        <v>199526.23149688813</v>
      </c>
      <c r="P448" s="34" t="str">
        <f t="shared" si="281"/>
        <v>545.10556621881</v>
      </c>
      <c r="Q448" s="4" t="str">
        <f t="shared" si="282"/>
        <v>1+26781.6487230666i</v>
      </c>
      <c r="R448" s="4">
        <f t="shared" si="291"/>
        <v>26781.648741736095</v>
      </c>
      <c r="S448" s="4">
        <f t="shared" si="292"/>
        <v>1.5707589877942296</v>
      </c>
      <c r="T448" s="4" t="str">
        <f t="shared" si="283"/>
        <v>1+0.62683014306908i</v>
      </c>
      <c r="U448" s="4">
        <f t="shared" si="293"/>
        <v>1.1802186357874558</v>
      </c>
      <c r="V448" s="4">
        <f t="shared" si="294"/>
        <v>0.55991429090730227</v>
      </c>
      <c r="W448" t="str">
        <f t="shared" si="284"/>
        <v>1-0.651151152620158i</v>
      </c>
      <c r="X448" s="4">
        <f t="shared" si="295"/>
        <v>1.1933137992827203</v>
      </c>
      <c r="Y448" s="4">
        <f t="shared" si="296"/>
        <v>-0.57718404109721844</v>
      </c>
      <c r="Z448" t="str">
        <f t="shared" si="285"/>
        <v>-1.54788589154238+2.81976948060597i</v>
      </c>
      <c r="AA448" s="4">
        <f t="shared" si="297"/>
        <v>3.2166831763468422</v>
      </c>
      <c r="AB448" s="4">
        <f t="shared" si="298"/>
        <v>2.0728257988808765</v>
      </c>
      <c r="AC448" s="48" t="str">
        <f t="shared" si="299"/>
        <v>-0.0077368607023306+0.00442225149576317i</v>
      </c>
      <c r="AD448" s="20">
        <f t="shared" si="300"/>
        <v>-41.000956998459671</v>
      </c>
      <c r="AE448" s="44">
        <f t="shared" si="301"/>
        <v>150.24848562631459</v>
      </c>
      <c r="AF448" t="str">
        <f t="shared" si="286"/>
        <v>-0.979317078436135</v>
      </c>
      <c r="AG448" t="str">
        <f t="shared" si="302"/>
        <v>1253660.28613816i</v>
      </c>
      <c r="AH448">
        <f t="shared" si="303"/>
        <v>1253660.2861381599</v>
      </c>
      <c r="AI448">
        <f t="shared" si="304"/>
        <v>1.5707963267948966</v>
      </c>
      <c r="AJ448" t="str">
        <f t="shared" si="287"/>
        <v>-24326.7573724641+1228.48678759251i</v>
      </c>
      <c r="AK448">
        <f t="shared" si="305"/>
        <v>24357.756547884816</v>
      </c>
      <c r="AL448">
        <f t="shared" si="306"/>
        <v>3.0911361101130104</v>
      </c>
      <c r="AM448" t="str">
        <f t="shared" si="288"/>
        <v>1+174409.219007541i</v>
      </c>
      <c r="AN448">
        <f t="shared" si="307"/>
        <v>174409.2190104078</v>
      </c>
      <c r="AO448">
        <f t="shared" si="308"/>
        <v>1.5707905931530302</v>
      </c>
      <c r="AP448" t="str">
        <f t="shared" si="289"/>
        <v>1+1178.44066896987i</v>
      </c>
      <c r="AQ448">
        <f t="shared" si="309"/>
        <v>1178.4410932592918</v>
      </c>
      <c r="AR448">
        <f t="shared" si="310"/>
        <v>1.5699477480023423</v>
      </c>
      <c r="AS448" s="42" t="str">
        <f t="shared" si="311"/>
        <v>-0.000326818474231105+0.00658338124524253i</v>
      </c>
      <c r="AT448">
        <f t="shared" si="312"/>
        <v>-43.620330196713027</v>
      </c>
      <c r="AU448" s="44">
        <f t="shared" si="313"/>
        <v>92.841998493160133</v>
      </c>
      <c r="AV448" s="42" t="str">
        <f t="shared" si="290"/>
        <v>-0.0000265848185488787-0.0000523799771312888i</v>
      </c>
      <c r="AW448" s="20">
        <f t="shared" si="314"/>
        <v>-84.621287195172698</v>
      </c>
      <c r="AX448" s="44">
        <f t="shared" si="315"/>
        <v>-116.90951588052526</v>
      </c>
    </row>
    <row r="449" spans="14:50" x14ac:dyDescent="0.3">
      <c r="N449" s="8">
        <v>31</v>
      </c>
      <c r="O449" s="35">
        <f t="shared" si="316"/>
        <v>204173.79446695308</v>
      </c>
      <c r="P449" s="34" t="str">
        <f t="shared" si="281"/>
        <v>545.10556621881</v>
      </c>
      <c r="Q449" s="4" t="str">
        <f t="shared" si="282"/>
        <v>1+27405.4734600388i</v>
      </c>
      <c r="R449" s="4">
        <f t="shared" si="291"/>
        <v>27405.473478283329</v>
      </c>
      <c r="S449" s="4">
        <f t="shared" si="292"/>
        <v>1.5707598377336507</v>
      </c>
      <c r="T449" s="4" t="str">
        <f t="shared" si="283"/>
        <v>1+0.64143089275293i</v>
      </c>
      <c r="U449" s="4">
        <f t="shared" si="293"/>
        <v>1.1880377057054294</v>
      </c>
      <c r="V449" s="4">
        <f t="shared" si="294"/>
        <v>0.57032763722819724</v>
      </c>
      <c r="W449" t="str">
        <f t="shared" si="284"/>
        <v>1-0.666318411391742i</v>
      </c>
      <c r="X449" s="4">
        <f t="shared" si="295"/>
        <v>1.2016572828221925</v>
      </c>
      <c r="Y449" s="4">
        <f t="shared" si="296"/>
        <v>-0.58776146498755033</v>
      </c>
      <c r="Z449" t="str">
        <f t="shared" si="285"/>
        <v>-1.66796405421013+2.88545034935122i</v>
      </c>
      <c r="AA449" s="4">
        <f t="shared" si="297"/>
        <v>3.3328558031676336</v>
      </c>
      <c r="AB449" s="4">
        <f t="shared" si="298"/>
        <v>2.0949273993355768</v>
      </c>
      <c r="AC449" s="48" t="str">
        <f t="shared" si="299"/>
        <v>-0.00730094129381386+0.0043915827992838i</v>
      </c>
      <c r="AD449" s="20">
        <f t="shared" si="300"/>
        <v>-41.391247396420937</v>
      </c>
      <c r="AE449" s="44">
        <f t="shared" si="301"/>
        <v>148.97270754959266</v>
      </c>
      <c r="AF449" t="str">
        <f t="shared" si="286"/>
        <v>-0.979317078436135</v>
      </c>
      <c r="AG449" t="str">
        <f t="shared" si="302"/>
        <v>1282861.78550586i</v>
      </c>
      <c r="AH449">
        <f t="shared" si="303"/>
        <v>1282861.7855058601</v>
      </c>
      <c r="AI449">
        <f t="shared" si="304"/>
        <v>1.5707963267948966</v>
      </c>
      <c r="AJ449" t="str">
        <f t="shared" si="287"/>
        <v>-25473.2892547627+1257.10192085291i</v>
      </c>
      <c r="AK449">
        <f t="shared" si="305"/>
        <v>25504.289260754176</v>
      </c>
      <c r="AL449">
        <f t="shared" si="306"/>
        <v>3.092282849892364</v>
      </c>
      <c r="AM449" t="str">
        <f t="shared" si="288"/>
        <v>1+178471.731599575i</v>
      </c>
      <c r="AN449">
        <f t="shared" si="307"/>
        <v>178471.73160237659</v>
      </c>
      <c r="AO449">
        <f t="shared" si="308"/>
        <v>1.5707907236666532</v>
      </c>
      <c r="AP449" t="str">
        <f t="shared" si="289"/>
        <v>1+1205.89007837551i</v>
      </c>
      <c r="AQ449">
        <f t="shared" si="309"/>
        <v>1205.8904930069286</v>
      </c>
      <c r="AR449">
        <f t="shared" si="310"/>
        <v>1.5699670640049401</v>
      </c>
      <c r="AS449" s="42" t="str">
        <f t="shared" si="311"/>
        <v>-0.000312143793865395+0.00643423748388688i</v>
      </c>
      <c r="AT449">
        <f t="shared" si="312"/>
        <v>-43.819849135695812</v>
      </c>
      <c r="AU449" s="44">
        <f t="shared" si="313"/>
        <v>92.77740934690911</v>
      </c>
      <c r="AV449" s="42" t="str">
        <f t="shared" si="290"/>
        <v>-0.0000259775431465051-0.0000483467954563572i</v>
      </c>
      <c r="AW449" s="20">
        <f t="shared" si="314"/>
        <v>-85.211096532116741</v>
      </c>
      <c r="AX449" s="44">
        <f t="shared" si="315"/>
        <v>-118.24988310349819</v>
      </c>
    </row>
    <row r="450" spans="14:50" x14ac:dyDescent="0.3">
      <c r="N450" s="8">
        <v>32</v>
      </c>
      <c r="O450" s="35">
        <f t="shared" si="316"/>
        <v>208929.61308540447</v>
      </c>
      <c r="P450" s="34" t="str">
        <f t="shared" si="281"/>
        <v>545.10556621881</v>
      </c>
      <c r="Q450" s="4" t="str">
        <f t="shared" si="282"/>
        <v>1+28043.8289417941i</v>
      </c>
      <c r="R450" s="4">
        <f t="shared" si="291"/>
        <v>28043.828959623337</v>
      </c>
      <c r="S450" s="4">
        <f t="shared" si="292"/>
        <v>1.5707606683260886</v>
      </c>
      <c r="T450" s="4" t="str">
        <f t="shared" si="283"/>
        <v>1+0.656371737586465i</v>
      </c>
      <c r="U450" s="4">
        <f t="shared" si="293"/>
        <v>1.1961704970037823</v>
      </c>
      <c r="V450" s="4">
        <f t="shared" si="294"/>
        <v>0.58084144048062492</v>
      </c>
      <c r="W450" t="str">
        <f t="shared" si="284"/>
        <v>1-0.681838961004818i</v>
      </c>
      <c r="X450" s="4">
        <f t="shared" si="295"/>
        <v>1.2103323381386328</v>
      </c>
      <c r="Y450" s="4">
        <f t="shared" si="296"/>
        <v>-0.59843307828680825</v>
      </c>
      <c r="Z450" t="str">
        <f t="shared" si="285"/>
        <v>-1.79370132633708+2.95266112206518i</v>
      </c>
      <c r="AA450" s="4">
        <f t="shared" si="297"/>
        <v>3.4547897403255399</v>
      </c>
      <c r="AB450" s="4">
        <f t="shared" si="298"/>
        <v>2.1167023197830606</v>
      </c>
      <c r="AC450" s="48" t="str">
        <f t="shared" si="299"/>
        <v>-0.00688632234192757+0.00435066000981494i</v>
      </c>
      <c r="AD450" s="20">
        <f t="shared" si="300"/>
        <v>-41.781611809955308</v>
      </c>
      <c r="AE450" s="44">
        <f t="shared" si="301"/>
        <v>147.71600706962943</v>
      </c>
      <c r="AF450" t="str">
        <f t="shared" si="286"/>
        <v>-0.979317078436135</v>
      </c>
      <c r="AG450" t="str">
        <f t="shared" si="302"/>
        <v>1312743.47517293i</v>
      </c>
      <c r="AH450">
        <f t="shared" si="303"/>
        <v>1312743.4751729299</v>
      </c>
      <c r="AI450">
        <f t="shared" si="304"/>
        <v>1.5707963267948966</v>
      </c>
      <c r="AJ450" t="str">
        <f t="shared" si="287"/>
        <v>-26673.8555199686+1286.38358619146i</v>
      </c>
      <c r="AK450">
        <f t="shared" si="305"/>
        <v>26704.856319234936</v>
      </c>
      <c r="AL450">
        <f t="shared" si="306"/>
        <v>3.0934036060365431</v>
      </c>
      <c r="AM450" t="str">
        <f t="shared" si="288"/>
        <v>1+182628.872266058i</v>
      </c>
      <c r="AN450">
        <f t="shared" si="307"/>
        <v>182628.87226879579</v>
      </c>
      <c r="AO450">
        <f t="shared" si="308"/>
        <v>1.5707908512094233</v>
      </c>
      <c r="AP450" t="str">
        <f t="shared" si="289"/>
        <v>1+1233.97886666256i</v>
      </c>
      <c r="AQ450">
        <f t="shared" si="309"/>
        <v>1233.9792718558183</v>
      </c>
      <c r="AR450">
        <f t="shared" si="310"/>
        <v>1.5699859403222369</v>
      </c>
      <c r="AS450" s="42" t="str">
        <f t="shared" si="311"/>
        <v>-0.00029812654760614+0.00628844125061388i</v>
      </c>
      <c r="AT450">
        <f t="shared" si="312"/>
        <v>-44.019389676241325</v>
      </c>
      <c r="AU450" s="44">
        <f t="shared" si="313"/>
        <v>92.714283590960562</v>
      </c>
      <c r="AV450" s="42" t="str">
        <f t="shared" si="290"/>
        <v>-0.0000253058743676146-0.0000446012807285355i</v>
      </c>
      <c r="AW450" s="20">
        <f t="shared" si="314"/>
        <v>-85.801001486196625</v>
      </c>
      <c r="AX450" s="44">
        <f t="shared" si="315"/>
        <v>-119.56970933941005</v>
      </c>
    </row>
    <row r="451" spans="14:50" x14ac:dyDescent="0.3">
      <c r="N451" s="8">
        <v>33</v>
      </c>
      <c r="O451" s="35">
        <f t="shared" si="316"/>
        <v>213796.20895022334</v>
      </c>
      <c r="P451" s="34" t="str">
        <f t="shared" si="281"/>
        <v>545.10556621881</v>
      </c>
      <c r="Q451" s="4" t="str">
        <f t="shared" si="282"/>
        <v>1+28697.053632858i</v>
      </c>
      <c r="R451" s="4">
        <f t="shared" si="291"/>
        <v>28697.053650281385</v>
      </c>
      <c r="S451" s="4">
        <f t="shared" si="292"/>
        <v>1.5707614800119345</v>
      </c>
      <c r="T451" s="4" t="str">
        <f t="shared" si="283"/>
        <v>1+0.67166059940337i</v>
      </c>
      <c r="U451" s="4">
        <f t="shared" si="293"/>
        <v>1.2046277270554975</v>
      </c>
      <c r="V451" s="4">
        <f t="shared" si="294"/>
        <v>0.59145197744960976</v>
      </c>
      <c r="W451" t="str">
        <f t="shared" si="284"/>
        <v>1-0.697721030660219i</v>
      </c>
      <c r="X451" s="4">
        <f t="shared" si="295"/>
        <v>1.2193500878031536</v>
      </c>
      <c r="Y451" s="4">
        <f t="shared" si="296"/>
        <v>-0.60919481662679542</v>
      </c>
      <c r="Z451" t="str">
        <f t="shared" si="285"/>
        <v>-1.92536441353521+3.02143743478912i</v>
      </c>
      <c r="AA451" s="4">
        <f t="shared" si="297"/>
        <v>3.5827520563461879</v>
      </c>
      <c r="AB451" s="4">
        <f t="shared" si="298"/>
        <v>2.1381452064450279</v>
      </c>
      <c r="AC451" s="48" t="str">
        <f t="shared" si="299"/>
        <v>-0.00649243423617339+0.00430071860145906i</v>
      </c>
      <c r="AD451" s="20">
        <f t="shared" si="300"/>
        <v>-42.171843556273913</v>
      </c>
      <c r="AE451" s="44">
        <f t="shared" si="301"/>
        <v>146.47871045673304</v>
      </c>
      <c r="AF451" t="str">
        <f t="shared" si="286"/>
        <v>-0.979317078436135</v>
      </c>
      <c r="AG451" t="str">
        <f t="shared" si="302"/>
        <v>1343321.19880674i</v>
      </c>
      <c r="AH451">
        <f t="shared" si="303"/>
        <v>1343321.1988067401</v>
      </c>
      <c r="AI451">
        <f t="shared" si="304"/>
        <v>1.5707963267948966</v>
      </c>
      <c r="AJ451" t="str">
        <f t="shared" si="287"/>
        <v>-27931.0027300922+1316.3473091347i</v>
      </c>
      <c r="AK451">
        <f t="shared" si="305"/>
        <v>27962.004287008545</v>
      </c>
      <c r="AL451">
        <f t="shared" si="306"/>
        <v>3.094498962062842</v>
      </c>
      <c r="AM451" t="str">
        <f t="shared" si="288"/>
        <v>1+186882.845177994i</v>
      </c>
      <c r="AN451">
        <f t="shared" si="307"/>
        <v>186882.84518066948</v>
      </c>
      <c r="AO451">
        <f t="shared" si="308"/>
        <v>1.5707909758489655</v>
      </c>
      <c r="AP451" t="str">
        <f t="shared" si="289"/>
        <v>1+1262.72192687834i</v>
      </c>
      <c r="AQ451">
        <f t="shared" si="309"/>
        <v>1262.7223228482767</v>
      </c>
      <c r="AR451">
        <f t="shared" si="310"/>
        <v>1.5700043869626519</v>
      </c>
      <c r="AS451" s="42" t="str">
        <f t="shared" si="311"/>
        <v>-0.00028473741223918+0.00614591949440438i</v>
      </c>
      <c r="AT451">
        <f t="shared" si="312"/>
        <v>-44.21895085048682</v>
      </c>
      <c r="AU451" s="44">
        <f t="shared" si="313"/>
        <v>92.652588369551111</v>
      </c>
      <c r="AV451" s="42" t="str">
        <f t="shared" si="290"/>
        <v>-0.0000245832313691137-0.0000411265536235848i</v>
      </c>
      <c r="AW451" s="20">
        <f t="shared" si="314"/>
        <v>-86.390794406760733</v>
      </c>
      <c r="AX451" s="44">
        <f t="shared" si="315"/>
        <v>-120.86870117371583</v>
      </c>
    </row>
    <row r="452" spans="14:50" x14ac:dyDescent="0.3">
      <c r="N452" s="8">
        <v>34</v>
      </c>
      <c r="O452" s="35">
        <f t="shared" si="316"/>
        <v>218776.16239495538</v>
      </c>
      <c r="P452" s="34" t="str">
        <f t="shared" si="281"/>
        <v>545.10556621881</v>
      </c>
      <c r="Q452" s="4" t="str">
        <f t="shared" si="282"/>
        <v>1+29365.4938816086i</v>
      </c>
      <c r="R452" s="4">
        <f t="shared" si="291"/>
        <v>29365.493898635385</v>
      </c>
      <c r="S452" s="4">
        <f t="shared" si="292"/>
        <v>1.5707622732215549</v>
      </c>
      <c r="T452" s="4" t="str">
        <f t="shared" si="283"/>
        <v>1+0.68730558456056i</v>
      </c>
      <c r="U452" s="4">
        <f t="shared" si="293"/>
        <v>1.2134203585601047</v>
      </c>
      <c r="V452" s="4">
        <f t="shared" si="294"/>
        <v>0.60215531730246152</v>
      </c>
      <c r="W452" t="str">
        <f t="shared" si="284"/>
        <v>1-0.713973041241508i</v>
      </c>
      <c r="X452" s="4">
        <f t="shared" si="295"/>
        <v>1.228721898404862</v>
      </c>
      <c r="Y452" s="4">
        <f t="shared" si="296"/>
        <v>-0.620042415103916</v>
      </c>
      <c r="Z452" t="str">
        <f t="shared" si="285"/>
        <v>-2.06323259086489+3.09181575363445i</v>
      </c>
      <c r="AA452" s="4">
        <f t="shared" si="297"/>
        <v>3.7170221116411466</v>
      </c>
      <c r="AB452" s="4">
        <f t="shared" si="298"/>
        <v>2.1592515720782943</v>
      </c>
      <c r="AC452" s="48" t="str">
        <f t="shared" si="299"/>
        <v>-0.00611866396798512+0.00424291357938833i</v>
      </c>
      <c r="AD452" s="20">
        <f t="shared" si="300"/>
        <v>-42.561739238807725</v>
      </c>
      <c r="AE452" s="44">
        <f t="shared" si="301"/>
        <v>145.26109392719437</v>
      </c>
      <c r="AF452" t="str">
        <f t="shared" si="286"/>
        <v>-0.979317078436135</v>
      </c>
      <c r="AG452" t="str">
        <f t="shared" si="302"/>
        <v>1374611.16912112i</v>
      </c>
      <c r="AH452">
        <f t="shared" si="303"/>
        <v>1374611.1691211199</v>
      </c>
      <c r="AI452">
        <f t="shared" si="304"/>
        <v>1.5707963267948966</v>
      </c>
      <c r="AJ452" t="str">
        <f t="shared" si="287"/>
        <v>-29247.3974629152+1347.00897684517i</v>
      </c>
      <c r="AK452">
        <f t="shared" si="305"/>
        <v>29278.399743453192</v>
      </c>
      <c r="AL452">
        <f t="shared" si="306"/>
        <v>3.0955694887336476</v>
      </c>
      <c r="AM452" t="str">
        <f t="shared" si="288"/>
        <v>1+191235.90584813i</v>
      </c>
      <c r="AN452">
        <f t="shared" si="307"/>
        <v>191235.90585074457</v>
      </c>
      <c r="AO452">
        <f t="shared" si="308"/>
        <v>1.5707910976513655</v>
      </c>
      <c r="AP452" t="str">
        <f t="shared" si="289"/>
        <v>1+1292.13449897386i</v>
      </c>
      <c r="AQ452">
        <f t="shared" si="309"/>
        <v>1292.1348859304235</v>
      </c>
      <c r="AR452">
        <f t="shared" si="310"/>
        <v>1.5700224137067877</v>
      </c>
      <c r="AS452" s="42" t="str">
        <f t="shared" si="311"/>
        <v>-0.000271948361003275+0.00600660061865862i</v>
      </c>
      <c r="AT452">
        <f t="shared" si="312"/>
        <v>-44.418531733747606</v>
      </c>
      <c r="AU452" s="44">
        <f t="shared" si="313"/>
        <v>92.592291544578558</v>
      </c>
      <c r="AV452" s="42" t="str">
        <f t="shared" si="290"/>
        <v>-0.0000238215266932457-0.0000379062241692568i</v>
      </c>
      <c r="AW452" s="20">
        <f t="shared" si="314"/>
        <v>-86.980270972555331</v>
      </c>
      <c r="AX452" s="44">
        <f t="shared" si="315"/>
        <v>-122.14661452822712</v>
      </c>
    </row>
    <row r="453" spans="14:50" x14ac:dyDescent="0.3">
      <c r="N453" s="8">
        <v>35</v>
      </c>
      <c r="O453" s="35">
        <f t="shared" si="316"/>
        <v>223872.11385683404</v>
      </c>
      <c r="P453" s="34" t="str">
        <f t="shared" si="281"/>
        <v>545.10556621881</v>
      </c>
      <c r="Q453" s="4" t="str">
        <f t="shared" si="282"/>
        <v>1+30049.5041039135i</v>
      </c>
      <c r="R453" s="4">
        <f t="shared" si="291"/>
        <v>30049.504120552709</v>
      </c>
      <c r="S453" s="4">
        <f t="shared" si="292"/>
        <v>1.5707630483755199</v>
      </c>
      <c r="T453" s="4" t="str">
        <f t="shared" si="283"/>
        <v>1+0.70331498823625i</v>
      </c>
      <c r="U453" s="4">
        <f t="shared" si="293"/>
        <v>1.2225595988244322</v>
      </c>
      <c r="V453" s="4">
        <f t="shared" si="294"/>
        <v>0.61294732555257636</v>
      </c>
      <c r="W453" t="str">
        <f t="shared" si="284"/>
        <v>1-0.730603609779814i</v>
      </c>
      <c r="X453" s="4">
        <f t="shared" si="295"/>
        <v>1.2384593794805281</v>
      </c>
      <c r="Y453" s="4">
        <f t="shared" si="296"/>
        <v>-0.63097141387204125</v>
      </c>
      <c r="Z453" t="str">
        <f t="shared" si="285"/>
        <v>-2.20759829521458+3.16383339411737i</v>
      </c>
      <c r="AA453" s="4">
        <f t="shared" si="297"/>
        <v>3.8578921678510607</v>
      </c>
      <c r="AB453" s="4">
        <f t="shared" si="298"/>
        <v>2.180017758092045</v>
      </c>
      <c r="AC453" s="48" t="str">
        <f t="shared" si="299"/>
        <v>-0.00576436322903542+0.00417831958133331i</v>
      </c>
      <c r="AD453" s="20">
        <f t="shared" si="300"/>
        <v>-42.95109941837174</v>
      </c>
      <c r="AE453" s="44">
        <f t="shared" si="301"/>
        <v>144.06338572045695</v>
      </c>
      <c r="AF453" t="str">
        <f t="shared" si="286"/>
        <v>-0.979317078436135</v>
      </c>
      <c r="AG453" t="str">
        <f t="shared" si="302"/>
        <v>1406629.9764725i</v>
      </c>
      <c r="AH453">
        <f t="shared" si="303"/>
        <v>1406629.9764725</v>
      </c>
      <c r="AI453">
        <f t="shared" si="304"/>
        <v>1.5707963267948966</v>
      </c>
      <c r="AJ453" t="str">
        <f t="shared" si="287"/>
        <v>-30625.8319681582+1378.38484654493i</v>
      </c>
      <c r="AK453">
        <f t="shared" si="305"/>
        <v>30656.834939814737</v>
      </c>
      <c r="AL453">
        <f t="shared" si="306"/>
        <v>3.0966157443118392</v>
      </c>
      <c r="AM453" t="str">
        <f t="shared" si="288"/>
        <v>1+195690.362326854i</v>
      </c>
      <c r="AN453">
        <f t="shared" si="307"/>
        <v>195690.36232940905</v>
      </c>
      <c r="AO453">
        <f t="shared" si="308"/>
        <v>1.5707912166812041</v>
      </c>
      <c r="AP453" t="str">
        <f t="shared" si="289"/>
        <v>1+1322.23217788415i</v>
      </c>
      <c r="AQ453">
        <f t="shared" si="309"/>
        <v>1322.2325560325091</v>
      </c>
      <c r="AR453">
        <f t="shared" si="310"/>
        <v>1.5700400301126161</v>
      </c>
      <c r="AS453" s="42" t="str">
        <f t="shared" si="311"/>
        <v>-0.00025973260727652+0.00587041446181795i</v>
      </c>
      <c r="AT453">
        <f t="shared" si="312"/>
        <v>-44.618131442607151</v>
      </c>
      <c r="AU453" s="44">
        <f t="shared" si="313"/>
        <v>92.533361681267735</v>
      </c>
      <c r="AV453" s="42" t="str">
        <f t="shared" si="290"/>
        <v>-0.0000230312746055899-0.0000349244471017954i</v>
      </c>
      <c r="AW453" s="20">
        <f t="shared" si="314"/>
        <v>-87.569230860978877</v>
      </c>
      <c r="AX453" s="44">
        <f t="shared" si="315"/>
        <v>-123.4032525982753</v>
      </c>
    </row>
    <row r="454" spans="14:50" x14ac:dyDescent="0.3">
      <c r="N454" s="8">
        <v>36</v>
      </c>
      <c r="O454" s="35">
        <f t="shared" si="316"/>
        <v>229086.76527677779</v>
      </c>
      <c r="P454" s="34" t="str">
        <f t="shared" si="281"/>
        <v>545.10556621881</v>
      </c>
      <c r="Q454" s="4" t="str">
        <f t="shared" si="282"/>
        <v>1+30749.4469710464i</v>
      </c>
      <c r="R454" s="4">
        <f t="shared" si="291"/>
        <v>30749.446987306856</v>
      </c>
      <c r="S454" s="4">
        <f t="shared" si="292"/>
        <v>1.5707638058848266</v>
      </c>
      <c r="T454" s="4" t="str">
        <f t="shared" si="283"/>
        <v>1+0.719697298828175i</v>
      </c>
      <c r="U454" s="4">
        <f t="shared" si="293"/>
        <v>1.2320568988243081</v>
      </c>
      <c r="V454" s="4">
        <f t="shared" si="294"/>
        <v>0.62382366900512731</v>
      </c>
      <c r="W454" t="str">
        <f t="shared" si="284"/>
        <v>1-0.747621554022706i</v>
      </c>
      <c r="X454" s="4">
        <f t="shared" si="295"/>
        <v>1.2485743822613558</v>
      </c>
      <c r="Y454" s="4">
        <f t="shared" si="296"/>
        <v>-0.64197716472926747</v>
      </c>
      <c r="Z454" t="str">
        <f t="shared" si="285"/>
        <v>-2.35876774559858+3.23752854094414i</v>
      </c>
      <c r="AA454" s="4">
        <f t="shared" si="297"/>
        <v>4.0056680255737742</v>
      </c>
      <c r="AB454" s="4">
        <f t="shared" si="298"/>
        <v>2.200440894331817</v>
      </c>
      <c r="AC454" s="48" t="str">
        <f t="shared" si="299"/>
        <v>-0.00542885605854894+0.00410793176139097i</v>
      </c>
      <c r="AD454" s="20">
        <f t="shared" si="300"/>
        <v>-43.339729235622485</v>
      </c>
      <c r="AE454" s="44">
        <f t="shared" si="301"/>
        <v>142.88576830928545</v>
      </c>
      <c r="AF454" t="str">
        <f t="shared" si="286"/>
        <v>-0.979317078436135</v>
      </c>
      <c r="AG454" t="str">
        <f t="shared" si="302"/>
        <v>1439394.59765635i</v>
      </c>
      <c r="AH454">
        <f t="shared" si="303"/>
        <v>1439394.5976563499</v>
      </c>
      <c r="AI454">
        <f t="shared" si="304"/>
        <v>1.5707963267948966</v>
      </c>
      <c r="AJ454" t="str">
        <f t="shared" si="287"/>
        <v>-32069.2300902163+1410.49155413541i</v>
      </c>
      <c r="AK454">
        <f t="shared" si="305"/>
        <v>32100.233721945424</v>
      </c>
      <c r="AL454">
        <f t="shared" si="306"/>
        <v>3.0976382748126774</v>
      </c>
      <c r="AM454" t="str">
        <f t="shared" si="288"/>
        <v>1+200248.576425951i</v>
      </c>
      <c r="AN454">
        <f t="shared" si="307"/>
        <v>200248.57642844794</v>
      </c>
      <c r="AO454">
        <f t="shared" si="308"/>
        <v>1.570791333001593</v>
      </c>
      <c r="AP454" t="str">
        <f t="shared" si="289"/>
        <v>1+1353.03092179697i</v>
      </c>
      <c r="AQ454">
        <f t="shared" si="309"/>
        <v>1353.031291337624</v>
      </c>
      <c r="AR454">
        <f t="shared" si="310"/>
        <v>1.5700572455205444</v>
      </c>
      <c r="AS454" s="42" t="str">
        <f t="shared" si="311"/>
        <v>-0.000248064550619988+0.00573729227753133i</v>
      </c>
      <c r="AT454">
        <f t="shared" si="312"/>
        <v>-44.817749133090061</v>
      </c>
      <c r="AU454" s="44">
        <f t="shared" si="313"/>
        <v>92.475768034030551</v>
      </c>
      <c r="AV454" s="42" t="str">
        <f t="shared" si="290"/>
        <v>-0.0000222216984327095-0.000032165966186909i</v>
      </c>
      <c r="AW454" s="20">
        <f t="shared" si="314"/>
        <v>-88.157478368712546</v>
      </c>
      <c r="AX454" s="44">
        <f t="shared" si="315"/>
        <v>-124.63846365668397</v>
      </c>
    </row>
    <row r="455" spans="14:50" x14ac:dyDescent="0.3">
      <c r="N455" s="8">
        <v>37</v>
      </c>
      <c r="O455" s="35">
        <f t="shared" si="316"/>
        <v>234422.88153199267</v>
      </c>
      <c r="P455" s="34" t="str">
        <f t="shared" si="281"/>
        <v>545.10556621881</v>
      </c>
      <c r="Q455" s="4" t="str">
        <f t="shared" si="282"/>
        <v>1+31465.6936019805i</v>
      </c>
      <c r="R455" s="4">
        <f t="shared" si="291"/>
        <v>31465.693617870824</v>
      </c>
      <c r="S455" s="4">
        <f t="shared" si="292"/>
        <v>1.5707645461511164</v>
      </c>
      <c r="T455" s="4" t="str">
        <f t="shared" si="283"/>
        <v>1+0.73646120245426i</v>
      </c>
      <c r="U455" s="4">
        <f t="shared" si="293"/>
        <v>1.2419239520680703</v>
      </c>
      <c r="V455" s="4">
        <f t="shared" si="294"/>
        <v>0.63477982169453329</v>
      </c>
      <c r="W455" t="str">
        <f t="shared" si="284"/>
        <v>1-0.765035897109483i</v>
      </c>
      <c r="X455" s="4">
        <f t="shared" si="295"/>
        <v>1.2590789982626631</v>
      </c>
      <c r="Y455" s="4">
        <f t="shared" si="296"/>
        <v>-0.65305483869466863</v>
      </c>
      <c r="Z455" t="str">
        <f t="shared" si="285"/>
        <v>-2.51706159268883+3.31294026825708i</v>
      </c>
      <c r="AA455" s="4">
        <f t="shared" si="297"/>
        <v>4.1606696915795327</v>
      </c>
      <c r="AB455" s="4">
        <f t="shared" si="298"/>
        <v>2.2205188571624999</v>
      </c>
      <c r="AC455" s="48" t="str">
        <f t="shared" si="299"/>
        <v>-0.00511144598195215+0.00403266735438386i</v>
      </c>
      <c r="AD455" s="20">
        <f t="shared" si="300"/>
        <v>-43.727438983942484</v>
      </c>
      <c r="AE455" s="44">
        <f t="shared" si="301"/>
        <v>141.72838070749711</v>
      </c>
      <c r="AF455" t="str">
        <f t="shared" si="286"/>
        <v>-0.979317078436135</v>
      </c>
      <c r="AG455" t="str">
        <f t="shared" si="302"/>
        <v>1472922.40490852i</v>
      </c>
      <c r="AH455">
        <f t="shared" si="303"/>
        <v>1472922.4049085199</v>
      </c>
      <c r="AI455">
        <f t="shared" si="304"/>
        <v>1.5707963267948966</v>
      </c>
      <c r="AJ455" t="str">
        <f t="shared" si="287"/>
        <v>-33580.6534700265+1443.34612301795i</v>
      </c>
      <c r="AK455">
        <f t="shared" si="305"/>
        <v>33611.657732174317</v>
      </c>
      <c r="AL455">
        <f t="shared" si="306"/>
        <v>3.0986376142521137</v>
      </c>
      <c r="AM455" t="str">
        <f t="shared" si="288"/>
        <v>1+204912.964970873i</v>
      </c>
      <c r="AN455">
        <f t="shared" si="307"/>
        <v>204912.96497331306</v>
      </c>
      <c r="AO455">
        <f t="shared" si="308"/>
        <v>1.5707914466742068</v>
      </c>
      <c r="AP455" t="str">
        <f t="shared" si="289"/>
        <v>1+1384.54706061401i</v>
      </c>
      <c r="AQ455">
        <f t="shared" si="309"/>
        <v>1384.5474217428939</v>
      </c>
      <c r="AR455">
        <f t="shared" si="310"/>
        <v>1.5700740690583694</v>
      </c>
      <c r="AS455" s="42" t="str">
        <f t="shared" si="311"/>
        <v>-0.00023691972508781+0.00560716671443389i</v>
      </c>
      <c r="AT455">
        <f t="shared" si="312"/>
        <v>-45.017383998915392</v>
      </c>
      <c r="AU455" s="44">
        <f t="shared" si="313"/>
        <v>92.41948053252473</v>
      </c>
      <c r="AV455" s="42" t="str">
        <f t="shared" si="290"/>
        <v>-0.0000214008357830401-0.0000296161482136002i</v>
      </c>
      <c r="AW455" s="20">
        <f t="shared" si="314"/>
        <v>-88.744822982857869</v>
      </c>
      <c r="AX455" s="44">
        <f t="shared" si="315"/>
        <v>-125.85213875997816</v>
      </c>
    </row>
    <row r="456" spans="14:50" x14ac:dyDescent="0.3">
      <c r="N456" s="8">
        <v>38</v>
      </c>
      <c r="O456" s="35">
        <f t="shared" si="316"/>
        <v>239883.29190194907</v>
      </c>
      <c r="P456" s="34" t="str">
        <f t="shared" si="281"/>
        <v>545.10556621881</v>
      </c>
      <c r="Q456" s="4" t="str">
        <f t="shared" si="282"/>
        <v>1+32198.6237601599i</v>
      </c>
      <c r="R456" s="4">
        <f t="shared" si="291"/>
        <v>32198.623775688509</v>
      </c>
      <c r="S456" s="4">
        <f t="shared" si="292"/>
        <v>1.5707652695668881</v>
      </c>
      <c r="T456" s="4" t="str">
        <f t="shared" si="283"/>
        <v>1+0.7536155875581i</v>
      </c>
      <c r="U456" s="4">
        <f t="shared" si="293"/>
        <v>1.2521726932857704</v>
      </c>
      <c r="V456" s="4">
        <f t="shared" si="294"/>
        <v>0.64581107181541952</v>
      </c>
      <c r="W456" t="str">
        <f t="shared" si="284"/>
        <v>1-0.782855872355352i</v>
      </c>
      <c r="X456" s="4">
        <f t="shared" si="295"/>
        <v>1.2699855577451498</v>
      </c>
      <c r="Y456" s="4">
        <f t="shared" si="296"/>
        <v>-0.66419943456230424</v>
      </c>
      <c r="Z456" t="str">
        <f t="shared" si="285"/>
        <v>-2.68281559895782+3.39010856035218i</v>
      </c>
      <c r="AA456" s="4">
        <f t="shared" si="297"/>
        <v>4.3232320766973098</v>
      </c>
      <c r="AB456" s="4">
        <f t="shared" si="298"/>
        <v>2.240250226432805</v>
      </c>
      <c r="AC456" s="48" t="str">
        <f t="shared" si="299"/>
        <v>-0.00481142260029424+0.00395336781952046i</v>
      </c>
      <c r="AD456" s="20">
        <f t="shared" si="300"/>
        <v>-44.11404463241324</v>
      </c>
      <c r="AE456" s="44">
        <f t="shared" si="301"/>
        <v>140.59132084270934</v>
      </c>
      <c r="AF456" t="str">
        <f t="shared" si="286"/>
        <v>-0.979317078436135</v>
      </c>
      <c r="AG456" t="str">
        <f t="shared" si="302"/>
        <v>1507231.1751162i</v>
      </c>
      <c r="AH456">
        <f t="shared" si="303"/>
        <v>1507231.1751162</v>
      </c>
      <c r="AI456">
        <f t="shared" si="304"/>
        <v>1.5707963267948966</v>
      </c>
      <c r="AJ456" t="str">
        <f t="shared" si="287"/>
        <v>-35163.3080392171+1476.96597311987i</v>
      </c>
      <c r="AK456">
        <f t="shared" si="305"/>
        <v>35194.312903459613</v>
      </c>
      <c r="AL456">
        <f t="shared" si="306"/>
        <v>3.0996142848914543</v>
      </c>
      <c r="AM456" t="str">
        <f t="shared" si="288"/>
        <v>1+209686.001082166i</v>
      </c>
      <c r="AN456">
        <f t="shared" si="307"/>
        <v>209686.00108455052</v>
      </c>
      <c r="AO456">
        <f t="shared" si="308"/>
        <v>1.5707915577593157</v>
      </c>
      <c r="AP456" t="str">
        <f t="shared" si="289"/>
        <v>1+1416.79730460923i</v>
      </c>
      <c r="AQ456">
        <f t="shared" si="309"/>
        <v>1416.7976575178191</v>
      </c>
      <c r="AR456">
        <f t="shared" si="310"/>
        <v>1.5700905096461151</v>
      </c>
      <c r="AS456" s="42" t="str">
        <f t="shared" si="311"/>
        <v>-0.000226274749715834+0.00547997179560177i</v>
      </c>
      <c r="AT456">
        <f t="shared" si="312"/>
        <v>-45.217035269825097</v>
      </c>
      <c r="AU456" s="44">
        <f t="shared" si="313"/>
        <v>92.364469767914613</v>
      </c>
      <c r="AV456" s="42" t="str">
        <f t="shared" si="290"/>
        <v>-0.0000205756407039531-0.00002726100746023i</v>
      </c>
      <c r="AW456" s="20">
        <f t="shared" si="314"/>
        <v>-89.331079902238329</v>
      </c>
      <c r="AX456" s="44">
        <f t="shared" si="315"/>
        <v>-127.04420938937601</v>
      </c>
    </row>
    <row r="457" spans="14:50" x14ac:dyDescent="0.3">
      <c r="N457" s="8">
        <v>39</v>
      </c>
      <c r="O457" s="35">
        <f t="shared" si="316"/>
        <v>245470.89156850305</v>
      </c>
      <c r="P457" s="34" t="str">
        <f t="shared" si="281"/>
        <v>545.10556621881</v>
      </c>
      <c r="Q457" s="4" t="str">
        <f t="shared" si="282"/>
        <v>1+32948.6260548561i</v>
      </c>
      <c r="R457" s="4">
        <f t="shared" si="291"/>
        <v>32948.626070031234</v>
      </c>
      <c r="S457" s="4">
        <f t="shared" si="292"/>
        <v>1.5707659765157065</v>
      </c>
      <c r="T457" s="4" t="str">
        <f t="shared" si="283"/>
        <v>1+0.771169549621745i</v>
      </c>
      <c r="U457" s="4">
        <f t="shared" si="293"/>
        <v>1.2628152969709405</v>
      </c>
      <c r="V457" s="4">
        <f t="shared" si="294"/>
        <v>0.65691252964020141</v>
      </c>
      <c r="W457" t="str">
        <f t="shared" si="284"/>
        <v>1-0.801090928147066i</v>
      </c>
      <c r="X457" s="4">
        <f t="shared" si="295"/>
        <v>1.2813066280791368</v>
      </c>
      <c r="Y457" s="4">
        <f t="shared" si="296"/>
        <v>-0.67540578841062171</v>
      </c>
      <c r="Z457" t="str">
        <f t="shared" si="285"/>
        <v>-2.85638135087589+3.46907433287937i</v>
      </c>
      <c r="AA457" s="4">
        <f t="shared" si="297"/>
        <v>4.4937057256427035</v>
      </c>
      <c r="AB457" s="4">
        <f t="shared" si="298"/>
        <v>2.2596342418501578</v>
      </c>
      <c r="AC457" s="48" t="str">
        <f t="shared" si="299"/>
        <v>-0.00452806760542703+0.00387080146494182i</v>
      </c>
      <c r="AD457" s="20">
        <f t="shared" si="300"/>
        <v>-44.499368298987712</v>
      </c>
      <c r="AE457" s="44">
        <f t="shared" si="301"/>
        <v>139.47464796465874</v>
      </c>
      <c r="AF457" t="str">
        <f t="shared" si="286"/>
        <v>-0.979317078436135</v>
      </c>
      <c r="AG457" t="str">
        <f t="shared" si="302"/>
        <v>1542339.09924349i</v>
      </c>
      <c r="AH457">
        <f t="shared" si="303"/>
        <v>1542339.09924349</v>
      </c>
      <c r="AI457">
        <f t="shared" si="304"/>
        <v>1.5707963267948966</v>
      </c>
      <c r="AJ457" t="str">
        <f t="shared" si="287"/>
        <v>-36820.5508203198+1511.36893013068i</v>
      </c>
      <c r="AK457">
        <f t="shared" si="305"/>
        <v>36851.556259603436</v>
      </c>
      <c r="AL457">
        <f t="shared" si="306"/>
        <v>3.1005687974783385</v>
      </c>
      <c r="AM457" t="str">
        <f t="shared" si="288"/>
        <v>1+214570.215486754i</v>
      </c>
      <c r="AN457">
        <f t="shared" si="307"/>
        <v>214570.21548908422</v>
      </c>
      <c r="AO457">
        <f t="shared" si="308"/>
        <v>1.5707916663158188</v>
      </c>
      <c r="AP457" t="str">
        <f t="shared" si="289"/>
        <v>1+1449.79875328888i</v>
      </c>
      <c r="AQ457">
        <f t="shared" si="309"/>
        <v>1449.7990981642909</v>
      </c>
      <c r="AR457">
        <f t="shared" si="310"/>
        <v>1.5701065760007633</v>
      </c>
      <c r="AS457" s="42" t="str">
        <f t="shared" si="311"/>
        <v>-0.00021610728110352+0.00535564289773986i</v>
      </c>
      <c r="AT457">
        <f t="shared" si="312"/>
        <v>-45.416702209986546</v>
      </c>
      <c r="AU457" s="44">
        <f t="shared" si="313"/>
        <v>92.310706979337013</v>
      </c>
      <c r="AV457" s="42" t="str">
        <f t="shared" si="290"/>
        <v>-0.0000197520819954149-0.0000250872214917713i</v>
      </c>
      <c r="AW457" s="20">
        <f t="shared" si="314"/>
        <v>-89.916070508974272</v>
      </c>
      <c r="AX457" s="44">
        <f t="shared" si="315"/>
        <v>-128.21464505600417</v>
      </c>
    </row>
    <row r="458" spans="14:50" x14ac:dyDescent="0.3">
      <c r="N458" s="8">
        <v>40</v>
      </c>
      <c r="O458" s="35">
        <f t="shared" si="316"/>
        <v>251188.64315095844</v>
      </c>
      <c r="P458" s="34" t="str">
        <f t="shared" si="281"/>
        <v>545.10556621881</v>
      </c>
      <c r="Q458" s="4" t="str">
        <f t="shared" si="282"/>
        <v>1+33716.0981472135i</v>
      </c>
      <c r="R458" s="4">
        <f t="shared" si="291"/>
        <v>33716.098162043214</v>
      </c>
      <c r="S458" s="4">
        <f t="shared" si="292"/>
        <v>1.5707666673724052</v>
      </c>
      <c r="T458" s="4" t="str">
        <f t="shared" si="283"/>
        <v>1+0.78913239598824i</v>
      </c>
      <c r="U458" s="4">
        <f t="shared" si="293"/>
        <v>1.2738641758045246</v>
      </c>
      <c r="V458" s="4">
        <f t="shared" si="294"/>
        <v>0.66807913640737593</v>
      </c>
      <c r="W458" t="str">
        <f t="shared" si="284"/>
        <v>1-0.819750732952581i</v>
      </c>
      <c r="X458" s="4">
        <f t="shared" si="295"/>
        <v>1.2930550120456183</v>
      </c>
      <c r="Y458" s="4">
        <f t="shared" si="296"/>
        <v>-0.68666858403605846</v>
      </c>
      <c r="Z458" t="str">
        <f t="shared" si="285"/>
        <v>-3.03812700467326+3.54987945453651i</v>
      </c>
      <c r="AA458" s="4">
        <f t="shared" si="297"/>
        <v>4.6724575801461636</v>
      </c>
      <c r="AB458" s="4">
        <f t="shared" si="298"/>
        <v>2.2786707592388109</v>
      </c>
      <c r="AC458" s="48" t="str">
        <f t="shared" si="299"/>
        <v>-0.00426066020974138+0.00378566645943343i</v>
      </c>
      <c r="AD458" s="20">
        <f t="shared" si="300"/>
        <v>-44.883238674344888</v>
      </c>
      <c r="AE458" s="44">
        <f t="shared" si="301"/>
        <v>138.37838506287363</v>
      </c>
      <c r="AF458" t="str">
        <f t="shared" si="286"/>
        <v>-0.979317078436135</v>
      </c>
      <c r="AG458" t="str">
        <f t="shared" si="302"/>
        <v>1578264.79197648i</v>
      </c>
      <c r="AH458">
        <f t="shared" si="303"/>
        <v>1578264.79197648</v>
      </c>
      <c r="AI458">
        <f t="shared" si="304"/>
        <v>1.5707963267948966</v>
      </c>
      <c r="AJ458" t="str">
        <f t="shared" si="287"/>
        <v>-38555.8970474642+1546.57323495359i</v>
      </c>
      <c r="AK458">
        <f t="shared" si="305"/>
        <v>38586.903035949035</v>
      </c>
      <c r="AL458">
        <f t="shared" si="306"/>
        <v>3.1015016514839826</v>
      </c>
      <c r="AM458" t="str">
        <f t="shared" si="288"/>
        <v>1+219568.197859768i</v>
      </c>
      <c r="AN458">
        <f t="shared" si="307"/>
        <v>219568.1978620452</v>
      </c>
      <c r="AO458">
        <f t="shared" si="308"/>
        <v>1.5707917724012743</v>
      </c>
      <c r="AP458" t="str">
        <f t="shared" si="289"/>
        <v>1+1483.56890445789i</v>
      </c>
      <c r="AQ458">
        <f t="shared" si="309"/>
        <v>1483.5692414829798</v>
      </c>
      <c r="AR458">
        <f t="shared" si="310"/>
        <v>1.5701222766408747</v>
      </c>
      <c r="AS458" s="42" t="str">
        <f t="shared" si="311"/>
        <v>-0.000206395968006713+0.00523411673015745i</v>
      </c>
      <c r="AT458">
        <f t="shared" si="312"/>
        <v>-45.616384116463784</v>
      </c>
      <c r="AU458" s="44">
        <f t="shared" si="313"/>
        <v>92.258164040574627</v>
      </c>
      <c r="AV458" s="42" t="str">
        <f t="shared" si="290"/>
        <v>-0.0000189352370617792-0.0000230821391787688i</v>
      </c>
      <c r="AW458" s="20">
        <f t="shared" si="314"/>
        <v>-90.499622790808672</v>
      </c>
      <c r="AX458" s="44">
        <f t="shared" si="315"/>
        <v>-129.36345089655177</v>
      </c>
    </row>
    <row r="459" spans="14:50" x14ac:dyDescent="0.3">
      <c r="N459" s="8">
        <v>41</v>
      </c>
      <c r="O459" s="35">
        <f t="shared" si="316"/>
        <v>257039.57827688678</v>
      </c>
      <c r="P459" s="34" t="str">
        <f t="shared" si="281"/>
        <v>545.10556621881</v>
      </c>
      <c r="Q459" s="4" t="str">
        <f t="shared" si="282"/>
        <v>1+34501.4469610936i</v>
      </c>
      <c r="R459" s="4">
        <f t="shared" si="291"/>
        <v>34501.446975585743</v>
      </c>
      <c r="S459" s="4">
        <f t="shared" si="292"/>
        <v>1.5707673425032858</v>
      </c>
      <c r="T459" s="4" t="str">
        <f t="shared" si="283"/>
        <v>1+0.807513650796485i</v>
      </c>
      <c r="U459" s="4">
        <f t="shared" si="293"/>
        <v>1.2853319789932356</v>
      </c>
      <c r="V459" s="4">
        <f t="shared" si="294"/>
        <v>0.67930567415543253</v>
      </c>
      <c r="W459" t="str">
        <f t="shared" si="284"/>
        <v>1-0.838845180447386i</v>
      </c>
      <c r="X459" s="4">
        <f t="shared" si="295"/>
        <v>1.3052437461102073</v>
      </c>
      <c r="Y459" s="4">
        <f t="shared" si="296"/>
        <v>-0.69798236427036808</v>
      </c>
      <c r="Z459" t="str">
        <f t="shared" si="285"/>
        <v>-3.22843806724862+3.63256676926862i</v>
      </c>
      <c r="AA459" s="4">
        <f t="shared" si="297"/>
        <v>4.8598717768326631</v>
      </c>
      <c r="AB459" s="4">
        <f t="shared" si="298"/>
        <v>2.297360207097312</v>
      </c>
      <c r="AC459" s="48" t="str">
        <f t="shared" si="299"/>
        <v>-0.00400848199121614+0.00369859414369i</v>
      </c>
      <c r="AD459" s="20">
        <f t="shared" si="300"/>
        <v>-45.265491397214973</v>
      </c>
      <c r="AE459" s="44">
        <f t="shared" si="301"/>
        <v>137.30252127074522</v>
      </c>
      <c r="AF459" t="str">
        <f t="shared" si="286"/>
        <v>-0.979317078436135</v>
      </c>
      <c r="AG459" t="str">
        <f t="shared" si="302"/>
        <v>1615027.30159297i</v>
      </c>
      <c r="AH459">
        <f t="shared" si="303"/>
        <v>1615027.30159297</v>
      </c>
      <c r="AI459">
        <f t="shared" si="304"/>
        <v>1.5707963267948966</v>
      </c>
      <c r="AJ459" t="str">
        <f t="shared" si="287"/>
        <v>-40373.027622659+1582.59755337699i</v>
      </c>
      <c r="AK459">
        <f t="shared" si="305"/>
        <v>40404.034135664493</v>
      </c>
      <c r="AL459">
        <f t="shared" si="306"/>
        <v>3.1024133353366672</v>
      </c>
      <c r="AM459" t="str">
        <f t="shared" si="288"/>
        <v>1+224682.598197614i</v>
      </c>
      <c r="AN459">
        <f t="shared" si="307"/>
        <v>224682.59819983935</v>
      </c>
      <c r="AO459">
        <f t="shared" si="308"/>
        <v>1.5707918760719299</v>
      </c>
      <c r="AP459" t="str">
        <f t="shared" si="289"/>
        <v>1+1518.1256634974i</v>
      </c>
      <c r="AQ459">
        <f t="shared" si="309"/>
        <v>1518.1259928508639</v>
      </c>
      <c r="AR459">
        <f t="shared" si="310"/>
        <v>1.5701376198911055</v>
      </c>
      <c r="AS459" s="42" t="str">
        <f t="shared" si="311"/>
        <v>-0.000197120407861405+0.00511533131357977i</v>
      </c>
      <c r="AT459">
        <f t="shared" si="312"/>
        <v>-45.81608031775658</v>
      </c>
      <c r="AU459" s="44">
        <f t="shared" si="313"/>
        <v>92.206813446938853</v>
      </c>
      <c r="AV459" s="42" t="str">
        <f t="shared" si="290"/>
        <v>-0.0000181293808344266-0.0000212337818357065i</v>
      </c>
      <c r="AW459" s="20">
        <f t="shared" si="314"/>
        <v>-91.081571714971545</v>
      </c>
      <c r="AX459" s="44">
        <f t="shared" si="315"/>
        <v>-130.49066528231594</v>
      </c>
    </row>
    <row r="460" spans="14:50" x14ac:dyDescent="0.3">
      <c r="N460" s="8">
        <v>42</v>
      </c>
      <c r="O460" s="35">
        <f t="shared" si="316"/>
        <v>263026.79918953858</v>
      </c>
      <c r="P460" s="34" t="str">
        <f t="shared" si="281"/>
        <v>545.10556621881</v>
      </c>
      <c r="Q460" s="4" t="str">
        <f t="shared" si="282"/>
        <v>1+35305.0888988331i</v>
      </c>
      <c r="R460" s="4">
        <f t="shared" si="291"/>
        <v>35305.088912995358</v>
      </c>
      <c r="S460" s="4">
        <f t="shared" si="292"/>
        <v>1.5707680022663111</v>
      </c>
      <c r="T460" s="4" t="str">
        <f t="shared" si="283"/>
        <v>1+0.82632306003109i</v>
      </c>
      <c r="U460" s="4">
        <f t="shared" si="293"/>
        <v>1.2972315905570386</v>
      </c>
      <c r="V460" s="4">
        <f t="shared" si="294"/>
        <v>0.69058677646801558</v>
      </c>
      <c r="W460" t="str">
        <f t="shared" si="284"/>
        <v>1-0.858384394760294i</v>
      </c>
      <c r="X460" s="4">
        <f t="shared" si="295"/>
        <v>1.3178860987080774</v>
      </c>
      <c r="Y460" s="4">
        <f t="shared" si="296"/>
        <v>-0.70934154313206599</v>
      </c>
      <c r="Z460" t="str">
        <f t="shared" si="285"/>
        <v>-3.42771821388119+3.71718011898452i</v>
      </c>
      <c r="AA460" s="4">
        <f t="shared" si="297"/>
        <v>5.0563504813992699</v>
      </c>
      <c r="AB460" s="4">
        <f t="shared" si="298"/>
        <v>2.3157035438155358</v>
      </c>
      <c r="AC460" s="48" t="str">
        <f t="shared" si="299"/>
        <v>-0.00377082116462378+0.00361015256064161i</v>
      </c>
      <c r="AD460" s="20">
        <f t="shared" si="300"/>
        <v>-45.645969382207781</v>
      </c>
      <c r="AE460" s="44">
        <f t="shared" si="301"/>
        <v>136.24701423622349</v>
      </c>
      <c r="AF460" t="str">
        <f t="shared" si="286"/>
        <v>-0.979317078436135</v>
      </c>
      <c r="AG460" t="str">
        <f t="shared" si="302"/>
        <v>1652646.12006218i</v>
      </c>
      <c r="AH460">
        <f t="shared" si="303"/>
        <v>1652646.1200621801</v>
      </c>
      <c r="AI460">
        <f t="shared" si="304"/>
        <v>1.5707963267948966</v>
      </c>
      <c r="AJ460" t="str">
        <f t="shared" si="287"/>
        <v>-42275.7969234817+1619.46098597135i</v>
      </c>
      <c r="AK460">
        <f t="shared" si="305"/>
        <v>42306.803937434794</v>
      </c>
      <c r="AL460">
        <f t="shared" si="306"/>
        <v>3.1033043266514442</v>
      </c>
      <c r="AM460" t="str">
        <f t="shared" si="288"/>
        <v>1+229916.128223051i</v>
      </c>
      <c r="AN460">
        <f t="shared" si="307"/>
        <v>229916.12822522569</v>
      </c>
      <c r="AO460">
        <f t="shared" si="308"/>
        <v>1.5707919773827534</v>
      </c>
      <c r="AP460" t="str">
        <f t="shared" si="289"/>
        <v>1+1553.48735285845i</v>
      </c>
      <c r="AQ460">
        <f t="shared" si="309"/>
        <v>1553.4876747149153</v>
      </c>
      <c r="AR460">
        <f t="shared" si="310"/>
        <v>1.5701526138866211</v>
      </c>
      <c r="AS460" s="42" t="str">
        <f t="shared" si="311"/>
        <v>-0.000188261105161392+0.0049992259588415i</v>
      </c>
      <c r="AT460">
        <f t="shared" si="312"/>
        <v>-46.015790172403499</v>
      </c>
      <c r="AU460" s="44">
        <f t="shared" si="313"/>
        <v>92.156628302362989</v>
      </c>
      <c r="AV460" s="42" t="str">
        <f t="shared" si="290"/>
        <v>-0.0000173380694367196-0.0000195308383632038i</v>
      </c>
      <c r="AW460" s="20">
        <f t="shared" si="314"/>
        <v>-91.66175955461128</v>
      </c>
      <c r="AX460" s="44">
        <f t="shared" si="315"/>
        <v>-131.59635746141345</v>
      </c>
    </row>
    <row r="461" spans="14:50" x14ac:dyDescent="0.3">
      <c r="N461" s="8">
        <v>43</v>
      </c>
      <c r="O461" s="35">
        <f t="shared" si="316"/>
        <v>269153.48039269145</v>
      </c>
      <c r="P461" s="34" t="str">
        <f t="shared" si="281"/>
        <v>545.10556621881</v>
      </c>
      <c r="Q461" s="4" t="str">
        <f t="shared" si="282"/>
        <v>1+36127.4500620251i</v>
      </c>
      <c r="R461" s="4">
        <f t="shared" si="291"/>
        <v>36127.450075864988</v>
      </c>
      <c r="S461" s="4">
        <f t="shared" si="292"/>
        <v>1.5707686470112965</v>
      </c>
      <c r="T461" s="4" t="str">
        <f t="shared" si="283"/>
        <v>1+0.845570596689805i</v>
      </c>
      <c r="U461" s="4">
        <f t="shared" si="293"/>
        <v>1.3095761276024975</v>
      </c>
      <c r="V461" s="4">
        <f t="shared" si="294"/>
        <v>0.70191694008659855</v>
      </c>
      <c r="W461" t="str">
        <f t="shared" si="284"/>
        <v>1-0.878378735841367i</v>
      </c>
      <c r="X461" s="4">
        <f t="shared" si="295"/>
        <v>1.3309955685795043</v>
      </c>
      <c r="Y461" s="4">
        <f t="shared" si="296"/>
        <v>-0.72074041875338457</v>
      </c>
      <c r="Z461" t="str">
        <f t="shared" si="285"/>
        <v>-3.63639014447995+3.8037643668022i</v>
      </c>
      <c r="AA461" s="4">
        <f t="shared" si="297"/>
        <v>5.2623147607326812</v>
      </c>
      <c r="AB461" s="4">
        <f t="shared" si="298"/>
        <v>2.3337022158572736</v>
      </c>
      <c r="AC461" s="48" t="str">
        <f t="shared" si="299"/>
        <v>-0.00354697629800247+0.0035208501321099i</v>
      </c>
      <c r="AD461" s="20">
        <f t="shared" si="300"/>
        <v>-46.024523101366917</v>
      </c>
      <c r="AE461" s="44">
        <f t="shared" si="301"/>
        <v>135.21179244246665</v>
      </c>
      <c r="AF461" t="str">
        <f t="shared" si="286"/>
        <v>-0.979317078436135</v>
      </c>
      <c r="AG461" t="str">
        <f t="shared" si="302"/>
        <v>1691141.19337961i</v>
      </c>
      <c r="AH461">
        <f t="shared" si="303"/>
        <v>1691141.1933796101</v>
      </c>
      <c r="AI461">
        <f t="shared" si="304"/>
        <v>1.5707963267948966</v>
      </c>
      <c r="AJ461" t="str">
        <f t="shared" si="287"/>
        <v>-44268.2409787283+1657.18307821656i</v>
      </c>
      <c r="AK461">
        <f t="shared" si="305"/>
        <v>44299.248471113897</v>
      </c>
      <c r="AL461">
        <f t="shared" si="306"/>
        <v>3.1041750924560452</v>
      </c>
      <c r="AM461" t="str">
        <f t="shared" si="288"/>
        <v>1+235271.562822971i</v>
      </c>
      <c r="AN461">
        <f t="shared" si="307"/>
        <v>235271.56282509622</v>
      </c>
      <c r="AO461">
        <f t="shared" si="308"/>
        <v>1.570792076387461</v>
      </c>
      <c r="AP461" t="str">
        <f t="shared" si="289"/>
        <v>1+1589.67272177684i</v>
      </c>
      <c r="AQ461">
        <f t="shared" si="309"/>
        <v>1589.6730363069591</v>
      </c>
      <c r="AR461">
        <f t="shared" si="310"/>
        <v>1.5701672665774093</v>
      </c>
      <c r="AS461" s="42" t="str">
        <f t="shared" si="311"/>
        <v>-0.000179799431615389+0.00488574124550416i</v>
      </c>
      <c r="AT461">
        <f t="shared" si="312"/>
        <v>-46.215513067645588</v>
      </c>
      <c r="AU461" s="44">
        <f t="shared" si="313"/>
        <v>92.107582306707641</v>
      </c>
      <c r="AV461" s="42" t="str">
        <f t="shared" si="290"/>
        <v>-0.000016564218387354-0.0000179626552485327i</v>
      </c>
      <c r="AW461" s="20">
        <f t="shared" si="314"/>
        <v>-92.240036169012498</v>
      </c>
      <c r="AX461" s="44">
        <f t="shared" si="315"/>
        <v>-132.68062525082559</v>
      </c>
    </row>
    <row r="462" spans="14:50" x14ac:dyDescent="0.3">
      <c r="N462" s="8">
        <v>44</v>
      </c>
      <c r="O462" s="35">
        <f t="shared" si="316"/>
        <v>275422.87033381703</v>
      </c>
      <c r="P462" s="34" t="str">
        <f t="shared" si="281"/>
        <v>545.10556621881</v>
      </c>
      <c r="Q462" s="4" t="str">
        <f t="shared" si="282"/>
        <v>1+36968.9664774432i</v>
      </c>
      <c r="R462" s="4">
        <f t="shared" si="291"/>
        <v>36968.966490968058</v>
      </c>
      <c r="S462" s="4">
        <f t="shared" si="292"/>
        <v>1.5707692770800941</v>
      </c>
      <c r="T462" s="4" t="str">
        <f t="shared" si="283"/>
        <v>1+0.865266466071335i</v>
      </c>
      <c r="U462" s="4">
        <f t="shared" si="293"/>
        <v>1.3223789386206877</v>
      </c>
      <c r="V462" s="4">
        <f t="shared" si="294"/>
        <v>0.7132905373379449</v>
      </c>
      <c r="W462" t="str">
        <f t="shared" si="284"/>
        <v>1-0.8988388049549i</v>
      </c>
      <c r="X462" s="4">
        <f t="shared" si="295"/>
        <v>1.3445858831970356</v>
      </c>
      <c r="Y462" s="4">
        <f t="shared" si="296"/>
        <v>-0.7321731870157695</v>
      </c>
      <c r="Z462" t="str">
        <f t="shared" si="285"/>
        <v>-3.85489648018682+3.89236542083594i</v>
      </c>
      <c r="AA462" s="4">
        <f t="shared" si="297"/>
        <v>5.4782054947104788</v>
      </c>
      <c r="AB462" s="4">
        <f t="shared" si="298"/>
        <v>2.3513581171629805</v>
      </c>
      <c r="AC462" s="48" t="str">
        <f t="shared" si="299"/>
        <v>-0.00333625950003739+0.00343113941714872i</v>
      </c>
      <c r="AD462" s="20">
        <f t="shared" si="300"/>
        <v>-46.401010820819479</v>
      </c>
      <c r="AE462" s="44">
        <f t="shared" si="301"/>
        <v>134.19675746466538</v>
      </c>
      <c r="AF462" t="str">
        <f t="shared" si="286"/>
        <v>-0.979317078436135</v>
      </c>
      <c r="AG462" t="str">
        <f t="shared" si="302"/>
        <v>1730532.93214267i</v>
      </c>
      <c r="AH462">
        <f t="shared" si="303"/>
        <v>1730532.93214267</v>
      </c>
      <c r="AI462">
        <f t="shared" si="304"/>
        <v>1.5707963267948966</v>
      </c>
      <c r="AJ462" t="str">
        <f t="shared" si="287"/>
        <v>-46354.5860293714+1695.78383086525i</v>
      </c>
      <c r="AK462">
        <f t="shared" si="305"/>
        <v>46385.593978685007</v>
      </c>
      <c r="AL462">
        <f t="shared" si="306"/>
        <v>3.1050260894129829</v>
      </c>
      <c r="AM462" t="str">
        <f t="shared" si="288"/>
        <v>1+240751.741519688i</v>
      </c>
      <c r="AN462">
        <f t="shared" si="307"/>
        <v>240751.74152176481</v>
      </c>
      <c r="AO462">
        <f t="shared" si="308"/>
        <v>1.5707921731385464</v>
      </c>
      <c r="AP462" t="str">
        <f t="shared" si="289"/>
        <v>1+1626.70095621411i</v>
      </c>
      <c r="AQ462">
        <f t="shared" si="309"/>
        <v>1626.7012635846511</v>
      </c>
      <c r="AR462">
        <f t="shared" si="310"/>
        <v>1.5701815857324961</v>
      </c>
      <c r="AS462" s="42" t="str">
        <f t="shared" si="311"/>
        <v>-0.000171717588011599+0.00477481900043484i</v>
      </c>
      <c r="AT462">
        <f t="shared" si="312"/>
        <v>-46.415248418149673</v>
      </c>
      <c r="AU462" s="44">
        <f t="shared" si="313"/>
        <v>92.059649743278115</v>
      </c>
      <c r="AV462" s="42" t="str">
        <f t="shared" si="290"/>
        <v>-0.0000158101752478154-0.0000165192222360041i</v>
      </c>
      <c r="AW462" s="20">
        <f t="shared" si="314"/>
        <v>-92.816259238969138</v>
      </c>
      <c r="AX462" s="44">
        <f t="shared" si="315"/>
        <v>-133.74359279205638</v>
      </c>
    </row>
    <row r="463" spans="14:50" x14ac:dyDescent="0.3">
      <c r="N463" s="8">
        <v>45</v>
      </c>
      <c r="O463" s="35">
        <f t="shared" si="316"/>
        <v>281838.29312644573</v>
      </c>
      <c r="P463" s="34" t="str">
        <f t="shared" si="281"/>
        <v>545.10556621881</v>
      </c>
      <c r="Q463" s="4" t="str">
        <f t="shared" si="282"/>
        <v>1+37830.0843282298i</v>
      </c>
      <c r="R463" s="4">
        <f t="shared" si="291"/>
        <v>37830.084341446796</v>
      </c>
      <c r="S463" s="4">
        <f t="shared" si="292"/>
        <v>1.570769892806775</v>
      </c>
      <c r="T463" s="4" t="str">
        <f t="shared" si="283"/>
        <v>1+0.88542111118633i</v>
      </c>
      <c r="U463" s="4">
        <f t="shared" si="293"/>
        <v>1.3356536018498342</v>
      </c>
      <c r="V463" s="4">
        <f t="shared" si="294"/>
        <v>0.72470182931480764</v>
      </c>
      <c r="W463" t="str">
        <f t="shared" si="284"/>
        <v>1-0.919775450300357i</v>
      </c>
      <c r="X463" s="4">
        <f t="shared" si="295"/>
        <v>1.3586709973261462</v>
      </c>
      <c r="Y463" s="4">
        <f t="shared" si="296"/>
        <v>-0.74363395581898384</v>
      </c>
      <c r="Z463" t="str">
        <f t="shared" si="285"/>
        <v>-4.08370070223544+3.98303025853735i</v>
      </c>
      <c r="AA463" s="4">
        <f t="shared" si="297"/>
        <v>5.7044843295307892</v>
      </c>
      <c r="AB463" s="4">
        <f t="shared" si="298"/>
        <v>2.3686735499792073</v>
      </c>
      <c r="AC463" s="48" t="str">
        <f t="shared" si="299"/>
        <v>-0.00313799910893265+0.00334142089556138i</v>
      </c>
      <c r="AD463" s="20">
        <f t="shared" si="300"/>
        <v>-46.775298794003781</v>
      </c>
      <c r="AE463" s="44">
        <f t="shared" si="301"/>
        <v>133.20178615197941</v>
      </c>
      <c r="AF463" t="str">
        <f t="shared" si="286"/>
        <v>-0.979317078436135</v>
      </c>
      <c r="AG463" t="str">
        <f t="shared" si="302"/>
        <v>1770842.22237266i</v>
      </c>
      <c r="AH463">
        <f t="shared" si="303"/>
        <v>1770842.2223726599</v>
      </c>
      <c r="AI463">
        <f t="shared" si="304"/>
        <v>1.5707963267948966</v>
      </c>
      <c r="AJ463" t="str">
        <f t="shared" si="287"/>
        <v>-48539.2574929842+1735.28371054742i</v>
      </c>
      <c r="AK463">
        <f t="shared" si="305"/>
        <v>48570.26587868666</v>
      </c>
      <c r="AL463">
        <f t="shared" si="306"/>
        <v>3.1058577640378555</v>
      </c>
      <c r="AM463" t="str">
        <f t="shared" si="288"/>
        <v>1+246359.569976484i</v>
      </c>
      <c r="AN463">
        <f t="shared" si="307"/>
        <v>246359.56997851358</v>
      </c>
      <c r="AO463">
        <f t="shared" si="308"/>
        <v>1.5707922676873081</v>
      </c>
      <c r="AP463" t="str">
        <f t="shared" si="289"/>
        <v>1+1664.5916890303i</v>
      </c>
      <c r="AQ463">
        <f t="shared" si="309"/>
        <v>1664.5919894042343</v>
      </c>
      <c r="AR463">
        <f t="shared" si="310"/>
        <v>1.5701955789440629</v>
      </c>
      <c r="AS463" s="42" t="str">
        <f t="shared" si="311"/>
        <v>-0.000163998567720411+0.00466640227638218i</v>
      </c>
      <c r="AT463">
        <f t="shared" si="312"/>
        <v>-46.614995664787067</v>
      </c>
      <c r="AU463" s="44">
        <f t="shared" si="313"/>
        <v>92.01280546655444</v>
      </c>
      <c r="AV463" s="42" t="str">
        <f t="shared" si="290"/>
        <v>-0.0000150777867140257-0.0000151911544262317i</v>
      </c>
      <c r="AW463" s="20">
        <f t="shared" si="314"/>
        <v>-93.390294458790848</v>
      </c>
      <c r="AX463" s="44">
        <f t="shared" si="315"/>
        <v>-134.78540838146608</v>
      </c>
    </row>
    <row r="464" spans="14:50" x14ac:dyDescent="0.3">
      <c r="N464" s="8">
        <v>46</v>
      </c>
      <c r="O464" s="35">
        <f t="shared" si="316"/>
        <v>288403.1503126609</v>
      </c>
      <c r="P464" s="34" t="str">
        <f t="shared" si="281"/>
        <v>545.10556621881</v>
      </c>
      <c r="Q464" s="4" t="str">
        <f t="shared" si="282"/>
        <v>1+38711.2601904675i</v>
      </c>
      <c r="R464" s="4">
        <f t="shared" si="291"/>
        <v>38711.260203383637</v>
      </c>
      <c r="S464" s="4">
        <f t="shared" si="292"/>
        <v>1.5707704945178058</v>
      </c>
      <c r="T464" s="4" t="str">
        <f t="shared" si="283"/>
        <v>1+0.90604521829441i</v>
      </c>
      <c r="U464" s="4">
        <f t="shared" si="293"/>
        <v>1.3494139237439953</v>
      </c>
      <c r="V464" s="4">
        <f t="shared" si="294"/>
        <v>0.73614497974003168</v>
      </c>
      <c r="W464" t="str">
        <f t="shared" si="284"/>
        <v>1-0.941199772764231i</v>
      </c>
      <c r="X464" s="4">
        <f t="shared" si="295"/>
        <v>1.3732650917617617</v>
      </c>
      <c r="Y464" s="4">
        <f t="shared" si="296"/>
        <v>-0.75511675990169158</v>
      </c>
      <c r="Z464" t="str">
        <f t="shared" si="285"/>
        <v>-4.32328813505713+4.07580695160347i</v>
      </c>
      <c r="AA464" s="4">
        <f t="shared" si="297"/>
        <v>5.9416346745205502</v>
      </c>
      <c r="AB464" s="4">
        <f t="shared" si="298"/>
        <v>2.3856511872769177</v>
      </c>
      <c r="AC464" s="48" t="str">
        <f t="shared" si="299"/>
        <v>-0.00295154191685612+0.00325204672806301i</v>
      </c>
      <c r="AD464" s="20">
        <f t="shared" si="300"/>
        <v>-47.147261413036681</v>
      </c>
      <c r="AE464" s="44">
        <f t="shared" si="301"/>
        <v>132.226732725998</v>
      </c>
      <c r="AF464" t="str">
        <f t="shared" si="286"/>
        <v>-0.979317078436135</v>
      </c>
      <c r="AG464" t="str">
        <f t="shared" si="302"/>
        <v>1812090.43658882i</v>
      </c>
      <c r="AH464">
        <f t="shared" si="303"/>
        <v>1812090.4365888201</v>
      </c>
      <c r="AI464">
        <f t="shared" si="304"/>
        <v>1.5707963267948966</v>
      </c>
      <c r="AJ464" t="str">
        <f t="shared" si="287"/>
        <v>-50826.8893506453+1775.70366062212i</v>
      </c>
      <c r="AK464">
        <f t="shared" si="305"/>
        <v>50857.898153119611</v>
      </c>
      <c r="AL464">
        <f t="shared" si="306"/>
        <v>3.1066705529138412</v>
      </c>
      <c r="AM464" t="str">
        <f t="shared" si="288"/>
        <v>1+252098.021538237i</v>
      </c>
      <c r="AN464">
        <f t="shared" si="307"/>
        <v>252098.02154022036</v>
      </c>
      <c r="AO464">
        <f t="shared" si="308"/>
        <v>1.5707923600838773</v>
      </c>
      <c r="AP464" t="str">
        <f t="shared" si="289"/>
        <v>1+1703.3650103935i</v>
      </c>
      <c r="AQ464">
        <f t="shared" si="309"/>
        <v>1703.36530393009</v>
      </c>
      <c r="AR464">
        <f t="shared" si="310"/>
        <v>1.570209253631474</v>
      </c>
      <c r="AS464" s="42" t="str">
        <f t="shared" si="311"/>
        <v>-0.000156626121768281+0.00456043533058088i</v>
      </c>
      <c r="AT464">
        <f t="shared" si="312"/>
        <v>-46.814754273466747</v>
      </c>
      <c r="AU464" s="44">
        <f t="shared" si="313"/>
        <v>91.967024890133516</v>
      </c>
      <c r="AV464" s="42" t="str">
        <f t="shared" si="290"/>
        <v>-0.0000143684602316848-0.0000139696715041468i</v>
      </c>
      <c r="AW464" s="20">
        <f t="shared" si="314"/>
        <v>-93.96201568650342</v>
      </c>
      <c r="AX464" s="44">
        <f t="shared" si="315"/>
        <v>-135.80624238386844</v>
      </c>
    </row>
    <row r="465" spans="14:50" x14ac:dyDescent="0.3">
      <c r="N465" s="8">
        <v>47</v>
      </c>
      <c r="O465" s="35">
        <f t="shared" si="316"/>
        <v>295120.92266663886</v>
      </c>
      <c r="P465" s="34" t="str">
        <f t="shared" si="281"/>
        <v>545.10556621881</v>
      </c>
      <c r="Q465" s="4" t="str">
        <f t="shared" si="282"/>
        <v>1+39612.9612752623i</v>
      </c>
      <c r="R465" s="4">
        <f t="shared" si="291"/>
        <v>39612.961287884435</v>
      </c>
      <c r="S465" s="4">
        <f t="shared" si="292"/>
        <v>1.5707710825322212</v>
      </c>
      <c r="T465" s="4" t="str">
        <f t="shared" si="283"/>
        <v>1+0.927149722570155i</v>
      </c>
      <c r="U465" s="4">
        <f t="shared" si="293"/>
        <v>1.3636739375898901</v>
      </c>
      <c r="V465" s="4">
        <f t="shared" si="294"/>
        <v>0.74761406943655306</v>
      </c>
      <c r="W465" t="str">
        <f t="shared" si="284"/>
        <v>1-0.963123131805874i</v>
      </c>
      <c r="X465" s="4">
        <f t="shared" si="295"/>
        <v>1.3883825722831424</v>
      </c>
      <c r="Y465" s="4">
        <f t="shared" si="296"/>
        <v>-0.76661557612503906</v>
      </c>
      <c r="Z465" t="str">
        <f t="shared" si="285"/>
        <v>-4.57416697571894+4.17074469146501i</v>
      </c>
      <c r="AA465" s="4">
        <f t="shared" si="297"/>
        <v>6.190162744479446</v>
      </c>
      <c r="AB465" s="4">
        <f t="shared" si="298"/>
        <v>2.4022940368806527</v>
      </c>
      <c r="AC465" s="48" t="str">
        <f t="shared" si="299"/>
        <v>-0.00277625496627029+0.00316332445219519i</v>
      </c>
      <c r="AD465" s="20">
        <f t="shared" si="300"/>
        <v>-47.51678131984562</v>
      </c>
      <c r="AE465" s="44">
        <f t="shared" si="301"/>
        <v>131.27143078936203</v>
      </c>
      <c r="AF465" t="str">
        <f t="shared" si="286"/>
        <v>-0.979317078436135</v>
      </c>
      <c r="AG465" t="str">
        <f t="shared" si="302"/>
        <v>1854299.44514031i</v>
      </c>
      <c r="AH465">
        <f t="shared" si="303"/>
        <v>1854299.4451403101</v>
      </c>
      <c r="AI465">
        <f t="shared" si="304"/>
        <v>1.5707963267948966</v>
      </c>
      <c r="AJ465" t="str">
        <f t="shared" si="287"/>
        <v>-53222.3339762329+1817.0651122819i</v>
      </c>
      <c r="AK465">
        <f t="shared" si="305"/>
        <v>53253.343176742877</v>
      </c>
      <c r="AL465">
        <f t="shared" si="306"/>
        <v>3.1074648829024079</v>
      </c>
      <c r="AM465" t="str">
        <f t="shared" si="288"/>
        <v>1+257970.13880792i</v>
      </c>
      <c r="AN465">
        <f t="shared" si="307"/>
        <v>257970.13880985821</v>
      </c>
      <c r="AO465">
        <f t="shared" si="308"/>
        <v>1.5707924503772437</v>
      </c>
      <c r="AP465" t="str">
        <f t="shared" si="289"/>
        <v>1+1743.0414784319i</v>
      </c>
      <c r="AQ465">
        <f t="shared" si="309"/>
        <v>1743.0417652867829</v>
      </c>
      <c r="AR465">
        <f t="shared" si="310"/>
        <v>1.5702226170452094</v>
      </c>
      <c r="AS465" s="42" t="str">
        <f t="shared" si="311"/>
        <v>-0.000149584725418338+0.0044568636034146i</v>
      </c>
      <c r="AT465">
        <f t="shared" si="312"/>
        <v>-47.014523734019633</v>
      </c>
      <c r="AU465" s="44">
        <f t="shared" si="313"/>
        <v>91.922283974883726</v>
      </c>
      <c r="AV465" s="42" t="str">
        <f t="shared" si="290"/>
        <v>-0.0000136832202799593-0.0000128465747325598i</v>
      </c>
      <c r="AW465" s="20">
        <f t="shared" si="314"/>
        <v>-94.531305053865267</v>
      </c>
      <c r="AX465" s="44">
        <f t="shared" si="315"/>
        <v>-136.80628523575422</v>
      </c>
    </row>
    <row r="466" spans="14:50" x14ac:dyDescent="0.3">
      <c r="N466" s="8">
        <v>48</v>
      </c>
      <c r="O466" s="35">
        <f t="shared" si="316"/>
        <v>301995.17204020242</v>
      </c>
      <c r="P466" s="34" t="str">
        <f t="shared" si="281"/>
        <v>545.10556621881</v>
      </c>
      <c r="Q466" s="4" t="str">
        <f t="shared" si="282"/>
        <v>1+40535.6656764648i</v>
      </c>
      <c r="R466" s="4">
        <f t="shared" si="291"/>
        <v>40535.665688799607</v>
      </c>
      <c r="S466" s="4">
        <f t="shared" si="292"/>
        <v>1.5707716571617942</v>
      </c>
      <c r="T466" s="4" t="str">
        <f t="shared" si="283"/>
        <v>1+0.948745813901085i</v>
      </c>
      <c r="U466" s="4">
        <f t="shared" si="293"/>
        <v>1.3784479023143501</v>
      </c>
      <c r="V466" s="4">
        <f t="shared" si="294"/>
        <v>0.75910311131887509</v>
      </c>
      <c r="W466" t="str">
        <f t="shared" si="284"/>
        <v>1-0.985557151480444i</v>
      </c>
      <c r="X466" s="4">
        <f t="shared" si="295"/>
        <v>1.4040380688693048</v>
      </c>
      <c r="Y466" s="4">
        <f t="shared" si="296"/>
        <v>-0.77812433912534851</v>
      </c>
      <c r="Z466" t="str">
        <f t="shared" si="285"/>
        <v>-4.83686937187786+4.2678938153683i</v>
      </c>
      <c r="AA466" s="4">
        <f t="shared" si="297"/>
        <v>6.4505986497277217</v>
      </c>
      <c r="AB466" s="4">
        <f t="shared" si="298"/>
        <v>2.4186054073945602</v>
      </c>
      <c r="AC466" s="48" t="str">
        <f t="shared" si="299"/>
        <v>-0.00261152695560227+0.00307552058027737i</v>
      </c>
      <c r="AD466" s="20">
        <f t="shared" si="300"/>
        <v>-47.883749478734636</v>
      </c>
      <c r="AE466" s="44">
        <f t="shared" si="301"/>
        <v>130.33569524016369</v>
      </c>
      <c r="AF466" t="str">
        <f t="shared" si="286"/>
        <v>-0.979317078436135</v>
      </c>
      <c r="AG466" t="str">
        <f t="shared" si="302"/>
        <v>1897491.62780217i</v>
      </c>
      <c r="AH466">
        <f t="shared" si="303"/>
        <v>1897491.6278021701</v>
      </c>
      <c r="AI466">
        <f t="shared" si="304"/>
        <v>1.5707963267948966</v>
      </c>
      <c r="AJ466" t="str">
        <f t="shared" si="287"/>
        <v>-55730.6724289609+1859.38999591591i</v>
      </c>
      <c r="AK466">
        <f t="shared" si="305"/>
        <v>55761.682009611708</v>
      </c>
      <c r="AL466">
        <f t="shared" si="306"/>
        <v>3.1082411713502398</v>
      </c>
      <c r="AM466" t="str">
        <f t="shared" si="288"/>
        <v>1+263979.035259838i</v>
      </c>
      <c r="AN466">
        <f t="shared" si="307"/>
        <v>263979.03526173206</v>
      </c>
      <c r="AO466">
        <f t="shared" si="308"/>
        <v>1.5707925386152823</v>
      </c>
      <c r="AP466" t="str">
        <f t="shared" si="289"/>
        <v>1+1783.64213013404i</v>
      </c>
      <c r="AQ466">
        <f t="shared" si="309"/>
        <v>1783.6424104593091</v>
      </c>
      <c r="AR466">
        <f t="shared" si="310"/>
        <v>1.5702356762707086</v>
      </c>
      <c r="AS466" s="42" t="str">
        <f t="shared" si="311"/>
        <v>-0.000142859546195562+0.00435563369716383i</v>
      </c>
      <c r="AT466">
        <f t="shared" si="312"/>
        <v>-47.214303559131956</v>
      </c>
      <c r="AU466" s="44">
        <f t="shared" si="313"/>
        <v>91.878559217310212</v>
      </c>
      <c r="AV466" s="42" t="str">
        <f t="shared" si="290"/>
        <v>-0.0000130227595200222-0.0000118142222832865i</v>
      </c>
      <c r="AW466" s="20">
        <f t="shared" si="314"/>
        <v>-95.098053037866563</v>
      </c>
      <c r="AX466" s="44">
        <f t="shared" si="315"/>
        <v>-137.78574554252606</v>
      </c>
    </row>
    <row r="467" spans="14:50" x14ac:dyDescent="0.3">
      <c r="N467" s="8">
        <v>49</v>
      </c>
      <c r="O467" s="35">
        <f t="shared" si="316"/>
        <v>309029.54325135931</v>
      </c>
      <c r="P467" s="34" t="str">
        <f t="shared" ref="P467:P530" si="317">COMPLEX(Adc,0)</f>
        <v>545.10556621881</v>
      </c>
      <c r="Q467" s="4" t="str">
        <f t="shared" ref="Q467:Q530" si="318">IMSUM(COMPLEX(1,0),IMDIV(COMPLEX(0,2*PI()*O467),COMPLEX(wp_lf,0)))</f>
        <v>1+41479.8626241619i</v>
      </c>
      <c r="R467" s="4">
        <f t="shared" si="291"/>
        <v>41479.862636215948</v>
      </c>
      <c r="S467" s="4">
        <f t="shared" si="292"/>
        <v>1.5707722187112014</v>
      </c>
      <c r="T467" s="4" t="str">
        <f t="shared" ref="T467:T530" si="319">IMSUM(COMPLEX(1,0),IMDIV(COMPLEX(0,2*PI()*O467),COMPLEX(wz_esr,0)))</f>
        <v>1+0.97084494282068i</v>
      </c>
      <c r="U467" s="4">
        <f t="shared" si="293"/>
        <v>1.3937503015248067</v>
      </c>
      <c r="V467" s="4">
        <f t="shared" si="294"/>
        <v>0.77060606581553648</v>
      </c>
      <c r="W467" t="str">
        <f t="shared" ref="W467:W530" si="320">IMSUB(COMPLEX(1,0),IMDIV(COMPLEX(0,2*PI()*O467),COMPLEX(wz_rhp,0)))</f>
        <v>1-1.00851372660212i</v>
      </c>
      <c r="X467" s="4">
        <f t="shared" si="295"/>
        <v>1.4202464352164015</v>
      </c>
      <c r="Y467" s="4">
        <f t="shared" si="296"/>
        <v>-0.7896369572376547</v>
      </c>
      <c r="Z467" t="str">
        <f t="shared" ref="Z467:Z530" si="321">IMSUM(COMPLEX(1,0),IMDIV(COMPLEX(0,2*PI()*O467),COMPLEX(Q*(wsl/2),0)),IMDIV(IMPOWER(COMPLEX(0,2*PI()*O467),2),IMPOWER(COMPLEX(wsl/2,0),2)))</f>
        <v>-5.11195255053722+4.36730583306475i</v>
      </c>
      <c r="AA467" s="4">
        <f t="shared" si="297"/>
        <v>6.7234975361388649</v>
      </c>
      <c r="AB467" s="4">
        <f t="shared" si="298"/>
        <v>2.4345888759793843</v>
      </c>
      <c r="AC467" s="48" t="str">
        <f t="shared" si="299"/>
        <v>-0.00245676929192572+0.00298886407230434i</v>
      </c>
      <c r="AD467" s="20">
        <f t="shared" si="300"/>
        <v>-48.248065212089983</v>
      </c>
      <c r="AE467" s="44">
        <f t="shared" si="301"/>
        <v>129.41932408947099</v>
      </c>
      <c r="AF467" t="str">
        <f t="shared" ref="AF467:AF530" si="322">COMPLEX(Adc_ea_iso,0)</f>
        <v>-0.979317078436135</v>
      </c>
      <c r="AG467" t="str">
        <f t="shared" si="302"/>
        <v>1941689.88564136i</v>
      </c>
      <c r="AH467">
        <f t="shared" si="303"/>
        <v>1941689.88564136</v>
      </c>
      <c r="AI467">
        <f t="shared" si="304"/>
        <v>1.5707963267948966</v>
      </c>
      <c r="AJ467" t="str">
        <f t="shared" ref="AJ467:AJ530" si="323">IMSUM(IMPRODUCT(COMPLEX(wpA_ea_iso,0),IMPOWER(COMPLEX(0,2*PI()*O467),2)),COMPLEX(0,wpB_ea_iso*2*PI()*O467),COMPLEX(1,0))</f>
        <v>-58357.2252309861+1902.70075273769i</v>
      </c>
      <c r="AK467">
        <f t="shared" si="305"/>
        <v>58388.235174686597</v>
      </c>
      <c r="AL467">
        <f t="shared" si="306"/>
        <v>3.1089998262924099</v>
      </c>
      <c r="AM467" t="str">
        <f t="shared" ref="AM467:AM530" si="324">IMSUM(COMPLEX(1,0),IMDIV(COMPLEX(0,2*PI()*O467),COMPLEX(wz1_ea_iso,0)))</f>
        <v>1+270127.896890426i</v>
      </c>
      <c r="AN467">
        <f t="shared" si="307"/>
        <v>270127.896892277</v>
      </c>
      <c r="AO467">
        <f t="shared" si="308"/>
        <v>1.5707926248447779</v>
      </c>
      <c r="AP467" t="str">
        <f t="shared" ref="AP467:AP530" si="325">IMSUM(COMPLEX(1,0),IMDIV(COMPLEX(0,2*PI()*O467),COMPLEX(wz2_ea_iso,0)))</f>
        <v>1+1825.18849250288i</v>
      </c>
      <c r="AQ467">
        <f t="shared" si="309"/>
        <v>1825.1887664471685</v>
      </c>
      <c r="AR467">
        <f t="shared" si="310"/>
        <v>1.570248438232128</v>
      </c>
      <c r="AS467" s="42" t="str">
        <f t="shared" si="311"/>
        <v>-0.000136436413296735+0.00425669335486292i</v>
      </c>
      <c r="AT467">
        <f t="shared" si="312"/>
        <v>-47.414093283325656</v>
      </c>
      <c r="AU467" s="44">
        <f t="shared" si="313"/>
        <v>91.835827638130937</v>
      </c>
      <c r="AV467" s="42" t="str">
        <f t="shared" ref="AV467:AV530" si="326">IMPRODUCT(AC467,AS467)</f>
        <v>-0.0000123874850446785-0.0000108655034132282i</v>
      </c>
      <c r="AW467" s="20">
        <f t="shared" si="314"/>
        <v>-95.662158495415639</v>
      </c>
      <c r="AX467" s="44">
        <f t="shared" si="315"/>
        <v>-138.74484827239797</v>
      </c>
    </row>
    <row r="468" spans="14:50" x14ac:dyDescent="0.3">
      <c r="N468" s="8">
        <v>50</v>
      </c>
      <c r="O468" s="35">
        <f t="shared" si="316"/>
        <v>316227.7660168382</v>
      </c>
      <c r="P468" s="34" t="str">
        <f t="shared" si="317"/>
        <v>545.10556621881</v>
      </c>
      <c r="Q468" s="4" t="str">
        <f t="shared" si="318"/>
        <v>1+42446.0527440732i</v>
      </c>
      <c r="R468" s="4">
        <f t="shared" ref="R468:R531" si="327">IMABS(Q468)</f>
        <v>42446.052755852856</v>
      </c>
      <c r="S468" s="4">
        <f t="shared" ref="S468:S531" si="328">IMARGUMENT(Q468)</f>
        <v>1.5707727674781835</v>
      </c>
      <c r="T468" s="4" t="str">
        <f t="shared" si="319"/>
        <v>1+0.99345882657961i</v>
      </c>
      <c r="U468" s="4">
        <f t="shared" ref="U468:U531" si="329">IMABS(T468)</f>
        <v>1.4095958428247921</v>
      </c>
      <c r="V468" s="4">
        <f t="shared" ref="V468:V531" si="330">IMARGUMENT(T468)</f>
        <v>0.78211685662705388</v>
      </c>
      <c r="W468" t="str">
        <f t="shared" si="320"/>
        <v>1-1.0320050290509i</v>
      </c>
      <c r="X468" s="4">
        <f t="shared" ref="X468:X531" si="331">IMABS(W468)</f>
        <v>1.437022748597373</v>
      </c>
      <c r="Y468" s="4">
        <f t="shared" ref="Y468:Y531" si="332">IMARGUMENT(W468)</f>
        <v>-0.80114732858863069</v>
      </c>
      <c r="Z468" t="str">
        <f t="shared" si="321"/>
        <v>-5.4+4.46903345412201i</v>
      </c>
      <c r="AA468" s="4">
        <f t="shared" ref="AA468:AA531" si="333">IMABS(Z468)</f>
        <v>7.009440777555775</v>
      </c>
      <c r="AB468" s="4">
        <f t="shared" ref="AB468:AB531" si="334">IMARGUMENT(Z468)</f>
        <v>2.4502482580068303</v>
      </c>
      <c r="AC468" s="48" t="str">
        <f t="shared" ref="AC468:AC531" si="335">(IMDIV(IMPRODUCT(P468,T468,W468),IMPRODUCT(Q468,Z468)))</f>
        <v>-0.0023114168277926+0.00290354966271918i</v>
      </c>
      <c r="AD468" s="20">
        <f t="shared" ref="AD468:AD531" si="336">20*LOG(IMABS(AC468))</f>
        <v>-48.609636200958057</v>
      </c>
      <c r="AE468" s="44">
        <f t="shared" ref="AE468:AE531" si="337">(180/PI())*IMARGUMENT(AC468)</f>
        <v>128.522100180802</v>
      </c>
      <c r="AF468" t="str">
        <f t="shared" si="322"/>
        <v>-0.979317078436135</v>
      </c>
      <c r="AG468" t="str">
        <f t="shared" ref="AG468:AG531" si="338">COMPLEX(0,1*2*PI()*O468)</f>
        <v>1986917.65315922i</v>
      </c>
      <c r="AH468">
        <f t="shared" ref="AH468:AH531" si="339">IMABS(AG468)</f>
        <v>1986917.65315922</v>
      </c>
      <c r="AI468">
        <f t="shared" ref="AI468:AI531" si="340">IMARGUMENT(AG468)</f>
        <v>1.5707963267948966</v>
      </c>
      <c r="AJ468" t="str">
        <f t="shared" si="323"/>
        <v>-61107.5636529496+1947.0203466838i</v>
      </c>
      <c r="AK468">
        <f t="shared" ref="AK468:AK531" si="341">IMABS(AJ468)</f>
        <v>61138.573943376265</v>
      </c>
      <c r="AL468">
        <f t="shared" ref="AL468:AL531" si="342">IMARGUMENT(AJ468)</f>
        <v>3.1097412466518168</v>
      </c>
      <c r="AM468" t="str">
        <f t="shared" si="324"/>
        <v>1+276419.983907511i</v>
      </c>
      <c r="AN468">
        <f t="shared" ref="AN468:AN531" si="343">IMABS(AM468)</f>
        <v>276419.9839093198</v>
      </c>
      <c r="AO468">
        <f t="shared" ref="AO468:AO531" si="344">IMARGUMENT(AM468)</f>
        <v>1.5707927091114504</v>
      </c>
      <c r="AP468" t="str">
        <f t="shared" si="325"/>
        <v>1+1867.70259396967i</v>
      </c>
      <c r="AQ468">
        <f t="shared" ref="AQ468:AQ531" si="345">IMABS(AP468)</f>
        <v>1867.7028616782256</v>
      </c>
      <c r="AR468">
        <f t="shared" ref="AR468:AR531" si="346">IMARGUMENT(AP468)</f>
        <v>1.5702609096960118</v>
      </c>
      <c r="AS468" s="42" t="str">
        <f t="shared" ref="AS468:AS531" si="347">IMDIV(IMPRODUCT(AF468,AM468,AP468),IMPRODUCT(AG468,AJ468))</f>
        <v>-0.000130301788327534+0.00415999143928777i</v>
      </c>
      <c r="AT468">
        <f t="shared" ref="AT468:AT531" si="348">20*LOG(IMABS(AS468))</f>
        <v>-47.613892461984875</v>
      </c>
      <c r="AU468" s="44">
        <f t="shared" ref="AU468:AU531" si="349">(180/PI())*IMARGUMENT(AS468)</f>
        <v>91.794066771061424</v>
      </c>
      <c r="AV468" s="42" t="str">
        <f t="shared" si="326"/>
        <v>-0.0000117775599942269-9.99381192979303E-06i</v>
      </c>
      <c r="AW468" s="20">
        <f t="shared" ref="AW468:AW531" si="350">20*LOG(IMABS(AV468))</f>
        <v>-96.22352866294294</v>
      </c>
      <c r="AX468" s="44">
        <f t="shared" ref="AX468:AX531" si="351">(180/PI())*IMARGUMENT(AV468)</f>
        <v>-139.68383304813642</v>
      </c>
    </row>
    <row r="469" spans="14:50" x14ac:dyDescent="0.3">
      <c r="N469" s="8">
        <v>51</v>
      </c>
      <c r="O469" s="35">
        <f t="shared" si="316"/>
        <v>323593.65692962846</v>
      </c>
      <c r="P469" s="34" t="str">
        <f t="shared" si="317"/>
        <v>545.10556621881</v>
      </c>
      <c r="Q469" s="4" t="str">
        <f t="shared" si="318"/>
        <v>1+43434.7483229893i</v>
      </c>
      <c r="R469" s="4">
        <f t="shared" si="327"/>
        <v>43434.748334500815</v>
      </c>
      <c r="S469" s="4">
        <f t="shared" si="328"/>
        <v>1.5707733037537042</v>
      </c>
      <c r="T469" s="4" t="str">
        <f t="shared" si="319"/>
        <v>1+1.01659945535838i</v>
      </c>
      <c r="U469" s="4">
        <f t="shared" si="329"/>
        <v>1.425999457445533</v>
      </c>
      <c r="V469" s="4">
        <f t="shared" si="330"/>
        <v>0.7936293867198293</v>
      </c>
      <c r="W469" t="str">
        <f t="shared" si="320"/>
        <v>1-1.05604351422628i</v>
      </c>
      <c r="X469" s="4">
        <f t="shared" si="331"/>
        <v>1.4543823101026057</v>
      </c>
      <c r="Y469" s="4">
        <f t="shared" si="332"/>
        <v>-0.81264935725538134</v>
      </c>
      <c r="Z469" t="str">
        <f t="shared" si="321"/>
        <v>-5.70162270752575+4.5731306158713i</v>
      </c>
      <c r="AA469" s="4">
        <f t="shared" si="333"/>
        <v>7.3090372231089837</v>
      </c>
      <c r="AB469" s="4">
        <f t="shared" si="334"/>
        <v>2.4655875785938202</v>
      </c>
      <c r="AC469" s="48" t="str">
        <f t="shared" si="335"/>
        <v>-0.00217492831821489+0.00281974102537572i</v>
      </c>
      <c r="AD469" s="20">
        <f t="shared" si="336"/>
        <v>-48.968378452256374</v>
      </c>
      <c r="AE469" s="44">
        <f t="shared" si="337"/>
        <v>127.64379281163539</v>
      </c>
      <c r="AF469" t="str">
        <f t="shared" si="322"/>
        <v>-0.979317078436135</v>
      </c>
      <c r="AG469" t="str">
        <f t="shared" si="338"/>
        <v>2033198.91071675i</v>
      </c>
      <c r="AH469">
        <f t="shared" si="339"/>
        <v>2033198.91071675</v>
      </c>
      <c r="AI469">
        <f t="shared" si="340"/>
        <v>1.5707963267948966</v>
      </c>
      <c r="AJ469" t="str">
        <f t="shared" si="323"/>
        <v>-63987.521531389+1992.37227658957i</v>
      </c>
      <c r="AK469">
        <f t="shared" si="341"/>
        <v>64018.532152951564</v>
      </c>
      <c r="AL469">
        <f t="shared" si="342"/>
        <v>3.1104658224349091</v>
      </c>
      <c r="AM469" t="str">
        <f t="shared" si="324"/>
        <v>1+282858.632458914i</v>
      </c>
      <c r="AN469">
        <f t="shared" si="343"/>
        <v>282858.63246068166</v>
      </c>
      <c r="AO469">
        <f t="shared" si="344"/>
        <v>1.5707927914599793</v>
      </c>
      <c r="AP469" t="str">
        <f t="shared" si="325"/>
        <v>1+1911.20697607375i</v>
      </c>
      <c r="AQ469">
        <f t="shared" si="345"/>
        <v>1911.207237688516</v>
      </c>
      <c r="AR469">
        <f t="shared" si="346"/>
        <v>1.57027309727488</v>
      </c>
      <c r="AS469" s="42" t="str">
        <f t="shared" si="347"/>
        <v>-0.000124442737311435+0.00406547791209543i</v>
      </c>
      <c r="AT469">
        <f t="shared" si="348"/>
        <v>-47.813700670424133</v>
      </c>
      <c r="AU469" s="44">
        <f t="shared" si="349"/>
        <v>91.753254651807623</v>
      </c>
      <c r="AV469" s="42" t="str">
        <f t="shared" si="326"/>
        <v>-0.0000111929408231195-0.0000091930193298006i</v>
      </c>
      <c r="AW469" s="20">
        <f t="shared" si="350"/>
        <v>-96.7820791226805</v>
      </c>
      <c r="AX469" s="44">
        <f t="shared" si="351"/>
        <v>-140.60295253655701</v>
      </c>
    </row>
    <row r="470" spans="14:50" x14ac:dyDescent="0.3">
      <c r="N470" s="8">
        <v>52</v>
      </c>
      <c r="O470" s="35">
        <f t="shared" si="316"/>
        <v>331131.12148259126</v>
      </c>
      <c r="P470" s="34" t="str">
        <f t="shared" si="317"/>
        <v>545.10556621881</v>
      </c>
      <c r="Q470" s="4" t="str">
        <f t="shared" si="318"/>
        <v>1+44446.4735803933i</v>
      </c>
      <c r="R470" s="4">
        <f t="shared" si="327"/>
        <v>44446.473591642789</v>
      </c>
      <c r="S470" s="4">
        <f t="shared" si="328"/>
        <v>1.5707738278221035</v>
      </c>
      <c r="T470" s="4" t="str">
        <f t="shared" si="319"/>
        <v>1+1.04027909862466i</v>
      </c>
      <c r="U470" s="4">
        <f t="shared" si="329"/>
        <v>1.4429763002334219</v>
      </c>
      <c r="V470" s="4">
        <f t="shared" si="330"/>
        <v>0.80513755445369706</v>
      </c>
      <c r="W470" t="str">
        <f t="shared" si="320"/>
        <v>1-1.08064192765129i</v>
      </c>
      <c r="X470" s="4">
        <f t="shared" si="331"/>
        <v>1.4723406452984635</v>
      </c>
      <c r="Y470" s="4">
        <f t="shared" si="332"/>
        <v>-0.82413696938584324</v>
      </c>
      <c r="Z470" t="str">
        <f t="shared" si="321"/>
        <v>-6.01746045531643+4.67965251200569i</v>
      </c>
      <c r="AA470" s="4">
        <f t="shared" si="333"/>
        <v>7.6229245020804308</v>
      </c>
      <c r="AB470" s="4">
        <f t="shared" si="334"/>
        <v>2.48061104599903</v>
      </c>
      <c r="AC470" s="48" t="str">
        <f t="shared" si="335"/>
        <v>-0.00204678663219617+0.00273757376575449i</v>
      </c>
      <c r="AD470" s="20">
        <f t="shared" si="336"/>
        <v>-49.32421623440122</v>
      </c>
      <c r="AE470" s="44">
        <f t="shared" si="337"/>
        <v>126.78415925807766</v>
      </c>
      <c r="AF470" t="str">
        <f t="shared" si="322"/>
        <v>-0.979317078436135</v>
      </c>
      <c r="AG470" t="str">
        <f t="shared" si="338"/>
        <v>2080558.19724932i</v>
      </c>
      <c r="AH470">
        <f t="shared" si="339"/>
        <v>2080558.1972493201</v>
      </c>
      <c r="AI470">
        <f t="shared" si="340"/>
        <v>1.5707963267948966</v>
      </c>
      <c r="AJ470" t="str">
        <f t="shared" si="323"/>
        <v>-67003.2076430876+2038.78058864856i</v>
      </c>
      <c r="AK470">
        <f t="shared" si="341"/>
        <v>67034.218580896151</v>
      </c>
      <c r="AL470">
        <f t="shared" si="342"/>
        <v>3.1111739349237335</v>
      </c>
      <c r="AM470" t="str">
        <f t="shared" si="324"/>
        <v>1+289447.256401325i</v>
      </c>
      <c r="AN470">
        <f t="shared" si="343"/>
        <v>289447.25640305242</v>
      </c>
      <c r="AO470">
        <f t="shared" si="344"/>
        <v>1.5707928719340269</v>
      </c>
      <c r="AP470" t="str">
        <f t="shared" si="325"/>
        <v>1+1955.72470541437i</v>
      </c>
      <c r="AQ470">
        <f t="shared" si="345"/>
        <v>1955.724961074058</v>
      </c>
      <c r="AR470">
        <f t="shared" si="346"/>
        <v>1.5702850074307333</v>
      </c>
      <c r="AS470" s="42" t="str">
        <f t="shared" si="347"/>
        <v>-0.000118846903917082+0.00397310381313246i</v>
      </c>
      <c r="AT470">
        <f t="shared" si="348"/>
        <v>-48.013517502998354</v>
      </c>
      <c r="AU470" s="44">
        <f t="shared" si="349"/>
        <v>91.713369807264527</v>
      </c>
      <c r="AV470" s="42" t="str">
        <f t="shared" si="326"/>
        <v>-0.0000106334105132352-0.0000084574479393517i</v>
      </c>
      <c r="AW470" s="20">
        <f t="shared" si="350"/>
        <v>-97.33773373739956</v>
      </c>
      <c r="AX470" s="44">
        <f t="shared" si="351"/>
        <v>-141.50247093465788</v>
      </c>
    </row>
    <row r="471" spans="14:50" x14ac:dyDescent="0.3">
      <c r="N471" s="8">
        <v>53</v>
      </c>
      <c r="O471" s="35">
        <f t="shared" si="316"/>
        <v>338844.15613920329</v>
      </c>
      <c r="P471" s="34" t="str">
        <f t="shared" si="317"/>
        <v>545.10556621881</v>
      </c>
      <c r="Q471" s="4" t="str">
        <f t="shared" si="318"/>
        <v>1+45481.7649464082i</v>
      </c>
      <c r="R471" s="4">
        <f t="shared" si="327"/>
        <v>45481.764957401618</v>
      </c>
      <c r="S471" s="4">
        <f t="shared" si="328"/>
        <v>1.5707743399612499</v>
      </c>
      <c r="T471" s="4" t="str">
        <f t="shared" si="319"/>
        <v>1+1.06451031163876i</v>
      </c>
      <c r="U471" s="4">
        <f t="shared" si="329"/>
        <v>1.4605417500315592</v>
      </c>
      <c r="V471" s="4">
        <f t="shared" si="330"/>
        <v>0.81663526973923806</v>
      </c>
      <c r="W471" t="str">
        <f t="shared" si="320"/>
        <v>1-1.10581331173034i</v>
      </c>
      <c r="X471" s="4">
        <f t="shared" si="331"/>
        <v>1.4909135053382614</v>
      </c>
      <c r="Y471" s="4">
        <f t="shared" si="332"/>
        <v>-0.83560412917693483</v>
      </c>
      <c r="Z471" t="str">
        <f t="shared" si="321"/>
        <v>-6.34818317758011+4.78865562184446i</v>
      </c>
      <c r="AA471" s="4">
        <f t="shared" si="333"/>
        <v>7.9517703890852918</v>
      </c>
      <c r="AB471" s="4">
        <f t="shared" si="334"/>
        <v>2.4953230268473168</v>
      </c>
      <c r="AC471" s="48" t="str">
        <f t="shared" si="335"/>
        <v>-0.00192649875127175+0.00265715823362213i</v>
      </c>
      <c r="AD471" s="20">
        <f t="shared" si="336"/>
        <v>-49.677081983159184</v>
      </c>
      <c r="AE471" s="44">
        <f t="shared" si="337"/>
        <v>125.9429462046549</v>
      </c>
      <c r="AF471" t="str">
        <f t="shared" si="322"/>
        <v>-0.979317078436135</v>
      </c>
      <c r="AG471" t="str">
        <f t="shared" si="338"/>
        <v>2129020.62327751i</v>
      </c>
      <c r="AH471">
        <f t="shared" si="339"/>
        <v>2129020.6232775101</v>
      </c>
      <c r="AI471">
        <f t="shared" si="340"/>
        <v>1.5707963267948966</v>
      </c>
      <c r="AJ471" t="str">
        <f t="shared" si="323"/>
        <v>-70161.0186626074+2086.26988916211i</v>
      </c>
      <c r="AK471">
        <f t="shared" si="341"/>
        <v>70192.029902440976</v>
      </c>
      <c r="AL471">
        <f t="shared" si="342"/>
        <v>3.1118659568643321</v>
      </c>
      <c r="AM471" t="str">
        <f t="shared" si="324"/>
        <v>1+296189.349110367i</v>
      </c>
      <c r="AN471">
        <f t="shared" si="343"/>
        <v>296189.34911205515</v>
      </c>
      <c r="AO471">
        <f t="shared" si="344"/>
        <v>1.5707929505762614</v>
      </c>
      <c r="AP471" t="str">
        <f t="shared" si="325"/>
        <v>1+2001.27938588086i</v>
      </c>
      <c r="AQ471">
        <f t="shared" si="345"/>
        <v>2001.2796357210232</v>
      </c>
      <c r="AR471">
        <f t="shared" si="346"/>
        <v>1.5702966464784809</v>
      </c>
      <c r="AS471" s="42" t="str">
        <f t="shared" si="347"/>
        <v>-0.000113502483852909+0.00388282123992852i</v>
      </c>
      <c r="AT471">
        <f t="shared" si="348"/>
        <v>-48.213342572252728</v>
      </c>
      <c r="AU471" s="44">
        <f t="shared" si="349"/>
        <v>91.674391244919391</v>
      </c>
      <c r="AV471" s="42" t="str">
        <f t="shared" si="326"/>
        <v>-0.0000100986080339501-7.78184432964004E-06i</v>
      </c>
      <c r="AW471" s="20">
        <f t="shared" si="350"/>
        <v>-97.890424555411897</v>
      </c>
      <c r="AX471" s="44">
        <f t="shared" si="351"/>
        <v>-142.38266255042578</v>
      </c>
    </row>
    <row r="472" spans="14:50" x14ac:dyDescent="0.3">
      <c r="N472" s="8">
        <v>54</v>
      </c>
      <c r="O472" s="35">
        <f t="shared" si="316"/>
        <v>346736.85045253241</v>
      </c>
      <c r="P472" s="34" t="str">
        <f t="shared" si="317"/>
        <v>545.10556621881</v>
      </c>
      <c r="Q472" s="4" t="str">
        <f t="shared" si="318"/>
        <v>1+46541.17134622i</v>
      </c>
      <c r="R472" s="4">
        <f t="shared" si="327"/>
        <v>46541.171356963183</v>
      </c>
      <c r="S472" s="4">
        <f t="shared" si="328"/>
        <v>1.5707748404426858</v>
      </c>
      <c r="T472" s="4" t="str">
        <f t="shared" si="319"/>
        <v>1+1.08930594211054i</v>
      </c>
      <c r="U472" s="4">
        <f t="shared" si="329"/>
        <v>1.4787114104913546</v>
      </c>
      <c r="V472" s="4">
        <f t="shared" si="330"/>
        <v>0.82811647012051381</v>
      </c>
      <c r="W472" t="str">
        <f t="shared" si="320"/>
        <v>1-1.13157101266443i</v>
      </c>
      <c r="X472" s="4">
        <f t="shared" si="331"/>
        <v>1.5101168685576636</v>
      </c>
      <c r="Y472" s="4">
        <f t="shared" si="332"/>
        <v>-0.84704485460832146</v>
      </c>
      <c r="Z472" t="str">
        <f t="shared" si="321"/>
        <v>-6.69449238155152+4.90019774027927i</v>
      </c>
      <c r="AA472" s="4">
        <f t="shared" si="333"/>
        <v>8.2962742324786607</v>
      </c>
      <c r="AB472" s="4">
        <f t="shared" si="334"/>
        <v>2.5097280231340195</v>
      </c>
      <c r="AC472" s="48" t="str">
        <f t="shared" si="335"/>
        <v>-0.00181359558533968+0.00257858215285447i</v>
      </c>
      <c r="AD472" s="20">
        <f t="shared" si="336"/>
        <v>-50.026916179558569</v>
      </c>
      <c r="AE472" s="44">
        <f t="shared" si="337"/>
        <v>125.11989108185576</v>
      </c>
      <c r="AF472" t="str">
        <f t="shared" si="322"/>
        <v>-0.979317078436135</v>
      </c>
      <c r="AG472" t="str">
        <f t="shared" si="338"/>
        <v>2178611.88422108i</v>
      </c>
      <c r="AH472">
        <f t="shared" si="339"/>
        <v>2178611.8842210802</v>
      </c>
      <c r="AI472">
        <f t="shared" si="340"/>
        <v>1.5707963267948966</v>
      </c>
      <c r="AJ472" t="str">
        <f t="shared" si="323"/>
        <v>-73467.6527304963+2134.86535758593i</v>
      </c>
      <c r="AK472">
        <f t="shared" si="341"/>
        <v>73498.6642587729</v>
      </c>
      <c r="AL472">
        <f t="shared" si="342"/>
        <v>3.1125422526515334</v>
      </c>
      <c r="AM472" t="str">
        <f t="shared" si="324"/>
        <v>1+303088.485332837i</v>
      </c>
      <c r="AN472">
        <f t="shared" si="343"/>
        <v>303088.48533448664</v>
      </c>
      <c r="AO472">
        <f t="shared" si="344"/>
        <v>1.5707930274283803</v>
      </c>
      <c r="AP472" t="str">
        <f t="shared" si="325"/>
        <v>1+2047.89517116782i</v>
      </c>
      <c r="AQ472">
        <f t="shared" si="345"/>
        <v>2047.8954153209274</v>
      </c>
      <c r="AR472">
        <f t="shared" si="346"/>
        <v>1.5703080205892872</v>
      </c>
      <c r="AS472" s="42" t="str">
        <f t="shared" si="347"/>
        <v>-0.000108398200379782+0.00379458332739014i</v>
      </c>
      <c r="AT472">
        <f t="shared" si="348"/>
        <v>-48.413175508109596</v>
      </c>
      <c r="AU472" s="44">
        <f t="shared" si="349"/>
        <v>91.636298442457246</v>
      </c>
      <c r="AV472" s="42" t="str">
        <f t="shared" si="326"/>
        <v>-9.58805434785981E-06-7.16135323565916E-06i</v>
      </c>
      <c r="AW472" s="20">
        <f t="shared" si="350"/>
        <v>-98.440091687668172</v>
      </c>
      <c r="AX472" s="44">
        <f t="shared" si="351"/>
        <v>-143.24381047568701</v>
      </c>
    </row>
    <row r="473" spans="14:50" x14ac:dyDescent="0.3">
      <c r="N473" s="8">
        <v>55</v>
      </c>
      <c r="O473" s="35">
        <f t="shared" si="316"/>
        <v>354813.38923357555</v>
      </c>
      <c r="P473" s="34" t="str">
        <f t="shared" si="317"/>
        <v>545.10556621881</v>
      </c>
      <c r="Q473" s="4" t="str">
        <f t="shared" si="318"/>
        <v>1+47625.2544911245i</v>
      </c>
      <c r="R473" s="4">
        <f t="shared" si="327"/>
        <v>47625.254501623131</v>
      </c>
      <c r="S473" s="4">
        <f t="shared" si="328"/>
        <v>1.5707753295317735</v>
      </c>
      <c r="T473" s="4" t="str">
        <f t="shared" si="319"/>
        <v>1+1.1146791370115i</v>
      </c>
      <c r="U473" s="4">
        <f t="shared" si="329"/>
        <v>1.497501111348069</v>
      </c>
      <c r="V473" s="4">
        <f t="shared" si="330"/>
        <v>0.83957513667994466</v>
      </c>
      <c r="W473" t="str">
        <f t="shared" si="320"/>
        <v>1-1.15792868752754i</v>
      </c>
      <c r="X473" s="4">
        <f t="shared" si="331"/>
        <v>1.5299669425838101</v>
      </c>
      <c r="Y473" s="4">
        <f t="shared" si="332"/>
        <v>-0.85845323283264741</v>
      </c>
      <c r="Z473" t="str">
        <f t="shared" si="321"/>
        <v>-7.05712263548265+5.01433800841774i</v>
      </c>
      <c r="AA473" s="4">
        <f t="shared" si="333"/>
        <v>8.6571684490313796</v>
      </c>
      <c r="AB473" s="4">
        <f t="shared" si="334"/>
        <v>2.5238306509501696</v>
      </c>
      <c r="AC473" s="48" t="str">
        <f t="shared" si="335"/>
        <v>-0.00170763163374823+0.00250191306811839i</v>
      </c>
      <c r="AD473" s="20">
        <f t="shared" si="336"/>
        <v>-50.373667201716955</v>
      </c>
      <c r="AE473" s="44">
        <f t="shared" si="337"/>
        <v>124.31472331456632</v>
      </c>
      <c r="AF473" t="str">
        <f t="shared" si="322"/>
        <v>-0.979317078436135</v>
      </c>
      <c r="AG473" t="str">
        <f t="shared" si="338"/>
        <v>2229358.27402299i</v>
      </c>
      <c r="AH473">
        <f t="shared" si="339"/>
        <v>2229358.2740229899</v>
      </c>
      <c r="AI473">
        <f t="shared" si="340"/>
        <v>1.5707963267948966</v>
      </c>
      <c r="AJ473" t="str">
        <f t="shared" si="323"/>
        <v>-76930.1236609394+2184.59275988062i</v>
      </c>
      <c r="AK473">
        <f t="shared" si="341"/>
        <v>76961.135464687308</v>
      </c>
      <c r="AL473">
        <f t="shared" si="342"/>
        <v>3.1132031785101613</v>
      </c>
      <c r="AM473" t="str">
        <f t="shared" si="324"/>
        <v>1+310148.323082078i</v>
      </c>
      <c r="AN473">
        <f t="shared" si="343"/>
        <v>310148.32308369019</v>
      </c>
      <c r="AO473">
        <f t="shared" si="344"/>
        <v>1.5707931025311312</v>
      </c>
      <c r="AP473" t="str">
        <f t="shared" si="325"/>
        <v>1+2095.59677758162i</v>
      </c>
      <c r="AQ473">
        <f t="shared" si="345"/>
        <v>2095.5970161771247</v>
      </c>
      <c r="AR473">
        <f t="shared" si="346"/>
        <v>1.5703191357938442</v>
      </c>
      <c r="AS473" s="42" t="str">
        <f t="shared" si="347"/>
        <v>-0.000103523280894351+0.00370834422770724i</v>
      </c>
      <c r="AT473">
        <f t="shared" si="348"/>
        <v>-48.613015957091761</v>
      </c>
      <c r="AU473" s="44">
        <f t="shared" si="349"/>
        <v>91.599071337567025</v>
      </c>
      <c r="AV473" s="42" t="str">
        <f t="shared" si="326"/>
        <v>-9.10117525509755E-06-0.0000065914921613846i</v>
      </c>
      <c r="AW473" s="20">
        <f t="shared" si="350"/>
        <v>-98.986683158808702</v>
      </c>
      <c r="AX473" s="44">
        <f t="shared" si="351"/>
        <v>-144.08620534786667</v>
      </c>
    </row>
    <row r="474" spans="14:50" x14ac:dyDescent="0.3">
      <c r="N474" s="8">
        <v>56</v>
      </c>
      <c r="O474" s="35">
        <f t="shared" si="316"/>
        <v>363078.05477010203</v>
      </c>
      <c r="P474" s="34" t="str">
        <f t="shared" si="317"/>
        <v>545.10556621881</v>
      </c>
      <c r="Q474" s="4" t="str">
        <f t="shared" si="318"/>
        <v>1+48734.5891763554i</v>
      </c>
      <c r="R474" s="4">
        <f t="shared" si="327"/>
        <v>48734.589186615056</v>
      </c>
      <c r="S474" s="4">
        <f t="shared" si="328"/>
        <v>1.5707758074878344</v>
      </c>
      <c r="T474" s="4" t="str">
        <f t="shared" si="319"/>
        <v>1+1.14064334954543i</v>
      </c>
      <c r="U474" s="4">
        <f t="shared" si="329"/>
        <v>1.5169269101911991</v>
      </c>
      <c r="V474" s="4">
        <f t="shared" si="330"/>
        <v>0.85100530966397125</v>
      </c>
      <c r="W474" t="str">
        <f t="shared" si="320"/>
        <v>1-1.18490031150778i</v>
      </c>
      <c r="X474" s="4">
        <f t="shared" si="331"/>
        <v>1.5504801669841617</v>
      </c>
      <c r="Y474" s="4">
        <f t="shared" si="332"/>
        <v>-0.86982343512700566</v>
      </c>
      <c r="Z474" t="str">
        <f t="shared" si="321"/>
        <v>-7.43684312676105+5.13113694494092i</v>
      </c>
      <c r="AA474" s="4">
        <f t="shared" si="333"/>
        <v>9.0352200880659623</v>
      </c>
      <c r="AB474" s="4">
        <f t="shared" si="334"/>
        <v>2.5376356208614284</v>
      </c>
      <c r="AC474" s="48" t="str">
        <f t="shared" si="335"/>
        <v>-0.0016081845172183+0.00242720061056685i</v>
      </c>
      <c r="AD474" s="20">
        <f t="shared" si="336"/>
        <v>-50.717291152469528</v>
      </c>
      <c r="AE474" s="44">
        <f t="shared" si="337"/>
        <v>123.52716548489343</v>
      </c>
      <c r="AF474" t="str">
        <f t="shared" si="322"/>
        <v>-0.979317078436135</v>
      </c>
      <c r="AG474" t="str">
        <f t="shared" si="338"/>
        <v>2281286.69909085i</v>
      </c>
      <c r="AH474">
        <f t="shared" si="339"/>
        <v>2281286.6990908501</v>
      </c>
      <c r="AI474">
        <f t="shared" si="340"/>
        <v>1.5707963267948966</v>
      </c>
      <c r="AJ474" t="str">
        <f t="shared" si="323"/>
        <v>-80555.7758190044+2235.47846217312i</v>
      </c>
      <c r="AK474">
        <f t="shared" si="341"/>
        <v>80586.787885834812</v>
      </c>
      <c r="AL474">
        <f t="shared" si="342"/>
        <v>3.1138490826727168</v>
      </c>
      <c r="AM474" t="str">
        <f t="shared" si="324"/>
        <v>1+317372.605577519i</v>
      </c>
      <c r="AN474">
        <f t="shared" si="343"/>
        <v>317372.60557909444</v>
      </c>
      <c r="AO474">
        <f t="shared" si="344"/>
        <v>1.570793175924335</v>
      </c>
      <c r="AP474" t="str">
        <f t="shared" si="325"/>
        <v>1+2144.4094971454i</v>
      </c>
      <c r="AQ474">
        <f t="shared" si="345"/>
        <v>2144.4097303098092</v>
      </c>
      <c r="AR474">
        <f t="shared" si="346"/>
        <v>1.57032999798557</v>
      </c>
      <c r="AS474" s="42" t="str">
        <f t="shared" si="347"/>
        <v>-0.0000988674345376342+0.00362405909048392i</v>
      </c>
      <c r="AT474">
        <f t="shared" si="348"/>
        <v>-48.812863581580643</v>
      </c>
      <c r="AU474" s="44">
        <f t="shared" si="349"/>
        <v>91.562690317945624</v>
      </c>
      <c r="AV474" s="42" t="str">
        <f t="shared" si="326"/>
        <v>-0.0000086373213596724-0.0000060681268162754i</v>
      </c>
      <c r="AW474" s="20">
        <f t="shared" si="350"/>
        <v>-99.530154734050171</v>
      </c>
      <c r="AX474" s="44">
        <f t="shared" si="351"/>
        <v>-144.91014419716095</v>
      </c>
    </row>
    <row r="475" spans="14:50" x14ac:dyDescent="0.3">
      <c r="N475" s="8">
        <v>57</v>
      </c>
      <c r="O475" s="35">
        <f t="shared" si="316"/>
        <v>371535.2290971732</v>
      </c>
      <c r="P475" s="34" t="str">
        <f t="shared" si="317"/>
        <v>545.10556621881</v>
      </c>
      <c r="Q475" s="4" t="str">
        <f t="shared" si="318"/>
        <v>1+49869.763585846i</v>
      </c>
      <c r="R475" s="4">
        <f t="shared" si="327"/>
        <v>49869.763595872108</v>
      </c>
      <c r="S475" s="4">
        <f t="shared" si="328"/>
        <v>1.570776274564287</v>
      </c>
      <c r="T475" s="4" t="str">
        <f t="shared" si="319"/>
        <v>1+1.16721234628148i</v>
      </c>
      <c r="U475" s="4">
        <f t="shared" si="329"/>
        <v>1.5370050947579574</v>
      </c>
      <c r="V475" s="4">
        <f t="shared" si="330"/>
        <v>0.86240110373164525</v>
      </c>
      <c r="W475" t="str">
        <f t="shared" si="320"/>
        <v>1-1.2125001853172i</v>
      </c>
      <c r="X475" s="4">
        <f t="shared" si="331"/>
        <v>1.5716732164779816</v>
      </c>
      <c r="Y475" s="4">
        <f t="shared" si="332"/>
        <v>-0.88114973131566865</v>
      </c>
      <c r="Z475" t="str">
        <f t="shared" si="321"/>
        <v>-7.83445929345851+5.25065647819092i</v>
      </c>
      <c r="AA475" s="4">
        <f t="shared" si="333"/>
        <v>9.4312324683906859</v>
      </c>
      <c r="AB475" s="4">
        <f t="shared" si="334"/>
        <v>2.5511477198671848</v>
      </c>
      <c r="AC475" s="48" t="str">
        <f t="shared" si="335"/>
        <v>-0.0015148544037896+0.00235447858669571i</v>
      </c>
      <c r="AD475" s="20">
        <f t="shared" si="336"/>
        <v>-51.05775166470454</v>
      </c>
      <c r="AE475" s="44">
        <f t="shared" si="337"/>
        <v>122.75693441314365</v>
      </c>
      <c r="AF475" t="str">
        <f t="shared" si="322"/>
        <v>-0.979317078436135</v>
      </c>
      <c r="AG475" t="str">
        <f t="shared" si="338"/>
        <v>2334424.69256296i</v>
      </c>
      <c r="AH475">
        <f t="shared" si="339"/>
        <v>2334424.6925629601</v>
      </c>
      <c r="AI475">
        <f t="shared" si="340"/>
        <v>1.5707963267948966</v>
      </c>
      <c r="AJ475" t="str">
        <f t="shared" si="323"/>
        <v>-84352.2996990158+2287.54944473631i</v>
      </c>
      <c r="AK475">
        <f t="shared" si="341"/>
        <v>84383.312017096701</v>
      </c>
      <c r="AL475">
        <f t="shared" si="342"/>
        <v>3.1144803055535593</v>
      </c>
      <c r="AM475" t="str">
        <f t="shared" si="324"/>
        <v>1+324765.163229359i</v>
      </c>
      <c r="AN475">
        <f t="shared" si="343"/>
        <v>324765.16323089862</v>
      </c>
      <c r="AO475">
        <f t="shared" si="344"/>
        <v>1.5707932476469053</v>
      </c>
      <c r="AP475" t="str">
        <f t="shared" si="325"/>
        <v>1+2194.35921100919i</v>
      </c>
      <c r="AQ475">
        <f t="shared" si="345"/>
        <v>2194.3594388661295</v>
      </c>
      <c r="AR475">
        <f t="shared" si="346"/>
        <v>1.5703406129237318</v>
      </c>
      <c r="AS475" s="42" t="str">
        <f t="shared" si="347"/>
        <v>-0.0000944208307852712+0.00354168404310445i</v>
      </c>
      <c r="AT475">
        <f t="shared" si="348"/>
        <v>-49.012718059106142</v>
      </c>
      <c r="AU475" s="44">
        <f t="shared" si="349"/>
        <v>91.527136211498288</v>
      </c>
      <c r="AV475" s="42" t="str">
        <f t="shared" si="326"/>
        <v>-8.19578542900677E-06-5.58744749375007E-06i</v>
      </c>
      <c r="AW475" s="20">
        <f t="shared" si="350"/>
        <v>-100.07046972381069</v>
      </c>
      <c r="AX475" s="44">
        <f t="shared" si="351"/>
        <v>-145.71592937535803</v>
      </c>
    </row>
    <row r="476" spans="14:50" x14ac:dyDescent="0.3">
      <c r="N476" s="8">
        <v>58</v>
      </c>
      <c r="O476" s="35">
        <f t="shared" si="316"/>
        <v>380189.39632056188</v>
      </c>
      <c r="P476" s="34" t="str">
        <f t="shared" si="317"/>
        <v>545.10556621881</v>
      </c>
      <c r="Q476" s="4" t="str">
        <f t="shared" si="318"/>
        <v>1+51031.3796040941i</v>
      </c>
      <c r="R476" s="4">
        <f t="shared" si="327"/>
        <v>51031.379613892001</v>
      </c>
      <c r="S476" s="4">
        <f t="shared" si="328"/>
        <v>1.5707767310087817</v>
      </c>
      <c r="T476" s="4" t="str">
        <f t="shared" si="319"/>
        <v>1+1.19440021445341i</v>
      </c>
      <c r="U476" s="4">
        <f t="shared" si="329"/>
        <v>1.5577521857748593</v>
      </c>
      <c r="V476" s="4">
        <f t="shared" si="330"/>
        <v>0.87375672273265392</v>
      </c>
      <c r="W476" t="str">
        <f t="shared" si="320"/>
        <v>1-1.2407429427742i</v>
      </c>
      <c r="X476" s="4">
        <f t="shared" si="331"/>
        <v>1.5935630047299609</v>
      </c>
      <c r="Y476" s="4">
        <f t="shared" si="332"/>
        <v>-0.89242650358019981</v>
      </c>
      <c r="Z476" t="str">
        <f t="shared" si="321"/>
        <v>-8.25081453277398+5.37295997900631i</v>
      </c>
      <c r="AA476" s="4">
        <f t="shared" si="333"/>
        <v>9.8460468915315342</v>
      </c>
      <c r="AB476" s="4">
        <f t="shared" si="334"/>
        <v>2.5643717948622533</v>
      </c>
      <c r="AC476" s="48" t="str">
        <f t="shared" si="335"/>
        <v>-0.00142726334963028+0.00228376689608869i</v>
      </c>
      <c r="AD476" s="20">
        <f t="shared" si="336"/>
        <v>-51.39501968633401</v>
      </c>
      <c r="AE476" s="44">
        <f t="shared" si="337"/>
        <v>122.0037421608473</v>
      </c>
      <c r="AF476" t="str">
        <f t="shared" si="322"/>
        <v>-0.979317078436135</v>
      </c>
      <c r="AG476" t="str">
        <f t="shared" si="338"/>
        <v>2388800.42890683i</v>
      </c>
      <c r="AH476">
        <f t="shared" si="339"/>
        <v>2388800.42890683</v>
      </c>
      <c r="AI476">
        <f t="shared" si="340"/>
        <v>1.5707963267948966</v>
      </c>
      <c r="AJ476" t="str">
        <f t="shared" si="323"/>
        <v>-88327.7482371328+2340.83331629439i</v>
      </c>
      <c r="AK476">
        <f t="shared" si="341"/>
        <v>88358.760795163878</v>
      </c>
      <c r="AL476">
        <f t="shared" si="342"/>
        <v>3.1150971799196423</v>
      </c>
      <c r="AM476" t="str">
        <f t="shared" si="324"/>
        <v>1+332329.915669518i</v>
      </c>
      <c r="AN476">
        <f t="shared" si="343"/>
        <v>332329.91567102255</v>
      </c>
      <c r="AO476">
        <f t="shared" si="344"/>
        <v>1.5707933177368707</v>
      </c>
      <c r="AP476" t="str">
        <f t="shared" si="325"/>
        <v>1+2245.47240317243i</v>
      </c>
      <c r="AQ476">
        <f t="shared" si="345"/>
        <v>2245.4726258427131</v>
      </c>
      <c r="AR476">
        <f t="shared" si="346"/>
        <v>1.570350986236501</v>
      </c>
      <c r="AS476" s="42" t="str">
        <f t="shared" si="347"/>
        <v>-0.0000901740789774597+0.00346117617134222i</v>
      </c>
      <c r="AT476">
        <f t="shared" si="348"/>
        <v>-49.212579081669716</v>
      </c>
      <c r="AU476" s="44">
        <f t="shared" si="349"/>
        <v>91.49239027673238</v>
      </c>
      <c r="AV476" s="42" t="str">
        <f t="shared" si="326"/>
        <v>-7.77581740363116E-06-5.14594647242441E-06i</v>
      </c>
      <c r="AW476" s="20">
        <f t="shared" si="350"/>
        <v>-100.60759876800374</v>
      </c>
      <c r="AX476" s="44">
        <f t="shared" si="351"/>
        <v>-146.50386756242034</v>
      </c>
    </row>
    <row r="477" spans="14:50" x14ac:dyDescent="0.3">
      <c r="N477" s="8">
        <v>59</v>
      </c>
      <c r="O477" s="35">
        <f t="shared" si="316"/>
        <v>389045.14499428123</v>
      </c>
      <c r="P477" s="34" t="str">
        <f t="shared" si="317"/>
        <v>545.10556621881</v>
      </c>
      <c r="Q477" s="4" t="str">
        <f t="shared" si="318"/>
        <v>1+52220.0531352885i</v>
      </c>
      <c r="R477" s="4">
        <f t="shared" si="327"/>
        <v>52220.053144863363</v>
      </c>
      <c r="S477" s="4">
        <f t="shared" si="328"/>
        <v>1.5707771770633312</v>
      </c>
      <c r="T477" s="4" t="str">
        <f t="shared" si="319"/>
        <v>1+1.22222136942881i</v>
      </c>
      <c r="U477" s="4">
        <f t="shared" si="329"/>
        <v>1.5791849403690614</v>
      </c>
      <c r="V477" s="4">
        <f t="shared" si="330"/>
        <v>0.88506647392675264</v>
      </c>
      <c r="W477" t="str">
        <f t="shared" si="320"/>
        <v>1-1.26964355856264i</v>
      </c>
      <c r="X477" s="4">
        <f t="shared" si="331"/>
        <v>1.6161666887421</v>
      </c>
      <c r="Y477" s="4">
        <f t="shared" si="332"/>
        <v>-0.90364825958008199</v>
      </c>
      <c r="Z477" t="str">
        <f t="shared" si="321"/>
        <v>-8.68679198999178+5.49811229432211i</v>
      </c>
      <c r="AA477" s="4">
        <f t="shared" si="333"/>
        <v>10.28054443491984</v>
      </c>
      <c r="AB477" s="4">
        <f t="shared" si="334"/>
        <v>2.5773127375207112</v>
      </c>
      <c r="AC477" s="48" t="str">
        <f t="shared" si="335"/>
        <v>-0.0013450545732848+0.00221507328498652i</v>
      </c>
      <c r="AD477" s="20">
        <f t="shared" si="336"/>
        <v>-51.729073246842809</v>
      </c>
      <c r="AE477" s="44">
        <f t="shared" si="337"/>
        <v>121.26729695979976</v>
      </c>
      <c r="AF477" t="str">
        <f t="shared" si="322"/>
        <v>-0.979317078436135</v>
      </c>
      <c r="AG477" t="str">
        <f t="shared" si="338"/>
        <v>2444442.73885762i</v>
      </c>
      <c r="AH477">
        <f t="shared" si="339"/>
        <v>2444442.7388576199</v>
      </c>
      <c r="AI477">
        <f t="shared" si="340"/>
        <v>1.5707963267948966</v>
      </c>
      <c r="AJ477" t="str">
        <f t="shared" si="323"/>
        <v>-92490.5538927023+2395.35832866137i</v>
      </c>
      <c r="AK477">
        <f t="shared" si="341"/>
        <v>92521.566679891199</v>
      </c>
      <c r="AL477">
        <f t="shared" si="342"/>
        <v>3.1157000310578402</v>
      </c>
      <c r="AM477" t="str">
        <f t="shared" si="324"/>
        <v>1+340070.873829872i</v>
      </c>
      <c r="AN477">
        <f t="shared" si="343"/>
        <v>340070.87383134227</v>
      </c>
      <c r="AO477">
        <f t="shared" si="344"/>
        <v>1.5707933862313936</v>
      </c>
      <c r="AP477" t="str">
        <f t="shared" si="325"/>
        <v>1+2297.77617452617i</v>
      </c>
      <c r="AQ477">
        <f t="shared" si="345"/>
        <v>2297.7763921278593</v>
      </c>
      <c r="AR477">
        <f t="shared" si="346"/>
        <v>1.5703611234239363</v>
      </c>
      <c r="AS477" s="42" t="str">
        <f t="shared" si="347"/>
        <v>-0.0000861182087484409+0.00338249350022063i</v>
      </c>
      <c r="AT477">
        <f t="shared" si="348"/>
        <v>-49.412446355096485</v>
      </c>
      <c r="AU477" s="44">
        <f t="shared" si="349"/>
        <v>91.458434193342242</v>
      </c>
      <c r="AV477" s="42" t="str">
        <f t="shared" si="326"/>
        <v>-7.37663729845908E-06-4.74039649512743E-06i</v>
      </c>
      <c r="AW477" s="20">
        <f t="shared" si="350"/>
        <v>-101.14151960193929</v>
      </c>
      <c r="AX477" s="44">
        <f t="shared" si="351"/>
        <v>-147.27426884685801</v>
      </c>
    </row>
    <row r="478" spans="14:50" x14ac:dyDescent="0.3">
      <c r="N478" s="8">
        <v>60</v>
      </c>
      <c r="O478" s="35">
        <f t="shared" si="316"/>
        <v>398107.17055349716</v>
      </c>
      <c r="P478" s="34" t="str">
        <f t="shared" si="317"/>
        <v>545.10556621881</v>
      </c>
      <c r="Q478" s="4" t="str">
        <f t="shared" si="318"/>
        <v>1+53436.4144298692i</v>
      </c>
      <c r="R478" s="4">
        <f t="shared" si="327"/>
        <v>53436.414439226115</v>
      </c>
      <c r="S478" s="4">
        <f t="shared" si="328"/>
        <v>1.5707776129644393</v>
      </c>
      <c r="T478" s="4" t="str">
        <f t="shared" si="319"/>
        <v>1+1.25069056235229i</v>
      </c>
      <c r="U478" s="4">
        <f t="shared" si="329"/>
        <v>1.6013203560677942</v>
      </c>
      <c r="V478" s="4">
        <f t="shared" si="330"/>
        <v>0.89632478156307416</v>
      </c>
      <c r="W478" t="str">
        <f t="shared" si="320"/>
        <v>1-1.29921735617155i</v>
      </c>
      <c r="X478" s="4">
        <f t="shared" si="331"/>
        <v>1.6395016738562336</v>
      </c>
      <c r="Y478" s="4">
        <f t="shared" si="332"/>
        <v>-0.91480964481461668</v>
      </c>
      <c r="Z478" t="str">
        <f t="shared" si="321"/>
        <v>-9.1433164317511+5.62617978155246i</v>
      </c>
      <c r="AA478" s="4">
        <f t="shared" si="333"/>
        <v>10.735647828868052</v>
      </c>
      <c r="AB478" s="4">
        <f t="shared" si="334"/>
        <v>2.5899754705203586</v>
      </c>
      <c r="AC478" s="48" t="str">
        <f t="shared" si="335"/>
        <v>-0.00126789167977765+0.00214839494350504i</v>
      </c>
      <c r="AD478" s="20">
        <f t="shared" si="336"/>
        <v>-52.059897207370732</v>
      </c>
      <c r="AE478" s="44">
        <f t="shared" si="337"/>
        <v>120.54730407108769</v>
      </c>
      <c r="AF478" t="str">
        <f t="shared" si="322"/>
        <v>-0.979317078436135</v>
      </c>
      <c r="AG478" t="str">
        <f t="shared" si="338"/>
        <v>2501381.12470457i</v>
      </c>
      <c r="AH478">
        <f t="shared" si="339"/>
        <v>2501381.12470457</v>
      </c>
      <c r="AI478">
        <f t="shared" si="340"/>
        <v>1.5707963267948966</v>
      </c>
      <c r="AJ478" t="str">
        <f t="shared" si="323"/>
        <v>-96849.5465346364+2451.15339172051i</v>
      </c>
      <c r="AK478">
        <f t="shared" si="341"/>
        <v>96880.55954067588</v>
      </c>
      <c r="AL478">
        <f t="shared" si="342"/>
        <v>3.1162891769389165</v>
      </c>
      <c r="AM478" t="str">
        <f t="shared" si="324"/>
        <v>1+347992.1420689i</v>
      </c>
      <c r="AN478">
        <f t="shared" si="343"/>
        <v>347992.14207033685</v>
      </c>
      <c r="AO478">
        <f t="shared" si="344"/>
        <v>1.5707934531667909</v>
      </c>
      <c r="AP478" t="str">
        <f t="shared" si="325"/>
        <v>1+2351.2982572223i</v>
      </c>
      <c r="AQ478">
        <f t="shared" si="345"/>
        <v>2351.2984698707701</v>
      </c>
      <c r="AR478">
        <f t="shared" si="346"/>
        <v>1.5703710298609004</v>
      </c>
      <c r="AS478" s="42" t="str">
        <f t="shared" si="347"/>
        <v>-0.0000822446513169303+0.00330559497513227i</v>
      </c>
      <c r="AT478">
        <f t="shared" si="348"/>
        <v>-49.6123195984162</v>
      </c>
      <c r="AU478" s="44">
        <f t="shared" si="349"/>
        <v>91.425250052982875</v>
      </c>
      <c r="AV478" s="42" t="str">
        <f t="shared" si="326"/>
        <v>-6.99744622073889E-06-4.36783035870464E-06i</v>
      </c>
      <c r="AW478" s="20">
        <f t="shared" si="350"/>
        <v>-101.67221680578693</v>
      </c>
      <c r="AX478" s="44">
        <f t="shared" si="351"/>
        <v>-148.02744587592943</v>
      </c>
    </row>
    <row r="479" spans="14:50" x14ac:dyDescent="0.3">
      <c r="N479" s="8">
        <v>61</v>
      </c>
      <c r="O479" s="35">
        <f t="shared" si="316"/>
        <v>407380.27780411334</v>
      </c>
      <c r="P479" s="34" t="str">
        <f t="shared" si="317"/>
        <v>545.10556621881</v>
      </c>
      <c r="Q479" s="4" t="str">
        <f t="shared" si="318"/>
        <v>1+54681.1084186954i</v>
      </c>
      <c r="R479" s="4">
        <f t="shared" si="327"/>
        <v>54681.108427839325</v>
      </c>
      <c r="S479" s="4">
        <f t="shared" si="328"/>
        <v>1.5707780389432271</v>
      </c>
      <c r="T479" s="4" t="str">
        <f t="shared" si="319"/>
        <v>1+1.27982288796677i</v>
      </c>
      <c r="U479" s="4">
        <f t="shared" si="329"/>
        <v>1.6241756754007872</v>
      </c>
      <c r="V479" s="4">
        <f t="shared" si="330"/>
        <v>0.90752619974505411</v>
      </c>
      <c r="W479" t="str">
        <f t="shared" si="320"/>
        <v>1-1.32948001601988i</v>
      </c>
      <c r="X479" s="4">
        <f t="shared" si="331"/>
        <v>1.6635856193764782</v>
      </c>
      <c r="Y479" s="4">
        <f t="shared" si="332"/>
        <v>-0.92590545416536008</v>
      </c>
      <c r="Z479" t="str">
        <f t="shared" si="321"/>
        <v>-9.6213562076004+5.7572303437743i</v>
      </c>
      <c r="AA479" s="4">
        <f t="shared" si="333"/>
        <v>11.212323421343424</v>
      </c>
      <c r="AB479" s="4">
        <f t="shared" si="334"/>
        <v>2.6023649350261522</v>
      </c>
      <c r="AC479" s="48" t="str">
        <f t="shared" si="335"/>
        <v>-0.00119545784896262+0.00208371995494055i</v>
      </c>
      <c r="AD479" s="20">
        <f t="shared" si="336"/>
        <v>-52.387482996286536</v>
      </c>
      <c r="AE479" s="44">
        <f t="shared" si="337"/>
        <v>119.84346657800117</v>
      </c>
      <c r="AF479" t="str">
        <f t="shared" si="322"/>
        <v>-0.979317078436135</v>
      </c>
      <c r="AG479" t="str">
        <f t="shared" si="338"/>
        <v>2559645.77593354i</v>
      </c>
      <c r="AH479">
        <f t="shared" si="339"/>
        <v>2559645.77593354</v>
      </c>
      <c r="AI479">
        <f t="shared" si="340"/>
        <v>1.5707963267948966</v>
      </c>
      <c r="AJ479" t="str">
        <f t="shared" si="323"/>
        <v>-101413.97217075+2508.24808875281i</v>
      </c>
      <c r="AK479">
        <f t="shared" si="341"/>
        <v>101444.98538579611</v>
      </c>
      <c r="AL479">
        <f t="shared" si="342"/>
        <v>3.1168649283781771</v>
      </c>
      <c r="AM479" t="str">
        <f t="shared" si="324"/>
        <v>1+356097.920347874i</v>
      </c>
      <c r="AN479">
        <f t="shared" si="343"/>
        <v>356097.92034927814</v>
      </c>
      <c r="AO479">
        <f t="shared" si="344"/>
        <v>1.5707935185785526</v>
      </c>
      <c r="AP479" t="str">
        <f t="shared" si="325"/>
        <v>1+2406.06702937753i</v>
      </c>
      <c r="AQ479">
        <f t="shared" si="345"/>
        <v>2406.0672371855308</v>
      </c>
      <c r="AR479">
        <f t="shared" si="346"/>
        <v>1.5703807107999093</v>
      </c>
      <c r="AS479" s="42" t="str">
        <f t="shared" si="347"/>
        <v>-0.0000785452216004683+0.00323044044322188i</v>
      </c>
      <c r="AT479">
        <f t="shared" si="348"/>
        <v>-49.812198543272601</v>
      </c>
      <c r="AU479" s="44">
        <f t="shared" si="349"/>
        <v>91.392820350229442</v>
      </c>
      <c r="AV479" s="42" t="str">
        <f t="shared" si="326"/>
        <v>-6.63743571312764E-06-0.00000402552162907i</v>
      </c>
      <c r="AW479" s="20">
        <f t="shared" si="350"/>
        <v>-102.19968153955912</v>
      </c>
      <c r="AX479" s="44">
        <f t="shared" si="351"/>
        <v>-148.76371307176942</v>
      </c>
    </row>
    <row r="480" spans="14:50" x14ac:dyDescent="0.3">
      <c r="N480" s="8">
        <v>62</v>
      </c>
      <c r="O480" s="35">
        <f t="shared" si="316"/>
        <v>416869.38347033598</v>
      </c>
      <c r="P480" s="34" t="str">
        <f t="shared" si="317"/>
        <v>545.10556621881</v>
      </c>
      <c r="Q480" s="4" t="str">
        <f t="shared" si="318"/>
        <v>1+55954.7950549953i</v>
      </c>
      <c r="R480" s="4">
        <f t="shared" si="327"/>
        <v>55954.795063931087</v>
      </c>
      <c r="S480" s="4">
        <f t="shared" si="328"/>
        <v>1.5707784552255537</v>
      </c>
      <c r="T480" s="4" t="str">
        <f t="shared" si="319"/>
        <v>1+1.30963379261692i</v>
      </c>
      <c r="U480" s="4">
        <f t="shared" si="329"/>
        <v>1.6477683911169607</v>
      </c>
      <c r="V480" s="4">
        <f t="shared" si="330"/>
        <v>0.91866542451459954</v>
      </c>
      <c r="W480" t="str">
        <f t="shared" si="320"/>
        <v>1-1.36044758377045i</v>
      </c>
      <c r="X480" s="4">
        <f t="shared" si="331"/>
        <v>1.6884364448171731</v>
      </c>
      <c r="Y480" s="4">
        <f t="shared" si="332"/>
        <v>-0.9369306425670143</v>
      </c>
      <c r="Z480" t="str">
        <f t="shared" si="321"/>
        <v>-10.1219253039961+5.89133346573037i</v>
      </c>
      <c r="AA480" s="4">
        <f t="shared" si="333"/>
        <v>11.71158323473437</v>
      </c>
      <c r="AB480" s="4">
        <f t="shared" si="334"/>
        <v>2.6144860793517961</v>
      </c>
      <c r="AC480" s="48" t="str">
        <f t="shared" si="335"/>
        <v>-0.00112745500062231+0.0020210286059804i</v>
      </c>
      <c r="AD480" s="20">
        <f t="shared" si="336"/>
        <v>-52.711828332205492</v>
      </c>
      <c r="AE480" s="44">
        <f t="shared" si="337"/>
        <v>119.15548611664344</v>
      </c>
      <c r="AF480" t="str">
        <f t="shared" si="322"/>
        <v>-0.979317078436135</v>
      </c>
      <c r="AG480" t="str">
        <f t="shared" si="338"/>
        <v>2619267.58523383i</v>
      </c>
      <c r="AH480">
        <f t="shared" si="339"/>
        <v>2619267.5852338299</v>
      </c>
      <c r="AI480">
        <f t="shared" si="340"/>
        <v>1.5707963267948966</v>
      </c>
      <c r="AJ480" t="str">
        <f t="shared" si="323"/>
        <v>-106193.51255978+2566.67269212234i</v>
      </c>
      <c r="AK480">
        <f t="shared" si="341"/>
        <v>106224.52597443137</v>
      </c>
      <c r="AL480">
        <f t="shared" si="342"/>
        <v>3.11742758919286</v>
      </c>
      <c r="AM480" t="str">
        <f t="shared" si="324"/>
        <v>1+364392.50645773i</v>
      </c>
      <c r="AN480">
        <f t="shared" si="343"/>
        <v>364392.50645910209</v>
      </c>
      <c r="AO480">
        <f t="shared" si="344"/>
        <v>1.5707935825013608</v>
      </c>
      <c r="AP480" t="str">
        <f t="shared" si="325"/>
        <v>1+2462.11153011981i</v>
      </c>
      <c r="AQ480">
        <f t="shared" si="345"/>
        <v>2462.1117331975233</v>
      </c>
      <c r="AR480">
        <f t="shared" si="346"/>
        <v>1.5703901713739179</v>
      </c>
      <c r="AS480" s="42" t="str">
        <f t="shared" si="347"/>
        <v>-0.0000750121011182316+0.00315699063503885i</v>
      </c>
      <c r="AT480">
        <f t="shared" si="348"/>
        <v>-50.012082933357782</v>
      </c>
      <c r="AU480" s="44">
        <f t="shared" si="349"/>
        <v>91.361127973720315</v>
      </c>
      <c r="AV480" s="42" t="str">
        <f t="shared" si="326"/>
        <v>-6.29579561371281E-06-3.71096648054699E-06i</v>
      </c>
      <c r="AW480" s="20">
        <f t="shared" si="350"/>
        <v>-102.72391126556327</v>
      </c>
      <c r="AX480" s="44">
        <f t="shared" si="351"/>
        <v>-149.4833859096363</v>
      </c>
    </row>
    <row r="481" spans="14:50" x14ac:dyDescent="0.3">
      <c r="N481" s="8">
        <v>63</v>
      </c>
      <c r="O481" s="35">
        <f t="shared" si="316"/>
        <v>426579.51880159322</v>
      </c>
      <c r="P481" s="34" t="str">
        <f t="shared" si="317"/>
        <v>545.10556621881</v>
      </c>
      <c r="Q481" s="4" t="str">
        <f t="shared" si="318"/>
        <v>1+57258.1496642824i</v>
      </c>
      <c r="R481" s="4">
        <f t="shared" si="327"/>
        <v>57258.149673014792</v>
      </c>
      <c r="S481" s="4">
        <f t="shared" si="328"/>
        <v>1.5707788620321377</v>
      </c>
      <c r="T481" s="4" t="str">
        <f t="shared" si="319"/>
        <v>1+1.34013908243896i</v>
      </c>
      <c r="U481" s="4">
        <f t="shared" si="329"/>
        <v>1.6721162520232669</v>
      </c>
      <c r="V481" s="4">
        <f t="shared" si="330"/>
        <v>0.92973730509767583</v>
      </c>
      <c r="W481" t="str">
        <f t="shared" si="320"/>
        <v>1-1.39213647883758i</v>
      </c>
      <c r="X481" s="4">
        <f t="shared" si="331"/>
        <v>1.7140723367787885</v>
      </c>
      <c r="Y481" s="4">
        <f t="shared" si="332"/>
        <v>-0.94788033476388789</v>
      </c>
      <c r="Z481" t="str">
        <f t="shared" si="321"/>
        <v>-10.646085495104+6.02856025067098i</v>
      </c>
      <c r="AA481" s="4">
        <f t="shared" si="333"/>
        <v>12.234487119002329</v>
      </c>
      <c r="AB481" s="4">
        <f t="shared" si="334"/>
        <v>2.6263438487204431</v>
      </c>
      <c r="AC481" s="48" t="str">
        <f t="shared" si="335"/>
        <v>-0.00106360294708477+0.00196029456681913i</v>
      </c>
      <c r="AD481" s="20">
        <f t="shared" si="336"/>
        <v>-53.032936936392289</v>
      </c>
      <c r="AE481" s="44">
        <f t="shared" si="337"/>
        <v>118.48306354791505</v>
      </c>
      <c r="AF481" t="str">
        <f t="shared" si="322"/>
        <v>-0.979317078436135</v>
      </c>
      <c r="AG481" t="str">
        <f t="shared" si="338"/>
        <v>2680278.16487791i</v>
      </c>
      <c r="AH481">
        <f t="shared" si="339"/>
        <v>2680278.1648779102</v>
      </c>
      <c r="AI481">
        <f t="shared" si="340"/>
        <v>1.5707963267948966</v>
      </c>
      <c r="AJ481" t="str">
        <f t="shared" si="323"/>
        <v>-111198.305747696+2626.45817932717i</v>
      </c>
      <c r="AK481">
        <f t="shared" si="341"/>
        <v>111229.31935297382</v>
      </c>
      <c r="AL481">
        <f t="shared" si="342"/>
        <v>3.1179774563563032</v>
      </c>
      <c r="AM481" t="str">
        <f t="shared" si="324"/>
        <v>1+372880.298297815i</v>
      </c>
      <c r="AN481">
        <f t="shared" si="343"/>
        <v>372880.29829915601</v>
      </c>
      <c r="AO481">
        <f t="shared" si="344"/>
        <v>1.5707936449691082</v>
      </c>
      <c r="AP481" t="str">
        <f t="shared" si="325"/>
        <v>1+2519.46147498524i</v>
      </c>
      <c r="AQ481">
        <f t="shared" si="345"/>
        <v>2519.4616734403403</v>
      </c>
      <c r="AR481">
        <f t="shared" si="346"/>
        <v>1.5703994165990409</v>
      </c>
      <c r="AS481" s="42" t="str">
        <f t="shared" si="347"/>
        <v>-0.0000716378216482298+0.00308520714646229i</v>
      </c>
      <c r="AT481">
        <f t="shared" si="348"/>
        <v>-50.211972523873328</v>
      </c>
      <c r="AU481" s="44">
        <f t="shared" si="349"/>
        <v>91.330156197480676</v>
      </c>
      <c r="AV481" s="42" t="str">
        <f t="shared" si="326"/>
        <v>-5.97172060849379E-06-3.42186664590007E-06i</v>
      </c>
      <c r="AW481" s="20">
        <f t="shared" si="350"/>
        <v>-103.2449094602656</v>
      </c>
      <c r="AX481" s="44">
        <f t="shared" si="351"/>
        <v>-150.18678025460429</v>
      </c>
    </row>
    <row r="482" spans="14:50" x14ac:dyDescent="0.3">
      <c r="N482" s="8">
        <v>64</v>
      </c>
      <c r="O482" s="35">
        <f t="shared" si="316"/>
        <v>436515.83224016649</v>
      </c>
      <c r="P482" s="34" t="str">
        <f t="shared" si="317"/>
        <v>545.10556621881</v>
      </c>
      <c r="Q482" s="4" t="str">
        <f t="shared" si="318"/>
        <v>1+58591.8633024227i</v>
      </c>
      <c r="R482" s="4">
        <f t="shared" si="327"/>
        <v>58591.863310956302</v>
      </c>
      <c r="S482" s="4">
        <f t="shared" si="328"/>
        <v>1.5707792595786734</v>
      </c>
      <c r="T482" s="4" t="str">
        <f t="shared" si="319"/>
        <v>1+1.37135493174134i</v>
      </c>
      <c r="U482" s="4">
        <f t="shared" si="329"/>
        <v>1.6972372694503544</v>
      </c>
      <c r="V482" s="4">
        <f t="shared" si="330"/>
        <v>0.94073685426248232</v>
      </c>
      <c r="W482" t="str">
        <f t="shared" si="320"/>
        <v>1-1.4245635030929i</v>
      </c>
      <c r="X482" s="4">
        <f t="shared" si="331"/>
        <v>1.7405117564510488</v>
      </c>
      <c r="Y482" s="4">
        <f t="shared" si="332"/>
        <v>-0.95874983411829207</v>
      </c>
      <c r="Z482" t="str">
        <f t="shared" si="321"/>
        <v>-11.1949485949648+6.16898345805391i</v>
      </c>
      <c r="AA482" s="4">
        <f t="shared" si="333"/>
        <v>12.782145005813661</v>
      </c>
      <c r="AB482" s="4">
        <f t="shared" si="334"/>
        <v>2.6379431760476191</v>
      </c>
      <c r="AC482" s="48" t="str">
        <f t="shared" si="335"/>
        <v>-0.001003638542539+0.00190148595020328i</v>
      </c>
      <c r="AD482" s="20">
        <f t="shared" si="336"/>
        <v>-53.350818236462572</v>
      </c>
      <c r="AE482" s="44">
        <f t="shared" si="337"/>
        <v>117.82589957440115</v>
      </c>
      <c r="AF482" t="str">
        <f t="shared" si="322"/>
        <v>-0.979317078436135</v>
      </c>
      <c r="AG482" t="str">
        <f t="shared" si="338"/>
        <v>2742709.86348268i</v>
      </c>
      <c r="AH482">
        <f t="shared" si="339"/>
        <v>2742709.8634826802</v>
      </c>
      <c r="AI482">
        <f t="shared" si="340"/>
        <v>1.5707963267948966</v>
      </c>
      <c r="AJ482" t="str">
        <f t="shared" si="323"/>
        <v>-116438.967571852+2687.63624942396i</v>
      </c>
      <c r="AK482">
        <f t="shared" si="341"/>
        <v>116469.98135918121</v>
      </c>
      <c r="AL482">
        <f t="shared" si="342"/>
        <v>3.1185148201489472</v>
      </c>
      <c r="AM482" t="str">
        <f t="shared" si="324"/>
        <v>1+381565.79620771i</v>
      </c>
      <c r="AN482">
        <f t="shared" si="343"/>
        <v>381565.79620902037</v>
      </c>
      <c r="AO482">
        <f t="shared" si="344"/>
        <v>1.570793706014916</v>
      </c>
      <c r="AP482" t="str">
        <f t="shared" si="325"/>
        <v>1+2578.14727167373i</v>
      </c>
      <c r="AQ482">
        <f t="shared" si="345"/>
        <v>2578.1474656114415</v>
      </c>
      <c r="AR482">
        <f t="shared" si="346"/>
        <v>1.5704084513772127</v>
      </c>
      <c r="AS482" s="42" t="str">
        <f t="shared" si="347"/>
        <v>-0.0000684152496062912+0.00301505242090318i</v>
      </c>
      <c r="AT482">
        <f t="shared" si="348"/>
        <v>-50.41186708101371</v>
      </c>
      <c r="AU482" s="44">
        <f t="shared" si="349"/>
        <v>91.29988867242426</v>
      </c>
      <c r="AV482" s="42" t="str">
        <f t="shared" si="326"/>
        <v>-5.66441563607148E-06-3.15611345329996E-06i</v>
      </c>
      <c r="AW482" s="20">
        <f t="shared" si="350"/>
        <v>-103.76268531747628</v>
      </c>
      <c r="AX482" s="44">
        <f t="shared" si="351"/>
        <v>-150.87421175317462</v>
      </c>
    </row>
    <row r="483" spans="14:50" x14ac:dyDescent="0.3">
      <c r="N483" s="8">
        <v>65</v>
      </c>
      <c r="O483" s="35">
        <f t="shared" si="316"/>
        <v>446683.59215096442</v>
      </c>
      <c r="P483" s="34" t="str">
        <f t="shared" si="317"/>
        <v>545.10556621881</v>
      </c>
      <c r="Q483" s="4" t="str">
        <f t="shared" si="318"/>
        <v>1+59956.6431220412i</v>
      </c>
      <c r="R483" s="4">
        <f t="shared" si="327"/>
        <v>59956.643130380558</v>
      </c>
      <c r="S483" s="4">
        <f t="shared" si="328"/>
        <v>1.5707796480759451</v>
      </c>
      <c r="T483" s="4" t="str">
        <f t="shared" si="319"/>
        <v>1+1.40329789158057i</v>
      </c>
      <c r="U483" s="4">
        <f t="shared" si="329"/>
        <v>1.7231497243462255</v>
      </c>
      <c r="V483" s="4">
        <f t="shared" si="330"/>
        <v>0.95165925775044802</v>
      </c>
      <c r="W483" t="str">
        <f t="shared" si="320"/>
        <v>1-1.45774584977389i</v>
      </c>
      <c r="X483" s="4">
        <f t="shared" si="331"/>
        <v>1.767773447739557</v>
      </c>
      <c r="Y483" s="4">
        <f t="shared" si="332"/>
        <v>-0.96953463044652932</v>
      </c>
      <c r="Z483" t="str">
        <f t="shared" si="321"/>
        <v>-11.7696788158009+6.31267754212248i</v>
      </c>
      <c r="AA483" s="4">
        <f t="shared" si="333"/>
        <v>13.355719268460609</v>
      </c>
      <c r="AB483" s="4">
        <f t="shared" si="334"/>
        <v>2.6492889736722836</v>
      </c>
      <c r="AC483" s="48" t="str">
        <f t="shared" si="335"/>
        <v>-0.000947314836794401+0.001844566258318i</v>
      </c>
      <c r="AD483" s="20">
        <f t="shared" si="336"/>
        <v>-53.665487063265047</v>
      </c>
      <c r="AE483" s="44">
        <f t="shared" si="337"/>
        <v>117.18369530552746</v>
      </c>
      <c r="AF483" t="str">
        <f t="shared" si="322"/>
        <v>-0.979317078436135</v>
      </c>
      <c r="AG483" t="str">
        <f t="shared" si="338"/>
        <v>2806595.78316114i</v>
      </c>
      <c r="AH483">
        <f t="shared" si="339"/>
        <v>2806595.78316114</v>
      </c>
      <c r="AI483">
        <f t="shared" si="340"/>
        <v>1.5707963267948966</v>
      </c>
      <c r="AJ483" t="str">
        <f t="shared" si="323"/>
        <v>-121926.614178608+2750.23933983528i</v>
      </c>
      <c r="AK483">
        <f t="shared" si="341"/>
        <v>121957.62813979907</v>
      </c>
      <c r="AL483">
        <f t="shared" si="342"/>
        <v>3.1190399643062214</v>
      </c>
      <c r="AM483" t="str">
        <f t="shared" si="324"/>
        <v>1+390453.605353378i</v>
      </c>
      <c r="AN483">
        <f t="shared" si="343"/>
        <v>390453.6053546585</v>
      </c>
      <c r="AO483">
        <f t="shared" si="344"/>
        <v>1.5707937656711517</v>
      </c>
      <c r="AP483" t="str">
        <f t="shared" si="325"/>
        <v>1+2638.20003617148i</v>
      </c>
      <c r="AQ483">
        <f t="shared" si="345"/>
        <v>2638.2002256946303</v>
      </c>
      <c r="AR483">
        <f t="shared" si="346"/>
        <v>1.5704172804987866</v>
      </c>
      <c r="AS483" s="42" t="str">
        <f t="shared" si="347"/>
        <v>-0.000065337571115524+0.00294648973178493i</v>
      </c>
      <c r="AT483">
        <f t="shared" si="348"/>
        <v>-50.611766381474652</v>
      </c>
      <c r="AU483" s="44">
        <f t="shared" si="349"/>
        <v>91.27030941803001</v>
      </c>
      <c r="AV483" s="42" t="str">
        <f t="shared" si="326"/>
        <v>-5.37310028921309E-06-2.91177291846237E-06i</v>
      </c>
      <c r="AW483" s="20">
        <f t="shared" si="350"/>
        <v>-104.2772534447397</v>
      </c>
      <c r="AX483" s="44">
        <f t="shared" si="351"/>
        <v>-151.54599527644248</v>
      </c>
    </row>
    <row r="484" spans="14:50" x14ac:dyDescent="0.3">
      <c r="N484" s="8">
        <v>66</v>
      </c>
      <c r="O484" s="35">
        <f t="shared" ref="O484:O518" si="352">10^(5+(N484/100))</f>
        <v>457088.18961487547</v>
      </c>
      <c r="P484" s="34" t="str">
        <f t="shared" si="317"/>
        <v>545.10556621881</v>
      </c>
      <c r="Q484" s="4" t="str">
        <f t="shared" si="318"/>
        <v>1+61353.2127474627i</v>
      </c>
      <c r="R484" s="4">
        <f t="shared" si="327"/>
        <v>61353.212755612229</v>
      </c>
      <c r="S484" s="4">
        <f t="shared" si="328"/>
        <v>1.5707800277299393</v>
      </c>
      <c r="T484" s="4" t="str">
        <f t="shared" si="319"/>
        <v>1+1.43598489853675i</v>
      </c>
      <c r="U484" s="4">
        <f t="shared" si="329"/>
        <v>1.7498721749961053</v>
      </c>
      <c r="V484" s="4">
        <f t="shared" si="330"/>
        <v>0.96249988274965437</v>
      </c>
      <c r="W484" t="str">
        <f t="shared" si="320"/>
        <v>1-1.49170111259997i</v>
      </c>
      <c r="X484" s="4">
        <f t="shared" si="331"/>
        <v>1.7958764460095766</v>
      </c>
      <c r="Y484" s="4">
        <f t="shared" si="332"/>
        <v>-0.9802304068673795</v>
      </c>
      <c r="Z484" t="str">
        <f t="shared" si="321"/>
        <v>-12.3714952374659+6.45971869138201i</v>
      </c>
      <c r="AA484" s="4">
        <f t="shared" si="333"/>
        <v>13.95642719260311</v>
      </c>
      <c r="AB484" s="4">
        <f t="shared" si="334"/>
        <v>2.6603861259649992</v>
      </c>
      <c r="AC484" s="48" t="str">
        <f t="shared" si="335"/>
        <v>-0.000894400239938908+0.00178949522621637i</v>
      </c>
      <c r="AD484" s="20">
        <f t="shared" si="336"/>
        <v>-53.976963342776401</v>
      </c>
      <c r="AE484" s="44">
        <f t="shared" si="337"/>
        <v>116.55615277417768</v>
      </c>
      <c r="AF484" t="str">
        <f t="shared" si="322"/>
        <v>-0.979317078436135</v>
      </c>
      <c r="AG484" t="str">
        <f t="shared" si="338"/>
        <v>2871969.7970735i</v>
      </c>
      <c r="AH484">
        <f t="shared" si="339"/>
        <v>2871969.7970735002</v>
      </c>
      <c r="AI484">
        <f t="shared" si="340"/>
        <v>1.5707963267948966</v>
      </c>
      <c r="AJ484" t="str">
        <f t="shared" si="323"/>
        <v>-127672.885602156+2814.30064354829i</v>
      </c>
      <c r="AK484">
        <f t="shared" si="341"/>
        <v>127703.89972938765</v>
      </c>
      <c r="AL484">
        <f t="shared" si="342"/>
        <v>3.1195531661633531</v>
      </c>
      <c r="AM484" t="str">
        <f t="shared" si="324"/>
        <v>1+399548.438168865i</v>
      </c>
      <c r="AN484">
        <f t="shared" si="343"/>
        <v>399548.43817011645</v>
      </c>
      <c r="AO484">
        <f t="shared" si="344"/>
        <v>1.5707938239694454</v>
      </c>
      <c r="AP484" t="str">
        <f t="shared" si="325"/>
        <v>1+2699.6516092491i</v>
      </c>
      <c r="AQ484">
        <f t="shared" si="345"/>
        <v>2699.6517944581769</v>
      </c>
      <c r="AR484">
        <f t="shared" si="346"/>
        <v>1.570425908645074</v>
      </c>
      <c r="AS484" s="42" t="str">
        <f t="shared" si="347"/>
        <v>-0.0000623982777363169+0.00287948316530563i</v>
      </c>
      <c r="AT484">
        <f t="shared" si="348"/>
        <v>-50.811670211981706</v>
      </c>
      <c r="AU484" s="44">
        <f t="shared" si="349"/>
        <v>91.241402814191559</v>
      </c>
      <c r="AV484" s="42" t="str">
        <f t="shared" si="326"/>
        <v>-5.09701234370569E-06-2.68707185408266E-06i</v>
      </c>
      <c r="AW484" s="20">
        <f t="shared" si="350"/>
        <v>-104.78863355475811</v>
      </c>
      <c r="AX484" s="44">
        <f t="shared" si="351"/>
        <v>-152.20244441163078</v>
      </c>
    </row>
    <row r="485" spans="14:50" x14ac:dyDescent="0.3">
      <c r="N485" s="8">
        <v>67</v>
      </c>
      <c r="O485" s="35">
        <f t="shared" si="352"/>
        <v>467735.14128719864</v>
      </c>
      <c r="P485" s="34" t="str">
        <f t="shared" si="317"/>
        <v>545.10556621881</v>
      </c>
      <c r="Q485" s="4" t="str">
        <f t="shared" si="318"/>
        <v>1+62782.3126583887i</v>
      </c>
      <c r="R485" s="4">
        <f t="shared" si="327"/>
        <v>62782.312666352722</v>
      </c>
      <c r="S485" s="4">
        <f t="shared" si="328"/>
        <v>1.5707803987419535</v>
      </c>
      <c r="T485" s="4" t="str">
        <f t="shared" si="319"/>
        <v>1+1.46943328369365i</v>
      </c>
      <c r="U485" s="4">
        <f t="shared" si="329"/>
        <v>1.7774234653640373</v>
      </c>
      <c r="V485" s="4">
        <f t="shared" si="330"/>
        <v>0.97325428538963799</v>
      </c>
      <c r="W485" t="str">
        <f t="shared" si="320"/>
        <v>1-1.52644729510095i</v>
      </c>
      <c r="X485" s="4">
        <f t="shared" si="331"/>
        <v>1.8248400874380766</v>
      </c>
      <c r="Y485" s="4">
        <f t="shared" si="332"/>
        <v>-0.99083304565690478</v>
      </c>
      <c r="Z485" t="str">
        <f t="shared" si="321"/>
        <v>-13.0016743932771+6.6101848689962i</v>
      </c>
      <c r="AA485" s="4">
        <f t="shared" si="333"/>
        <v>14.585543563100545</v>
      </c>
      <c r="AB485" s="4">
        <f t="shared" si="334"/>
        <v>2.6712394827455945</v>
      </c>
      <c r="AC485" s="48" t="str">
        <f t="shared" si="335"/>
        <v>-0.000844677703198514+0.00173622957019785i</v>
      </c>
      <c r="AD485" s="20">
        <f t="shared" si="336"/>
        <v>-54.285271784789387</v>
      </c>
      <c r="AE485" s="44">
        <f t="shared" si="337"/>
        <v>115.94297540779125</v>
      </c>
      <c r="AF485" t="str">
        <f t="shared" si="322"/>
        <v>-0.979317078436135</v>
      </c>
      <c r="AG485" t="str">
        <f t="shared" si="338"/>
        <v>2938866.56738729i</v>
      </c>
      <c r="AH485">
        <f t="shared" si="339"/>
        <v>2938866.5673872898</v>
      </c>
      <c r="AI485">
        <f t="shared" si="340"/>
        <v>1.5707963267948966</v>
      </c>
      <c r="AJ485" t="str">
        <f t="shared" si="323"/>
        <v>-133689.970454602+2879.85412671418i</v>
      </c>
      <c r="AK485">
        <f t="shared" si="341"/>
        <v>133720.98474040456</v>
      </c>
      <c r="AL485">
        <f t="shared" si="342"/>
        <v>3.1200546967971658</v>
      </c>
      <c r="AM485" t="str">
        <f t="shared" si="324"/>
        <v>1+408855.11685492i</v>
      </c>
      <c r="AN485">
        <f t="shared" si="343"/>
        <v>408855.11685614288</v>
      </c>
      <c r="AO485">
        <f t="shared" si="344"/>
        <v>1.5707938809407083</v>
      </c>
      <c r="AP485" t="str">
        <f t="shared" si="325"/>
        <v>1+2762.53457334406i</v>
      </c>
      <c r="AQ485">
        <f t="shared" si="345"/>
        <v>2762.5347543372641</v>
      </c>
      <c r="AR485">
        <f t="shared" si="346"/>
        <v>1.5704343403908274</v>
      </c>
      <c r="AS485" s="42" t="str">
        <f t="shared" si="347"/>
        <v>-0.0000595911528281193+0.00281399760348243i</v>
      </c>
      <c r="AT485">
        <f t="shared" si="348"/>
        <v>-51.011578368840887</v>
      </c>
      <c r="AU485" s="44">
        <f t="shared" si="349"/>
        <v>91.213153593236086</v>
      </c>
      <c r="AV485" s="42" t="str">
        <f t="shared" si="326"/>
        <v>-4.83541053153027E-06-2.48038495417802E-06i</v>
      </c>
      <c r="AW485" s="20">
        <f t="shared" si="350"/>
        <v>-105.29685015363029</v>
      </c>
      <c r="AX485" s="44">
        <f t="shared" si="351"/>
        <v>-152.84387099897268</v>
      </c>
    </row>
    <row r="486" spans="14:50" x14ac:dyDescent="0.3">
      <c r="N486" s="8">
        <v>68</v>
      </c>
      <c r="O486" s="35">
        <f t="shared" si="352"/>
        <v>478630.09232263872</v>
      </c>
      <c r="P486" s="34" t="str">
        <f t="shared" si="317"/>
        <v>545.10556621881</v>
      </c>
      <c r="Q486" s="4" t="str">
        <f t="shared" si="318"/>
        <v>1+64244.7005825085i</v>
      </c>
      <c r="R486" s="4">
        <f t="shared" si="327"/>
        <v>64244.700590291242</v>
      </c>
      <c r="S486" s="4">
        <f t="shared" si="328"/>
        <v>1.5707807613087033</v>
      </c>
      <c r="T486" s="4" t="str">
        <f t="shared" si="319"/>
        <v>1+1.50366078182781i</v>
      </c>
      <c r="U486" s="4">
        <f t="shared" si="329"/>
        <v>1.8058227340486721</v>
      </c>
      <c r="V486" s="4">
        <f t="shared" si="330"/>
        <v>0.98391821724548767</v>
      </c>
      <c r="W486" t="str">
        <f t="shared" si="320"/>
        <v>1-1.56200282016272i</v>
      </c>
      <c r="X486" s="4">
        <f t="shared" si="331"/>
        <v>1.8546840189628773</v>
      </c>
      <c r="Y486" s="4">
        <f t="shared" si="332"/>
        <v>-1.0013386331119807</v>
      </c>
      <c r="Z486" t="str">
        <f t="shared" si="321"/>
        <v>-13.6615529777138+6.76415585412409i</v>
      </c>
      <c r="AA486" s="4">
        <f t="shared" si="333"/>
        <v>15.244403372443344</v>
      </c>
      <c r="AB486" s="4">
        <f t="shared" si="334"/>
        <v>2.6818538534461211</v>
      </c>
      <c r="AC486" s="48" t="str">
        <f t="shared" si="335"/>
        <v>-0.00079794392028139+0.00168472364918934i</v>
      </c>
      <c r="AD486" s="20">
        <f t="shared" si="336"/>
        <v>-54.590441570103287</v>
      </c>
      <c r="AE486" s="44">
        <f t="shared" si="337"/>
        <v>115.34386845679302</v>
      </c>
      <c r="AF486" t="str">
        <f t="shared" si="322"/>
        <v>-0.979317078436135</v>
      </c>
      <c r="AG486" t="str">
        <f t="shared" si="338"/>
        <v>3007321.56365561i</v>
      </c>
      <c r="AH486">
        <f t="shared" si="339"/>
        <v>3007321.5636556102</v>
      </c>
      <c r="AI486">
        <f t="shared" si="340"/>
        <v>1.5707963267948966</v>
      </c>
      <c r="AJ486" t="str">
        <f t="shared" si="323"/>
        <v>-139990.631779643+2946.93454665743i</v>
      </c>
      <c r="AK486">
        <f t="shared" si="341"/>
        <v>140021.64621688274</v>
      </c>
      <c r="AL486">
        <f t="shared" si="342"/>
        <v>3.1205448211649047</v>
      </c>
      <c r="AM486" t="str">
        <f t="shared" si="324"/>
        <v>1+418378.575935768i</v>
      </c>
      <c r="AN486">
        <f t="shared" si="343"/>
        <v>418378.57593696308</v>
      </c>
      <c r="AO486">
        <f t="shared" si="344"/>
        <v>1.5707939366151467</v>
      </c>
      <c r="AP486" t="str">
        <f t="shared" si="325"/>
        <v>1+2826.88226983628i</v>
      </c>
      <c r="AQ486">
        <f t="shared" si="345"/>
        <v>2826.882446709576</v>
      </c>
      <c r="AR486">
        <f t="shared" si="346"/>
        <v>1.5704425802066648</v>
      </c>
      <c r="AS486" s="42" t="str">
        <f t="shared" si="347"/>
        <v>-0.0000569102585155037+0.00274999870747927i</v>
      </c>
      <c r="AT486">
        <f t="shared" si="348"/>
        <v>-51.211490657509088</v>
      </c>
      <c r="AU486" s="44">
        <f t="shared" si="349"/>
        <v>91.185546832109935</v>
      </c>
      <c r="AV486" s="42" t="str">
        <f t="shared" si="326"/>
        <v>-4.58757666294636E-06-2.29022280781731E-06i</v>
      </c>
      <c r="AW486" s="20">
        <f t="shared" si="350"/>
        <v>-105.80193222761237</v>
      </c>
      <c r="AX486" s="44">
        <f t="shared" si="351"/>
        <v>-153.47058471109708</v>
      </c>
    </row>
    <row r="487" spans="14:50" x14ac:dyDescent="0.3">
      <c r="N487" s="8">
        <v>69</v>
      </c>
      <c r="O487" s="35">
        <f t="shared" si="352"/>
        <v>489778.81936844654</v>
      </c>
      <c r="P487" s="34" t="str">
        <f t="shared" si="317"/>
        <v>545.10556621881</v>
      </c>
      <c r="Q487" s="4" t="str">
        <f t="shared" si="318"/>
        <v>1+65741.1518972563i</v>
      </c>
      <c r="R487" s="4">
        <f t="shared" si="327"/>
        <v>65741.151904861894</v>
      </c>
      <c r="S487" s="4">
        <f t="shared" si="328"/>
        <v>1.5707811156224261</v>
      </c>
      <c r="T487" s="4" t="str">
        <f t="shared" si="319"/>
        <v>1+1.53868554081179i</v>
      </c>
      <c r="U487" s="4">
        <f t="shared" si="329"/>
        <v>1.8350894238437732</v>
      </c>
      <c r="V487" s="4">
        <f t="shared" si="330"/>
        <v>0.99448763084817826</v>
      </c>
      <c r="W487" t="str">
        <f t="shared" si="320"/>
        <v>1-1.59838653979529i</v>
      </c>
      <c r="X487" s="4">
        <f t="shared" si="331"/>
        <v>1.8854282088159073</v>
      </c>
      <c r="Y487" s="4">
        <f t="shared" si="332"/>
        <v>-1.0117434634331426</v>
      </c>
      <c r="Z487" t="str">
        <f t="shared" si="321"/>
        <v>-14.3525306817248+6.92171328422003i</v>
      </c>
      <c r="AA487" s="4">
        <f t="shared" si="333"/>
        <v>15.934404656553687</v>
      </c>
      <c r="AB487" s="4">
        <f t="shared" si="334"/>
        <v>2.6922340019585054</v>
      </c>
      <c r="AC487" s="48" t="str">
        <f t="shared" si="335"/>
        <v>-0.000754008552592549+0.00163493004678519i</v>
      </c>
      <c r="AD487" s="20">
        <f t="shared" si="336"/>
        <v>-54.892506037850197</v>
      </c>
      <c r="AE487" s="44">
        <f t="shared" si="337"/>
        <v>114.7585393830435</v>
      </c>
      <c r="AF487" t="str">
        <f t="shared" si="322"/>
        <v>-0.979317078436135</v>
      </c>
      <c r="AG487" t="str">
        <f t="shared" si="338"/>
        <v>3077371.08162359i</v>
      </c>
      <c r="AH487">
        <f t="shared" si="339"/>
        <v>3077371.0816235901</v>
      </c>
      <c r="AI487">
        <f t="shared" si="340"/>
        <v>1.5707963267948966</v>
      </c>
      <c r="AJ487" t="str">
        <f t="shared" si="323"/>
        <v>-146588.234124694+3015.57747030461i</v>
      </c>
      <c r="AK487">
        <f t="shared" si="341"/>
        <v>146619.24870655799</v>
      </c>
      <c r="AL487">
        <f t="shared" si="342"/>
        <v>3.1210237982401434</v>
      </c>
      <c r="AM487" t="str">
        <f t="shared" si="324"/>
        <v>1+428123.864875474i</v>
      </c>
      <c r="AN487">
        <f t="shared" si="343"/>
        <v>428123.86487664195</v>
      </c>
      <c r="AO487">
        <f t="shared" si="344"/>
        <v>1.5707939910222801</v>
      </c>
      <c r="AP487" t="str">
        <f t="shared" si="325"/>
        <v>1+2892.72881672618i</v>
      </c>
      <c r="AQ487">
        <f t="shared" si="345"/>
        <v>2892.7289895733484</v>
      </c>
      <c r="AR487">
        <f t="shared" si="346"/>
        <v>1.5704506324614413</v>
      </c>
      <c r="AS487" s="42" t="str">
        <f t="shared" si="347"/>
        <v>-0.0000543499232321454+0.00268745290121829i</v>
      </c>
      <c r="AT487">
        <f t="shared" si="348"/>
        <v>-51.41140689218382</v>
      </c>
      <c r="AU487" s="44">
        <f t="shared" si="349"/>
        <v>91.158567944728617</v>
      </c>
      <c r="AV487" s="42" t="str">
        <f t="shared" si="326"/>
        <v>-4.35281719057203E-06-2.11522079474095E-06i</v>
      </c>
      <c r="AW487" s="20">
        <f t="shared" si="350"/>
        <v>-106.30391293003402</v>
      </c>
      <c r="AX487" s="44">
        <f t="shared" si="351"/>
        <v>-154.0828926722279</v>
      </c>
    </row>
    <row r="488" spans="14:50" x14ac:dyDescent="0.3">
      <c r="N488" s="8">
        <v>70</v>
      </c>
      <c r="O488" s="35">
        <f t="shared" si="352"/>
        <v>501187.23362727347</v>
      </c>
      <c r="P488" s="34" t="str">
        <f t="shared" si="317"/>
        <v>545.10556621881</v>
      </c>
      <c r="Q488" s="4" t="str">
        <f t="shared" si="318"/>
        <v>1+67272.4600409271i</v>
      </c>
      <c r="R488" s="4">
        <f t="shared" si="327"/>
        <v>67272.460048359557</v>
      </c>
      <c r="S488" s="4">
        <f t="shared" si="328"/>
        <v>1.5707814618709839</v>
      </c>
      <c r="T488" s="4" t="str">
        <f t="shared" si="319"/>
        <v>1+1.57452613123643i</v>
      </c>
      <c r="U488" s="4">
        <f t="shared" si="329"/>
        <v>1.8652432918915323</v>
      </c>
      <c r="V488" s="4">
        <f t="shared" si="330"/>
        <v>1.0049586842064098</v>
      </c>
      <c r="W488" t="str">
        <f t="shared" si="320"/>
        <v>1-1.6356177451284i</v>
      </c>
      <c r="X488" s="4">
        <f t="shared" si="331"/>
        <v>1.9170929576259239</v>
      </c>
      <c r="Y488" s="4">
        <f t="shared" si="332"/>
        <v>-1.0220440416449217</v>
      </c>
      <c r="Z488" t="str">
        <f t="shared" si="321"/>
        <v>-15.0760731616614+7.08294069831898i</v>
      </c>
      <c r="AA488" s="4">
        <f t="shared" si="333"/>
        <v>16.657011463995289</v>
      </c>
      <c r="AB488" s="4">
        <f t="shared" si="334"/>
        <v>2.7023846421100086</v>
      </c>
      <c r="AC488" s="48" t="str">
        <f t="shared" si="335"/>
        <v>-0.000712693480920892+0.00158680008117732i</v>
      </c>
      <c r="AD488" s="20">
        <f t="shared" si="336"/>
        <v>-55.191502374504829</v>
      </c>
      <c r="AE488" s="44">
        <f t="shared" si="337"/>
        <v>114.18669821082895</v>
      </c>
      <c r="AF488" t="str">
        <f t="shared" si="322"/>
        <v>-0.979317078436135</v>
      </c>
      <c r="AG488" t="str">
        <f t="shared" si="338"/>
        <v>3149052.26247287i</v>
      </c>
      <c r="AH488">
        <f t="shared" si="339"/>
        <v>3149052.2624728698</v>
      </c>
      <c r="AI488">
        <f t="shared" si="340"/>
        <v>1.5707963267948966</v>
      </c>
      <c r="AJ488" t="str">
        <f t="shared" si="323"/>
        <v>-153496.771888885+3085.81929304243i</v>
      </c>
      <c r="AK488">
        <f t="shared" si="341"/>
        <v>153527.78660886671</v>
      </c>
      <c r="AL488">
        <f t="shared" si="342"/>
        <v>3.1214918811458259</v>
      </c>
      <c r="AM488" t="str">
        <f t="shared" si="324"/>
        <v>1+438096.150755226i</v>
      </c>
      <c r="AN488">
        <f t="shared" si="343"/>
        <v>438096.15075636725</v>
      </c>
      <c r="AO488">
        <f t="shared" si="344"/>
        <v>1.5707940441909563</v>
      </c>
      <c r="AP488" t="str">
        <f t="shared" si="325"/>
        <v>1+2960.10912672451i</v>
      </c>
      <c r="AQ488">
        <f t="shared" si="345"/>
        <v>2960.1092956371972</v>
      </c>
      <c r="AR488">
        <f t="shared" si="346"/>
        <v>1.5704585014245649</v>
      </c>
      <c r="AS488" s="42" t="str">
        <f t="shared" si="347"/>
        <v>-0.0000519047298174708+0.00262632735527487i</v>
      </c>
      <c r="AT488">
        <f t="shared" si="348"/>
        <v>-51.611326895410912</v>
      </c>
      <c r="AU488" s="44">
        <f t="shared" si="349"/>
        <v>91.132202674487644</v>
      </c>
      <c r="AV488" s="42" t="str">
        <f t="shared" si="326"/>
        <v>-4.13046429797851E-06-1.95412881435646E-06i</v>
      </c>
      <c r="AW488" s="20">
        <f t="shared" si="350"/>
        <v>-106.80282926991573</v>
      </c>
      <c r="AX488" s="44">
        <f t="shared" si="351"/>
        <v>-154.68109911468338</v>
      </c>
    </row>
    <row r="489" spans="14:50" x14ac:dyDescent="0.3">
      <c r="N489" s="8">
        <v>71</v>
      </c>
      <c r="O489" s="35">
        <f t="shared" si="352"/>
        <v>512861.38399136515</v>
      </c>
      <c r="P489" s="34" t="str">
        <f t="shared" si="317"/>
        <v>545.10556621881</v>
      </c>
      <c r="Q489" s="4" t="str">
        <f t="shared" si="318"/>
        <v>1+68839.4369333675i</v>
      </c>
      <c r="R489" s="4">
        <f t="shared" si="327"/>
        <v>68839.436940630767</v>
      </c>
      <c r="S489" s="4">
        <f t="shared" si="328"/>
        <v>1.5707818002379625</v>
      </c>
      <c r="T489" s="4" t="str">
        <f t="shared" si="319"/>
        <v>1+1.61120155625717i</v>
      </c>
      <c r="U489" s="4">
        <f t="shared" si="329"/>
        <v>1.8963044204150152</v>
      </c>
      <c r="V489" s="4">
        <f t="shared" si="330"/>
        <v>1.0153277443532094</v>
      </c>
      <c r="W489" t="str">
        <f t="shared" si="320"/>
        <v>1-1.67371617663994i</v>
      </c>
      <c r="X489" s="4">
        <f t="shared" si="331"/>
        <v>1.9496989100746349</v>
      </c>
      <c r="Y489" s="4">
        <f t="shared" si="332"/>
        <v>-1.0322370855787903</v>
      </c>
      <c r="Z489" t="str">
        <f t="shared" si="321"/>
        <v>-15.8337151481304+7.24792358132993i</v>
      </c>
      <c r="AA489" s="4">
        <f t="shared" si="333"/>
        <v>17.413756964909457</v>
      </c>
      <c r="AB489" s="4">
        <f t="shared" si="334"/>
        <v>2.7123104337130202</v>
      </c>
      <c r="AC489" s="48" t="str">
        <f t="shared" si="335"/>
        <v>-0.000673832085521455+0.00154028424976454i</v>
      </c>
      <c r="AD489" s="20">
        <f t="shared" si="336"/>
        <v>-55.48747130603067</v>
      </c>
      <c r="AE489" s="44">
        <f t="shared" si="337"/>
        <v>113.62805784277684</v>
      </c>
      <c r="AF489" t="str">
        <f t="shared" si="322"/>
        <v>-0.979317078436135</v>
      </c>
      <c r="AG489" t="str">
        <f t="shared" si="338"/>
        <v>3222403.11251433i</v>
      </c>
      <c r="AH489">
        <f t="shared" si="339"/>
        <v>3222403.1125143301</v>
      </c>
      <c r="AI489">
        <f t="shared" si="340"/>
        <v>1.5707963267948966</v>
      </c>
      <c r="AJ489" t="str">
        <f t="shared" si="323"/>
        <v>-160730.899007054+3157.69725801507i</v>
      </c>
      <c r="AK489">
        <f t="shared" si="341"/>
        <v>160761.91385893943</v>
      </c>
      <c r="AL489">
        <f t="shared" si="342"/>
        <v>3.121949317284487</v>
      </c>
      <c r="AM489" t="str">
        <f t="shared" si="324"/>
        <v>1+448300.721012994i</v>
      </c>
      <c r="AN489">
        <f t="shared" si="343"/>
        <v>448300.72101410927</v>
      </c>
      <c r="AO489">
        <f t="shared" si="344"/>
        <v>1.5707940961493654</v>
      </c>
      <c r="AP489" t="str">
        <f t="shared" si="325"/>
        <v>1+3029.05892576348i</v>
      </c>
      <c r="AQ489">
        <f t="shared" si="345"/>
        <v>3029.0590908312447</v>
      </c>
      <c r="AR489">
        <f t="shared" si="346"/>
        <v>1.57046619126826</v>
      </c>
      <c r="AS489" s="42" t="str">
        <f t="shared" si="347"/>
        <v>-0.0000495695041417992+0.00256658997105554i</v>
      </c>
      <c r="AT489">
        <f t="shared" si="348"/>
        <v>-51.811250497710226</v>
      </c>
      <c r="AU489" s="44">
        <f t="shared" si="349"/>
        <v>91.10643708693199</v>
      </c>
      <c r="AV489" s="42" t="str">
        <f t="shared" si="326"/>
        <v>-3.91987658566634E-06-1.80580179937306E-06i</v>
      </c>
      <c r="AW489" s="20">
        <f t="shared" si="350"/>
        <v>-107.29872180374089</v>
      </c>
      <c r="AX489" s="44">
        <f t="shared" si="351"/>
        <v>-155.26550507029108</v>
      </c>
    </row>
    <row r="490" spans="14:50" x14ac:dyDescent="0.3">
      <c r="N490" s="8">
        <v>72</v>
      </c>
      <c r="O490" s="35">
        <f t="shared" si="352"/>
        <v>524807.46024977288</v>
      </c>
      <c r="P490" s="34" t="str">
        <f t="shared" si="317"/>
        <v>545.10556621881</v>
      </c>
      <c r="Q490" s="4" t="str">
        <f t="shared" si="318"/>
        <v>1+70442.9134064681i</v>
      </c>
      <c r="R490" s="4">
        <f t="shared" si="327"/>
        <v>70442.913413566042</v>
      </c>
      <c r="S490" s="4">
        <f t="shared" si="328"/>
        <v>1.5707821309027681</v>
      </c>
      <c r="T490" s="4" t="str">
        <f t="shared" si="319"/>
        <v>1+1.64873126166981i</v>
      </c>
      <c r="U490" s="4">
        <f t="shared" si="329"/>
        <v>1.9282932280146927</v>
      </c>
      <c r="V490" s="4">
        <f t="shared" si="330"/>
        <v>1.0255913899379967</v>
      </c>
      <c r="W490" t="str">
        <f t="shared" si="320"/>
        <v>1-1.71270203462259i</v>
      </c>
      <c r="X490" s="4">
        <f t="shared" si="331"/>
        <v>1.9832670670891401</v>
      </c>
      <c r="Y490" s="4">
        <f t="shared" si="332"/>
        <v>-1.0423195269501466</v>
      </c>
      <c r="Z490" t="str">
        <f t="shared" si="321"/>
        <v>-16.6270637013643+7.41674940936136i</v>
      </c>
      <c r="AA490" s="4">
        <f t="shared" si="333"/>
        <v>18.2062467062953</v>
      </c>
      <c r="AB490" s="4">
        <f t="shared" si="334"/>
        <v>2.7220159791393952</v>
      </c>
      <c r="AC490" s="48" t="str">
        <f t="shared" si="335"/>
        <v>-0.000637268555930493+0.00149533261478175i</v>
      </c>
      <c r="AD490" s="20">
        <f t="shared" si="336"/>
        <v>-55.780456794514201</v>
      </c>
      <c r="AE490" s="44">
        <f t="shared" si="337"/>
        <v>113.08233434293487</v>
      </c>
      <c r="AF490" t="str">
        <f t="shared" si="322"/>
        <v>-0.979317078436135</v>
      </c>
      <c r="AG490" t="str">
        <f t="shared" si="338"/>
        <v>3297462.52333961i</v>
      </c>
      <c r="AH490">
        <f t="shared" si="339"/>
        <v>3297462.5233396101</v>
      </c>
      <c r="AI490">
        <f t="shared" si="340"/>
        <v>1.5707963267948966</v>
      </c>
      <c r="AJ490" t="str">
        <f t="shared" si="323"/>
        <v>-168305.960032721+3231.24947587097i</v>
      </c>
      <c r="AK490">
        <f t="shared" si="341"/>
        <v>168336.97501057573</v>
      </c>
      <c r="AL490">
        <f t="shared" si="342"/>
        <v>3.1223963484657102</v>
      </c>
      <c r="AM490" t="str">
        <f t="shared" si="324"/>
        <v>1+458742.986247007i</v>
      </c>
      <c r="AN490">
        <f t="shared" si="343"/>
        <v>458742.98624809692</v>
      </c>
      <c r="AO490">
        <f t="shared" si="344"/>
        <v>1.5707941469250566</v>
      </c>
      <c r="AP490" t="str">
        <f t="shared" si="325"/>
        <v>1+3099.61477193924i</v>
      </c>
      <c r="AQ490">
        <f t="shared" si="345"/>
        <v>3099.6149332496043</v>
      </c>
      <c r="AR490">
        <f t="shared" si="346"/>
        <v>1.57047370606978</v>
      </c>
      <c r="AS490" s="42" t="str">
        <f t="shared" si="347"/>
        <v>-0.0000473393042368203+0.00250820936525809i</v>
      </c>
      <c r="AT490">
        <f t="shared" si="348"/>
        <v>-52.011177537217954</v>
      </c>
      <c r="AU490" s="44">
        <f t="shared" si="349"/>
        <v>91.081257562580959</v>
      </c>
      <c r="AV490" s="42" t="str">
        <f t="shared" si="326"/>
        <v>-0.0000037204394185217-1.66919096575575E-06i</v>
      </c>
      <c r="AW490" s="20">
        <f t="shared" si="350"/>
        <v>-107.79163433173215</v>
      </c>
      <c r="AX490" s="44">
        <f t="shared" si="351"/>
        <v>-155.83640809448423</v>
      </c>
    </row>
    <row r="491" spans="14:50" x14ac:dyDescent="0.3">
      <c r="N491" s="8">
        <v>73</v>
      </c>
      <c r="O491" s="35">
        <f t="shared" si="352"/>
        <v>537031.7963702539</v>
      </c>
      <c r="P491" s="34" t="str">
        <f t="shared" si="317"/>
        <v>545.10556621881</v>
      </c>
      <c r="Q491" s="4" t="str">
        <f t="shared" si="318"/>
        <v>1+72083.7396446788i</v>
      </c>
      <c r="R491" s="4">
        <f t="shared" si="327"/>
        <v>72083.739651615178</v>
      </c>
      <c r="S491" s="4">
        <f t="shared" si="328"/>
        <v>1.570782454040724</v>
      </c>
      <c r="T491" s="4" t="str">
        <f t="shared" si="319"/>
        <v>1+1.68713514622092i</v>
      </c>
      <c r="U491" s="4">
        <f t="shared" si="329"/>
        <v>1.9612304815125339</v>
      </c>
      <c r="V491" s="4">
        <f t="shared" si="330"/>
        <v>1.0357464128914771</v>
      </c>
      <c r="W491" t="str">
        <f t="shared" si="320"/>
        <v>1-1.75259598989429i</v>
      </c>
      <c r="X491" s="4">
        <f t="shared" si="331"/>
        <v>2.017818798552919</v>
      </c>
      <c r="Y491" s="4">
        <f t="shared" si="332"/>
        <v>-1.0522885115663632</v>
      </c>
      <c r="Z491" t="str">
        <f t="shared" si="321"/>
        <v>-17.4578016200103+7.58950769610191i</v>
      </c>
      <c r="AA491" s="4">
        <f t="shared" si="333"/>
        <v>19.0361620205551</v>
      </c>
      <c r="AB491" s="4">
        <f t="shared" si="334"/>
        <v>2.7315058203728579</v>
      </c>
      <c r="AC491" s="48" t="str">
        <f t="shared" si="335"/>
        <v>-0.000602857231351693+0.00145189513584277i</v>
      </c>
      <c r="AD491" s="20">
        <f t="shared" si="336"/>
        <v>-56.070505740529768</v>
      </c>
      <c r="AE491" s="44">
        <f t="shared" si="337"/>
        <v>112.54924718912002</v>
      </c>
      <c r="AF491" t="str">
        <f t="shared" si="322"/>
        <v>-0.979317078436135</v>
      </c>
      <c r="AG491" t="str">
        <f t="shared" si="338"/>
        <v>3374270.29244184i</v>
      </c>
      <c r="AH491">
        <f t="shared" si="339"/>
        <v>3374270.2924418398</v>
      </c>
      <c r="AI491">
        <f t="shared" si="340"/>
        <v>1.5707963267948966</v>
      </c>
      <c r="AJ491" t="str">
        <f t="shared" si="323"/>
        <v>-176238.022685925+3306.51494496963i</v>
      </c>
      <c r="AK491">
        <f t="shared" si="341"/>
        <v>176269.03778408142</v>
      </c>
      <c r="AL491">
        <f t="shared" si="342"/>
        <v>3.1228332110308603</v>
      </c>
      <c r="AM491" t="str">
        <f t="shared" si="324"/>
        <v>1+469428.483084509i</v>
      </c>
      <c r="AN491">
        <f t="shared" si="343"/>
        <v>469428.48308557406</v>
      </c>
      <c r="AO491">
        <f t="shared" si="344"/>
        <v>1.5707941965449521</v>
      </c>
      <c r="AP491" t="str">
        <f t="shared" si="325"/>
        <v>1+3171.81407489534i</v>
      </c>
      <c r="AQ491">
        <f t="shared" si="345"/>
        <v>3171.8142325338317</v>
      </c>
      <c r="AR491">
        <f t="shared" si="346"/>
        <v>1.5704810498135686</v>
      </c>
      <c r="AS491" s="42" t="str">
        <f t="shared" si="347"/>
        <v>-0.0000452094099092622+0.00245115485461265i</v>
      </c>
      <c r="AT491">
        <f t="shared" si="348"/>
        <v>-52.211107859344501</v>
      </c>
      <c r="AU491" s="44">
        <f t="shared" si="349"/>
        <v>91.056650789906087</v>
      </c>
      <c r="AV491" s="42" t="str">
        <f t="shared" si="326"/>
        <v>-3.53156499092056E-06-1.54333575160762E-06i</v>
      </c>
      <c r="AW491" s="20">
        <f t="shared" si="350"/>
        <v>-108.28161359987426</v>
      </c>
      <c r="AX491" s="44">
        <f t="shared" si="351"/>
        <v>-156.39410202097392</v>
      </c>
    </row>
    <row r="492" spans="14:50" x14ac:dyDescent="0.3">
      <c r="N492" s="8">
        <v>74</v>
      </c>
      <c r="O492" s="35">
        <f t="shared" si="352"/>
        <v>549540.87385762564</v>
      </c>
      <c r="P492" s="34" t="str">
        <f t="shared" si="317"/>
        <v>545.10556621881</v>
      </c>
      <c r="Q492" s="4" t="str">
        <f t="shared" si="318"/>
        <v>1+73762.7856357901i</v>
      </c>
      <c r="R492" s="4">
        <f t="shared" si="327"/>
        <v>73762.78564256859</v>
      </c>
      <c r="S492" s="4">
        <f t="shared" si="328"/>
        <v>1.570782769823162</v>
      </c>
      <c r="T492" s="4" t="str">
        <f t="shared" si="319"/>
        <v>1+1.72643357215843i</v>
      </c>
      <c r="U492" s="4">
        <f t="shared" si="329"/>
        <v>1.9951373083263511</v>
      </c>
      <c r="V492" s="4">
        <f t="shared" si="330"/>
        <v>1.0457898191968269</v>
      </c>
      <c r="W492" t="str">
        <f t="shared" si="320"/>
        <v>1-1.79341919475817i</v>
      </c>
      <c r="X492" s="4">
        <f t="shared" si="331"/>
        <v>2.0533758565170293</v>
      </c>
      <c r="Y492" s="4">
        <f t="shared" si="332"/>
        <v>-1.0621413987077235</v>
      </c>
      <c r="Z492" t="str">
        <f t="shared" si="321"/>
        <v>-18.327691010573+7.76629004028193i</v>
      </c>
      <c r="AA492" s="4">
        <f t="shared" si="333"/>
        <v>19.905263594557617</v>
      </c>
      <c r="AB492" s="4">
        <f t="shared" si="334"/>
        <v>2.7407844364963934</v>
      </c>
      <c r="AC492" s="48" t="str">
        <f t="shared" si="335"/>
        <v>-0.000570461972028775+0.00140992195484973i</v>
      </c>
      <c r="AD492" s="20">
        <f t="shared" si="336"/>
        <v>-56.357667692371997</v>
      </c>
      <c r="AE492" s="44">
        <f t="shared" si="337"/>
        <v>112.02851949653147</v>
      </c>
      <c r="AF492" t="str">
        <f t="shared" si="322"/>
        <v>-0.979317078436135</v>
      </c>
      <c r="AG492" t="str">
        <f t="shared" si="338"/>
        <v>3452867.14431686i</v>
      </c>
      <c r="AH492">
        <f t="shared" si="339"/>
        <v>3452867.14431686</v>
      </c>
      <c r="AI492">
        <f t="shared" si="340"/>
        <v>1.5707963267948966</v>
      </c>
      <c r="AJ492" t="str">
        <f t="shared" si="323"/>
        <v>-184543.911935022+3383.533572059i</v>
      </c>
      <c r="AK492">
        <f t="shared" si="341"/>
        <v>184574.92714806745</v>
      </c>
      <c r="AL492">
        <f t="shared" si="342"/>
        <v>3.1232601359751571</v>
      </c>
      <c r="AM492" t="str">
        <f t="shared" si="324"/>
        <v>1+480362.877117362i</v>
      </c>
      <c r="AN492">
        <f t="shared" si="343"/>
        <v>480362.8771184028</v>
      </c>
      <c r="AO492">
        <f t="shared" si="344"/>
        <v>1.5707942450353609</v>
      </c>
      <c r="AP492" t="str">
        <f t="shared" si="325"/>
        <v>1+3245.69511565786i</v>
      </c>
      <c r="AQ492">
        <f t="shared" si="345"/>
        <v>3245.6952697080615</v>
      </c>
      <c r="AR492">
        <f t="shared" si="346"/>
        <v>1.5704882263933728</v>
      </c>
      <c r="AS492" s="42" t="str">
        <f t="shared" si="347"/>
        <v>-0.0000431753128165067+0.00239539644090189i</v>
      </c>
      <c r="AT492">
        <f t="shared" si="348"/>
        <v>-52.411041316448333</v>
      </c>
      <c r="AU492" s="44">
        <f t="shared" si="349"/>
        <v>91.032603758458919</v>
      </c>
      <c r="AV492" s="42" t="str">
        <f t="shared" si="326"/>
        <v>-3.35269215850421E-06-0.0000014273563989151i</v>
      </c>
      <c r="AW492" s="20">
        <f t="shared" si="350"/>
        <v>-108.76870900882034</v>
      </c>
      <c r="AX492" s="44">
        <f t="shared" si="351"/>
        <v>-156.93887674500957</v>
      </c>
    </row>
    <row r="493" spans="14:50" x14ac:dyDescent="0.3">
      <c r="N493" s="8">
        <v>75</v>
      </c>
      <c r="O493" s="35">
        <f t="shared" si="352"/>
        <v>562341.32519035018</v>
      </c>
      <c r="P493" s="34" t="str">
        <f t="shared" si="317"/>
        <v>545.10556621881</v>
      </c>
      <c r="Q493" s="4" t="str">
        <f t="shared" si="318"/>
        <v>1+75480.9416322117i</v>
      </c>
      <c r="R493" s="4">
        <f t="shared" si="327"/>
        <v>75480.941638835895</v>
      </c>
      <c r="S493" s="4">
        <f t="shared" si="328"/>
        <v>1.5707830784175139</v>
      </c>
      <c r="T493" s="4" t="str">
        <f t="shared" si="319"/>
        <v>1+1.76664737602796i</v>
      </c>
      <c r="U493" s="4">
        <f t="shared" si="329"/>
        <v>2.0300352093563494</v>
      </c>
      <c r="V493" s="4">
        <f t="shared" si="330"/>
        <v>1.0557188288059312</v>
      </c>
      <c r="W493" t="str">
        <f t="shared" si="320"/>
        <v>1-1.83519329421783i</v>
      </c>
      <c r="X493" s="4">
        <f t="shared" si="331"/>
        <v>2.0899603888930747</v>
      </c>
      <c r="Y493" s="4">
        <f t="shared" si="332"/>
        <v>-1.0718757597271769</v>
      </c>
      <c r="Z493" t="str">
        <f t="shared" si="321"/>
        <v>-19.2385770250777+7.94719017424033i</v>
      </c>
      <c r="AA493" s="4">
        <f t="shared" si="333"/>
        <v>20.815395206802812</v>
      </c>
      <c r="AB493" s="4">
        <f t="shared" si="334"/>
        <v>2.7498562415746082</v>
      </c>
      <c r="AC493" s="48" t="str">
        <f t="shared" si="335"/>
        <v>-0.000539955561665707+0.0013693636382962i</v>
      </c>
      <c r="AD493" s="20">
        <f t="shared" si="336"/>
        <v>-56.641994563170158</v>
      </c>
      <c r="AE493" s="44">
        <f t="shared" si="337"/>
        <v>111.51987821450568</v>
      </c>
      <c r="AF493" t="str">
        <f t="shared" si="322"/>
        <v>-0.979317078436135</v>
      </c>
      <c r="AG493" t="str">
        <f t="shared" si="338"/>
        <v>3533294.75205591i</v>
      </c>
      <c r="AH493">
        <f t="shared" si="339"/>
        <v>3533294.75205591</v>
      </c>
      <c r="AI493">
        <f t="shared" si="340"/>
        <v>1.5707963267948966</v>
      </c>
      <c r="AJ493" t="str">
        <f t="shared" si="323"/>
        <v>-193241.245684701+3462.34619343464i</v>
      </c>
      <c r="AK493">
        <f t="shared" si="341"/>
        <v>193272.26100746627</v>
      </c>
      <c r="AL493">
        <f t="shared" si="342"/>
        <v>3.1236773490671235</v>
      </c>
      <c r="AM493" t="str">
        <f t="shared" si="324"/>
        <v>1+491551.965906018i</v>
      </c>
      <c r="AN493">
        <f t="shared" si="343"/>
        <v>491551.96590703522</v>
      </c>
      <c r="AO493">
        <f t="shared" si="344"/>
        <v>1.5707942924219933</v>
      </c>
      <c r="AP493" t="str">
        <f t="shared" si="325"/>
        <v>1+3321.29706693256i</v>
      </c>
      <c r="AQ493">
        <f t="shared" si="345"/>
        <v>3321.2972174761512</v>
      </c>
      <c r="AR493">
        <f t="shared" si="346"/>
        <v>1.5704952396143073</v>
      </c>
      <c r="AS493" s="42" t="str">
        <f t="shared" si="347"/>
        <v>-0.0000412327069838625+0.00234090479625882i</v>
      </c>
      <c r="AT493">
        <f t="shared" si="348"/>
        <v>-52.610977767523977</v>
      </c>
      <c r="AU493" s="44">
        <f t="shared" si="349"/>
        <v>91.009103752146018</v>
      </c>
      <c r="AV493" s="42" t="str">
        <f t="shared" si="326"/>
        <v>-3.18328607925153E-06-0.0000013204471337221i</v>
      </c>
      <c r="AW493" s="20">
        <f t="shared" si="350"/>
        <v>-109.25297233069415</v>
      </c>
      <c r="AX493" s="44">
        <f t="shared" si="351"/>
        <v>-157.47101803334829</v>
      </c>
    </row>
    <row r="494" spans="14:50" x14ac:dyDescent="0.3">
      <c r="N494" s="8">
        <v>76</v>
      </c>
      <c r="O494" s="35">
        <f t="shared" si="352"/>
        <v>575439.93733715697</v>
      </c>
      <c r="P494" s="34" t="str">
        <f t="shared" si="317"/>
        <v>545.10556621881</v>
      </c>
      <c r="Q494" s="4" t="str">
        <f t="shared" si="318"/>
        <v>1+77239.1186229947i</v>
      </c>
      <c r="R494" s="4">
        <f t="shared" si="327"/>
        <v>77239.11862946811</v>
      </c>
      <c r="S494" s="4">
        <f t="shared" si="328"/>
        <v>1.5707833799874009</v>
      </c>
      <c r="T494" s="4" t="str">
        <f t="shared" si="319"/>
        <v>1+1.80779787972058i</v>
      </c>
      <c r="U494" s="4">
        <f t="shared" si="329"/>
        <v>2.0659460723654486</v>
      </c>
      <c r="V494" s="4">
        <f t="shared" si="330"/>
        <v>1.0655308747440027</v>
      </c>
      <c r="W494" t="str">
        <f t="shared" si="320"/>
        <v>1-1.87794043745374i</v>
      </c>
      <c r="X494" s="4">
        <f t="shared" si="331"/>
        <v>2.1275949536093437</v>
      </c>
      <c r="Y494" s="4">
        <f t="shared" si="332"/>
        <v>-1.0814893759180939</v>
      </c>
      <c r="Z494" t="str">
        <f t="shared" si="321"/>
        <v>-20.192391774886+8.13230401362258i</v>
      </c>
      <c r="AA494" s="4">
        <f t="shared" si="333"/>
        <v>21.768487640634703</v>
      </c>
      <c r="AB494" s="4">
        <f t="shared" si="334"/>
        <v>2.7587255828942046</v>
      </c>
      <c r="AC494" s="48" t="str">
        <f t="shared" si="335"/>
        <v>-0.000511219140661152+0.0013301713815787i</v>
      </c>
      <c r="AD494" s="20">
        <f t="shared" si="336"/>
        <v>-56.923540356791086</v>
      </c>
      <c r="AE494" s="44">
        <f t="shared" si="337"/>
        <v>111.0230542981917</v>
      </c>
      <c r="AF494" t="str">
        <f t="shared" si="322"/>
        <v>-0.979317078436135</v>
      </c>
      <c r="AG494" t="str">
        <f t="shared" si="338"/>
        <v>3615595.75944117i</v>
      </c>
      <c r="AH494">
        <f t="shared" si="339"/>
        <v>3615595.7594411699</v>
      </c>
      <c r="AI494">
        <f t="shared" si="340"/>
        <v>1.5707963267948966</v>
      </c>
      <c r="AJ494" t="str">
        <f t="shared" si="323"/>
        <v>-202348.472145916+3542.99459659161i</v>
      </c>
      <c r="AK494">
        <f t="shared" si="341"/>
        <v>202379.48757346434</v>
      </c>
      <c r="AL494">
        <f t="shared" si="342"/>
        <v>3.1240850709654677</v>
      </c>
      <c r="AM494" t="str">
        <f t="shared" si="324"/>
        <v>1+503001.682053456i</v>
      </c>
      <c r="AN494">
        <f t="shared" si="343"/>
        <v>503001.68205445004</v>
      </c>
      <c r="AO494">
        <f t="shared" si="344"/>
        <v>1.5707943387299743</v>
      </c>
      <c r="AP494" t="str">
        <f t="shared" si="325"/>
        <v>1+3398.66001387471i</v>
      </c>
      <c r="AQ494">
        <f t="shared" si="345"/>
        <v>3398.660160991511</v>
      </c>
      <c r="AR494">
        <f t="shared" si="346"/>
        <v>1.5705020931948719</v>
      </c>
      <c r="AS494" s="42" t="str">
        <f t="shared" si="347"/>
        <v>-0.000039377479744052+0.00228765124873988i</v>
      </c>
      <c r="AT494">
        <f t="shared" si="348"/>
        <v>-52.810917077904278</v>
      </c>
      <c r="AU494" s="44">
        <f t="shared" si="349"/>
        <v>90.986138342648616</v>
      </c>
      <c r="AV494" s="42" t="str">
        <f t="shared" si="326"/>
        <v>-3.02283770075041E-06-1.22186990214745E-06i</v>
      </c>
      <c r="AW494" s="20">
        <f t="shared" si="350"/>
        <v>-109.73445743469537</v>
      </c>
      <c r="AX494" s="44">
        <f t="shared" si="351"/>
        <v>-157.99080735915962</v>
      </c>
    </row>
    <row r="495" spans="14:50" x14ac:dyDescent="0.3">
      <c r="N495" s="8">
        <v>77</v>
      </c>
      <c r="O495" s="35">
        <f t="shared" si="352"/>
        <v>588843.65535558888</v>
      </c>
      <c r="P495" s="34" t="str">
        <f t="shared" si="317"/>
        <v>545.10556621881</v>
      </c>
      <c r="Q495" s="4" t="str">
        <f t="shared" si="318"/>
        <v>1+79038.2488168523i</v>
      </c>
      <c r="R495" s="4">
        <f t="shared" si="327"/>
        <v>79038.248823178335</v>
      </c>
      <c r="S495" s="4">
        <f t="shared" si="328"/>
        <v>1.5707836746927193</v>
      </c>
      <c r="T495" s="4" t="str">
        <f t="shared" si="319"/>
        <v>1+1.84990690177808i</v>
      </c>
      <c r="U495" s="4">
        <f t="shared" si="329"/>
        <v>2.1028921858350644</v>
      </c>
      <c r="V495" s="4">
        <f t="shared" si="330"/>
        <v>1.0752236014497794</v>
      </c>
      <c r="W495" t="str">
        <f t="shared" si="320"/>
        <v>1-1.92168328956706i</v>
      </c>
      <c r="X495" s="4">
        <f t="shared" si="331"/>
        <v>2.1663025332121268</v>
      </c>
      <c r="Y495" s="4">
        <f t="shared" si="332"/>
        <v>-1.0909802357018823</v>
      </c>
      <c r="Z495" t="str">
        <f t="shared" si="321"/>
        <v>-21.1911584289621+8.32172970823663i</v>
      </c>
      <c r="AA495" s="4">
        <f t="shared" si="333"/>
        <v>22.766562781814905</v>
      </c>
      <c r="AB495" s="4">
        <f t="shared" si="334"/>
        <v>2.7673967395284063</v>
      </c>
      <c r="AC495" s="48" t="str">
        <f t="shared" si="335"/>
        <v>-0.000484141669683594+0.00129229717954002i</v>
      </c>
      <c r="AD495" s="20">
        <f t="shared" si="336"/>
        <v>-57.202360903313981</v>
      </c>
      <c r="AE495" s="44">
        <f t="shared" si="337"/>
        <v>110.53778285683748</v>
      </c>
      <c r="AF495" t="str">
        <f t="shared" si="322"/>
        <v>-0.979317078436135</v>
      </c>
      <c r="AG495" t="str">
        <f t="shared" si="338"/>
        <v>3699813.80355616i</v>
      </c>
      <c r="AH495">
        <f t="shared" si="339"/>
        <v>3699813.8035561601</v>
      </c>
      <c r="AI495">
        <f t="shared" si="340"/>
        <v>1.5707963267948966</v>
      </c>
      <c r="AJ495" t="str">
        <f t="shared" si="323"/>
        <v>-211884.908967019+3625.52154238078i</v>
      </c>
      <c r="AK495">
        <f t="shared" si="341"/>
        <v>211915.92449463584</v>
      </c>
      <c r="AL495">
        <f t="shared" si="342"/>
        <v>3.1244835173334415</v>
      </c>
      <c r="AM495" t="str">
        <f t="shared" si="324"/>
        <v>1+514718.096350733i</v>
      </c>
      <c r="AN495">
        <f t="shared" si="343"/>
        <v>514718.0963517045</v>
      </c>
      <c r="AO495">
        <f t="shared" si="344"/>
        <v>1.5707943839838567</v>
      </c>
      <c r="AP495" t="str">
        <f t="shared" si="325"/>
        <v>1+3477.8249753428i</v>
      </c>
      <c r="AQ495">
        <f t="shared" si="345"/>
        <v>3477.8251191108143</v>
      </c>
      <c r="AR495">
        <f t="shared" si="346"/>
        <v>1.5705087907689232</v>
      </c>
      <c r="AS495" s="42" t="str">
        <f t="shared" si="347"/>
        <v>-0.0000376057030803108+0.00223560776817111i</v>
      </c>
      <c r="AT495">
        <f t="shared" si="348"/>
        <v>-53.010859118975766</v>
      </c>
      <c r="AU495" s="44">
        <f t="shared" si="349"/>
        <v>90.963695382983985</v>
      </c>
      <c r="AV495" s="42" t="str">
        <f t="shared" si="326"/>
        <v>-2.87086312548636E-06-1.13094862166528E-06i</v>
      </c>
      <c r="AW495" s="20">
        <f t="shared" si="350"/>
        <v>-110.21322002228973</v>
      </c>
      <c r="AX495" s="44">
        <f t="shared" si="351"/>
        <v>-158.49852176017853</v>
      </c>
    </row>
    <row r="496" spans="14:50" x14ac:dyDescent="0.3">
      <c r="N496" s="8">
        <v>78</v>
      </c>
      <c r="O496" s="35">
        <f t="shared" si="352"/>
        <v>602559.58607435878</v>
      </c>
      <c r="P496" s="34" t="str">
        <f t="shared" si="317"/>
        <v>545.10556621881</v>
      </c>
      <c r="Q496" s="4" t="str">
        <f t="shared" si="318"/>
        <v>1+80879.2861364276i</v>
      </c>
      <c r="R496" s="4">
        <f t="shared" si="327"/>
        <v>80879.28614260965</v>
      </c>
      <c r="S496" s="4">
        <f t="shared" si="328"/>
        <v>1.5707839626897255</v>
      </c>
      <c r="T496" s="4" t="str">
        <f t="shared" si="319"/>
        <v>1+1.89299676896131i</v>
      </c>
      <c r="U496" s="4">
        <f t="shared" si="329"/>
        <v>2.140896253277575</v>
      </c>
      <c r="V496" s="4">
        <f t="shared" si="330"/>
        <v>1.0847948624014019</v>
      </c>
      <c r="W496" t="str">
        <f t="shared" si="320"/>
        <v>1-1.966445043597i</v>
      </c>
      <c r="X496" s="4">
        <f t="shared" si="331"/>
        <v>2.2061065498944532</v>
      </c>
      <c r="Y496" s="4">
        <f t="shared" si="332"/>
        <v>-1.1003465311890992</v>
      </c>
      <c r="Z496" t="str">
        <f t="shared" si="321"/>
        <v>-22.2369955052865+8.51556769409311i</v>
      </c>
      <c r="AA496" s="4">
        <f t="shared" si="333"/>
        <v>23.81173790916602</v>
      </c>
      <c r="AB496" s="4">
        <f t="shared" si="334"/>
        <v>2.7758739211940675</v>
      </c>
      <c r="AC496" s="48" t="str">
        <f t="shared" si="335"/>
        <v>-0.000458619422918483+0.00125569396709525i</v>
      </c>
      <c r="AD496" s="20">
        <f t="shared" si="336"/>
        <v>-57.478513604751825</v>
      </c>
      <c r="AE496" s="44">
        <f t="shared" si="337"/>
        <v>110.06380328027279</v>
      </c>
      <c r="AF496" t="str">
        <f t="shared" si="322"/>
        <v>-0.979317078436135</v>
      </c>
      <c r="AG496" t="str">
        <f t="shared" si="338"/>
        <v>3785993.53792262i</v>
      </c>
      <c r="AH496">
        <f t="shared" si="339"/>
        <v>3785993.5379226198</v>
      </c>
      <c r="AI496">
        <f t="shared" si="340"/>
        <v>1.5707963267948966</v>
      </c>
      <c r="AJ496" t="str">
        <f t="shared" si="323"/>
        <v>-221870.784209078+3709.97078768117i</v>
      </c>
      <c r="AK496">
        <f t="shared" si="341"/>
        <v>221901.7998322607</v>
      </c>
      <c r="AL496">
        <f t="shared" si="342"/>
        <v>3.1248728989507306</v>
      </c>
      <c r="AM496" t="str">
        <f t="shared" si="324"/>
        <v>1+526707.420995795i</v>
      </c>
      <c r="AN496">
        <f t="shared" si="343"/>
        <v>526707.4209967443</v>
      </c>
      <c r="AO496">
        <f t="shared" si="344"/>
        <v>1.5707944282076352</v>
      </c>
      <c r="AP496" t="str">
        <f t="shared" si="325"/>
        <v>1+3558.83392564727i</v>
      </c>
      <c r="AQ496">
        <f t="shared" si="345"/>
        <v>3558.8340661427246</v>
      </c>
      <c r="AR496">
        <f t="shared" si="346"/>
        <v>1.5705153358876012</v>
      </c>
      <c r="AS496" s="42" t="str">
        <f t="shared" si="347"/>
        <v>-0.0000359136253553045+0.00218474695226488i</v>
      </c>
      <c r="AT496">
        <f t="shared" si="348"/>
        <v>-53.210803767906533</v>
      </c>
      <c r="AU496" s="44">
        <f t="shared" si="349"/>
        <v>90.941763001205885</v>
      </c>
      <c r="AV496" s="42" t="str">
        <f t="shared" si="326"/>
        <v>-2.72690288145338E-06-1.04706390916581E-06i</v>
      </c>
      <c r="AW496" s="20">
        <f t="shared" si="350"/>
        <v>-110.68931737265837</v>
      </c>
      <c r="AX496" s="44">
        <f t="shared" si="351"/>
        <v>-158.99443371852126</v>
      </c>
    </row>
    <row r="497" spans="14:50" x14ac:dyDescent="0.3">
      <c r="N497" s="8">
        <v>79</v>
      </c>
      <c r="O497" s="35">
        <f t="shared" si="352"/>
        <v>616595.00186148309</v>
      </c>
      <c r="P497" s="34" t="str">
        <f t="shared" si="317"/>
        <v>545.10556621881</v>
      </c>
      <c r="Q497" s="4" t="str">
        <f t="shared" si="318"/>
        <v>1+82763.2067240763i</v>
      </c>
      <c r="R497" s="4">
        <f t="shared" si="327"/>
        <v>82763.206730117628</v>
      </c>
      <c r="S497" s="4">
        <f t="shared" si="328"/>
        <v>1.5707842441311197</v>
      </c>
      <c r="T497" s="4" t="str">
        <f t="shared" si="319"/>
        <v>1+1.93709032808822i</v>
      </c>
      <c r="U497" s="4">
        <f t="shared" si="329"/>
        <v>2.179981407987905</v>
      </c>
      <c r="V497" s="4">
        <f t="shared" si="330"/>
        <v>1.0942427170806168</v>
      </c>
      <c r="W497" t="str">
        <f t="shared" si="320"/>
        <v>1-2.01224943281804i</v>
      </c>
      <c r="X497" s="4">
        <f t="shared" si="331"/>
        <v>2.2470308809352226</v>
      </c>
      <c r="Y497" s="4">
        <f t="shared" si="332"/>
        <v>-1.1095866541689001</v>
      </c>
      <c r="Z497" t="str">
        <f t="shared" si="321"/>
        <v>-23.332121364516+8.71392074665786i</v>
      </c>
      <c r="AA497" s="4">
        <f t="shared" si="333"/>
        <v>24.906230187395646</v>
      </c>
      <c r="AB497" s="4">
        <f t="shared" si="334"/>
        <v>2.7841612673725589</v>
      </c>
      <c r="AC497" s="48" t="str">
        <f t="shared" si="335"/>
        <v>-0.000434555510166088+0.00122031573344208i</v>
      </c>
      <c r="AD497" s="20">
        <f t="shared" si="336"/>
        <v>-57.75205719157568</v>
      </c>
      <c r="AE497" s="44">
        <f t="shared" si="337"/>
        <v>109.60085934512487</v>
      </c>
      <c r="AF497" t="str">
        <f t="shared" si="322"/>
        <v>-0.979317078436135</v>
      </c>
      <c r="AG497" t="str">
        <f t="shared" si="338"/>
        <v>3874180.65617644i</v>
      </c>
      <c r="AH497">
        <f t="shared" si="339"/>
        <v>3874180.65617644</v>
      </c>
      <c r="AI497">
        <f t="shared" si="340"/>
        <v>1.5707963267948966</v>
      </c>
      <c r="AJ497" t="str">
        <f t="shared" si="323"/>
        <v>-232327.279252316+3796.38710860045i</v>
      </c>
      <c r="AK497">
        <f t="shared" si="341"/>
        <v>232358.29496676454</v>
      </c>
      <c r="AL497">
        <f t="shared" si="342"/>
        <v>3.125253421822912</v>
      </c>
      <c r="AM497" t="str">
        <f t="shared" si="324"/>
        <v>1+538976.012887266i</v>
      </c>
      <c r="AN497">
        <f t="shared" si="343"/>
        <v>538976.01288819371</v>
      </c>
      <c r="AO497">
        <f t="shared" si="344"/>
        <v>1.5707944714247575</v>
      </c>
      <c r="AP497" t="str">
        <f t="shared" si="325"/>
        <v>1+3641.72981680586i</v>
      </c>
      <c r="AQ497">
        <f t="shared" si="345"/>
        <v>3641.7299541032476</v>
      </c>
      <c r="AR497">
        <f t="shared" si="346"/>
        <v>1.5705217320212121</v>
      </c>
      <c r="AS497" s="42" t="str">
        <f t="shared" si="347"/>
        <v>-0.0000342976634088228+0.00213504201300414i</v>
      </c>
      <c r="AT497">
        <f t="shared" si="348"/>
        <v>-53.410750907387296</v>
      </c>
      <c r="AU497" s="44">
        <f t="shared" si="349"/>
        <v>90.920329594241494</v>
      </c>
      <c r="AV497" s="42" t="str">
        <f t="shared" si="326"/>
        <v>-2.59052112140868E-06-9.69648249465133E-07i</v>
      </c>
      <c r="AW497" s="20">
        <f t="shared" si="350"/>
        <v>-111.16280809896297</v>
      </c>
      <c r="AX497" s="44">
        <f t="shared" si="351"/>
        <v>-159.47881106063363</v>
      </c>
    </row>
    <row r="498" spans="14:50" x14ac:dyDescent="0.3">
      <c r="N498" s="8">
        <v>80</v>
      </c>
      <c r="O498" s="35">
        <f t="shared" si="352"/>
        <v>630957.34448019415</v>
      </c>
      <c r="P498" s="34" t="str">
        <f t="shared" si="317"/>
        <v>545.10556621881</v>
      </c>
      <c r="Q498" s="4" t="str">
        <f t="shared" si="318"/>
        <v>1+84691.0094594306i</v>
      </c>
      <c r="R498" s="4">
        <f t="shared" si="327"/>
        <v>84691.009465334413</v>
      </c>
      <c r="S498" s="4">
        <f t="shared" si="328"/>
        <v>1.5707845191661254</v>
      </c>
      <c r="T498" s="4" t="str">
        <f t="shared" si="319"/>
        <v>1+1.9822109581475i</v>
      </c>
      <c r="U498" s="4">
        <f t="shared" si="329"/>
        <v>2.220171228216425</v>
      </c>
      <c r="V498" s="4">
        <f t="shared" si="330"/>
        <v>1.1035654273293698</v>
      </c>
      <c r="W498" t="str">
        <f t="shared" si="320"/>
        <v>1-2.05912074332362i</v>
      </c>
      <c r="X498" s="4">
        <f t="shared" si="331"/>
        <v>2.2890998745326989</v>
      </c>
      <c r="Y498" s="4">
        <f t="shared" si="332"/>
        <v>-1.1186991915822315</v>
      </c>
      <c r="Z498" t="str">
        <f t="shared" si="321"/>
        <v>-24.4788589154238+8.91689403534486i</v>
      </c>
      <c r="AA498" s="4">
        <f t="shared" si="333"/>
        <v>26.052361371645222</v>
      </c>
      <c r="AB498" s="4">
        <f t="shared" si="334"/>
        <v>2.7922628466680184</v>
      </c>
      <c r="AC498" s="48" t="str">
        <f t="shared" si="335"/>
        <v>-0.000411859426849132+0.00118611761302915i</v>
      </c>
      <c r="AD498" s="20">
        <f t="shared" si="336"/>
        <v>-58.023051490491312</v>
      </c>
      <c r="AE498" s="44">
        <f t="shared" si="337"/>
        <v>109.14869930219736</v>
      </c>
      <c r="AF498" t="str">
        <f t="shared" si="322"/>
        <v>-0.979317078436135</v>
      </c>
      <c r="AG498" t="str">
        <f t="shared" si="338"/>
        <v>3964421.916295i</v>
      </c>
      <c r="AH498">
        <f t="shared" si="339"/>
        <v>3964421.9162949999</v>
      </c>
      <c r="AI498">
        <f t="shared" si="340"/>
        <v>1.5707963267948966</v>
      </c>
      <c r="AJ498" t="str">
        <f t="shared" si="323"/>
        <v>-243276.573724641+3884.81632421583i</v>
      </c>
      <c r="AK498">
        <f t="shared" si="341"/>
        <v>243307.5895262488</v>
      </c>
      <c r="AL498">
        <f t="shared" si="342"/>
        <v>3.1256252872885399</v>
      </c>
      <c r="AM498" t="str">
        <f t="shared" si="324"/>
        <v>1+551530.37699496i</v>
      </c>
      <c r="AN498">
        <f t="shared" si="343"/>
        <v>551530.37699586654</v>
      </c>
      <c r="AO498">
        <f t="shared" si="344"/>
        <v>1.570794513658138</v>
      </c>
      <c r="AP498" t="str">
        <f t="shared" si="325"/>
        <v>1+3726.55660131731i</v>
      </c>
      <c r="AQ498">
        <f t="shared" si="345"/>
        <v>3726.5567354894283</v>
      </c>
      <c r="AR498">
        <f t="shared" si="346"/>
        <v>1.5705279825610687</v>
      </c>
      <c r="AS498" s="42" t="str">
        <f t="shared" si="347"/>
        <v>-0.0000327543950079778+0.00208646676329189i</v>
      </c>
      <c r="AT498">
        <f t="shared" si="348"/>
        <v>-53.610700425382689</v>
      </c>
      <c r="AU498" s="44">
        <f t="shared" si="349"/>
        <v>90.899383821862259</v>
      </c>
      <c r="AV498" s="42" t="str">
        <f t="shared" si="326"/>
        <v>-2.46130477058566E-06-8.98181570092238E-07i</v>
      </c>
      <c r="AW498" s="20">
        <f t="shared" si="350"/>
        <v>-111.63375191587399</v>
      </c>
      <c r="AX498" s="44">
        <f t="shared" si="351"/>
        <v>-159.95191687594038</v>
      </c>
    </row>
    <row r="499" spans="14:50" x14ac:dyDescent="0.3">
      <c r="N499" s="8">
        <v>81</v>
      </c>
      <c r="O499" s="35">
        <f t="shared" si="352"/>
        <v>645654.22903465747</v>
      </c>
      <c r="P499" s="34" t="str">
        <f t="shared" si="317"/>
        <v>545.10556621881</v>
      </c>
      <c r="Q499" s="4" t="str">
        <f t="shared" si="318"/>
        <v>1+86663.7164890186i</v>
      </c>
      <c r="R499" s="4">
        <f t="shared" si="327"/>
        <v>86663.716494788023</v>
      </c>
      <c r="S499" s="4">
        <f t="shared" si="328"/>
        <v>1.5707847879405701</v>
      </c>
      <c r="T499" s="4" t="str">
        <f t="shared" si="319"/>
        <v>1+2.02838258269446i</v>
      </c>
      <c r="U499" s="4">
        <f t="shared" si="329"/>
        <v>2.2614897527466815</v>
      </c>
      <c r="V499" s="4">
        <f t="shared" si="330"/>
        <v>1.1127614531539416</v>
      </c>
      <c r="W499" t="str">
        <f t="shared" si="320"/>
        <v>1-2.107083826903i</v>
      </c>
      <c r="X499" s="4">
        <f t="shared" si="331"/>
        <v>2.3323383660172881</v>
      </c>
      <c r="Y499" s="4">
        <f t="shared" si="332"/>
        <v>-1.1276829205341163</v>
      </c>
      <c r="Z499" t="str">
        <f t="shared" si="321"/>
        <v>-25.6796405421016+9.12459517927847i</v>
      </c>
      <c r="AA499" s="4">
        <f t="shared" si="333"/>
        <v>27.252562733755152</v>
      </c>
      <c r="AB499" s="4">
        <f t="shared" si="334"/>
        <v>2.8001826563787704</v>
      </c>
      <c r="AC499" s="48" t="str">
        <f t="shared" si="335"/>
        <v>-0.00039044663090112+0.00115305595615081i</v>
      </c>
      <c r="AD499" s="20">
        <f t="shared" si="336"/>
        <v>-58.291557203812872</v>
      </c>
      <c r="AE499" s="44">
        <f t="shared" si="337"/>
        <v>108.70707594639204</v>
      </c>
      <c r="AF499" t="str">
        <f t="shared" si="322"/>
        <v>-0.979317078436135</v>
      </c>
      <c r="AG499" t="str">
        <f t="shared" si="338"/>
        <v>4056765.16538892i</v>
      </c>
      <c r="AH499">
        <f t="shared" si="339"/>
        <v>4056765.1653889199</v>
      </c>
      <c r="AI499">
        <f t="shared" si="340"/>
        <v>1.5707963267948966</v>
      </c>
      <c r="AJ499" t="str">
        <f t="shared" si="323"/>
        <v>-254741.89254763+3975.30532086794i</v>
      </c>
      <c r="AK499">
        <f t="shared" si="341"/>
        <v>254772.9084324752</v>
      </c>
      <c r="AL499">
        <f t="shared" si="342"/>
        <v>3.1259886921238973</v>
      </c>
      <c r="AM499" t="str">
        <f t="shared" si="324"/>
        <v>1+564377.169808907i</v>
      </c>
      <c r="AN499">
        <f t="shared" si="343"/>
        <v>564377.16980979301</v>
      </c>
      <c r="AO499">
        <f t="shared" si="344"/>
        <v>1.5707945549301694</v>
      </c>
      <c r="AP499" t="str">
        <f t="shared" si="325"/>
        <v>1+3813.35925546559i</v>
      </c>
      <c r="AQ499">
        <f t="shared" si="345"/>
        <v>3813.3593865835778</v>
      </c>
      <c r="AR499">
        <f t="shared" si="346"/>
        <v>1.5705340908212877</v>
      </c>
      <c r="AS499" s="42" t="str">
        <f t="shared" si="347"/>
        <v>-0.0000312805516342948+0.00203899560386223i</v>
      </c>
      <c r="AT499">
        <f t="shared" si="348"/>
        <v>-53.810652214894716</v>
      </c>
      <c r="AU499" s="44">
        <f t="shared" si="349"/>
        <v>90.878914600785592</v>
      </c>
      <c r="AV499" s="42" t="str">
        <f t="shared" si="326"/>
        <v>-2.33886263960032E-06-8.32187190323809E-07i</v>
      </c>
      <c r="AW499" s="20">
        <f t="shared" si="350"/>
        <v>-112.10220941870759</v>
      </c>
      <c r="AX499" s="44">
        <f t="shared" si="351"/>
        <v>-160.41400945282234</v>
      </c>
    </row>
    <row r="500" spans="14:50" x14ac:dyDescent="0.3">
      <c r="N500" s="8">
        <v>82</v>
      </c>
      <c r="O500" s="35">
        <f t="shared" si="352"/>
        <v>660693.44800759677</v>
      </c>
      <c r="P500" s="34" t="str">
        <f t="shared" si="317"/>
        <v>545.10556621881</v>
      </c>
      <c r="Q500" s="4" t="str">
        <f t="shared" si="318"/>
        <v>1+88682.3737682186i</v>
      </c>
      <c r="R500" s="4">
        <f t="shared" si="327"/>
        <v>88682.3737738567</v>
      </c>
      <c r="S500" s="4">
        <f t="shared" si="328"/>
        <v>1.5707850505969616</v>
      </c>
      <c r="T500" s="4" t="str">
        <f t="shared" si="319"/>
        <v>1+2.07562968253557i</v>
      </c>
      <c r="U500" s="4">
        <f t="shared" si="329"/>
        <v>2.3039614968620268</v>
      </c>
      <c r="V500" s="4">
        <f t="shared" si="330"/>
        <v>1.1218294480320348</v>
      </c>
      <c r="W500" t="str">
        <f t="shared" si="320"/>
        <v>1-2.15616411421795i</v>
      </c>
      <c r="X500" s="4">
        <f t="shared" si="331"/>
        <v>2.3767716944295003</v>
      </c>
      <c r="Y500" s="4">
        <f t="shared" si="332"/>
        <v>-1.1365368028997613</v>
      </c>
      <c r="Z500" t="str">
        <f t="shared" si="321"/>
        <v>-26.9370132633707+9.33713430435439i</v>
      </c>
      <c r="AA500" s="4">
        <f t="shared" si="333"/>
        <v>28.509380220702109</v>
      </c>
      <c r="AB500" s="4">
        <f t="shared" si="334"/>
        <v>2.8079246222596921</v>
      </c>
      <c r="AC500" s="48" t="str">
        <f t="shared" si="335"/>
        <v>-0.000370238145443368+0.00112108838175407i</v>
      </c>
      <c r="AD500" s="20">
        <f t="shared" si="336"/>
        <v>-58.557635700675014</v>
      </c>
      <c r="AE500" s="44">
        <f t="shared" si="337"/>
        <v>108.27574667048236</v>
      </c>
      <c r="AF500" t="str">
        <f t="shared" si="322"/>
        <v>-0.979317078436135</v>
      </c>
      <c r="AG500" t="str">
        <f t="shared" si="338"/>
        <v>4151259.36507115i</v>
      </c>
      <c r="AH500">
        <f t="shared" si="339"/>
        <v>4151259.36507115</v>
      </c>
      <c r="AI500">
        <f t="shared" si="340"/>
        <v>1.5707963267948966</v>
      </c>
      <c r="AJ500" t="str">
        <f t="shared" si="323"/>
        <v>-266747.555199685+4067.90207702055i</v>
      </c>
      <c r="AK500">
        <f t="shared" si="341"/>
        <v>266778.57116402208</v>
      </c>
      <c r="AL500">
        <f t="shared" si="342"/>
        <v>3.1263438286454606</v>
      </c>
      <c r="AM500" t="str">
        <f t="shared" si="324"/>
        <v>1+577523.202868698i</v>
      </c>
      <c r="AN500">
        <f t="shared" si="343"/>
        <v>577523.20286956395</v>
      </c>
      <c r="AO500">
        <f t="shared" si="344"/>
        <v>1.5707945952627347</v>
      </c>
      <c r="AP500" t="str">
        <f t="shared" si="325"/>
        <v>1+3902.18380316689i</v>
      </c>
      <c r="AQ500">
        <f t="shared" si="345"/>
        <v>3902.1839313002679</v>
      </c>
      <c r="AR500">
        <f t="shared" si="346"/>
        <v>1.5705400600405481</v>
      </c>
      <c r="AS500" s="42" t="str">
        <f t="shared" si="347"/>
        <v>-0.000029873011592806+0.00199260351045016i</v>
      </c>
      <c r="AT500">
        <f t="shared" si="348"/>
        <v>-54.010606173736619</v>
      </c>
      <c r="AU500" s="44">
        <f t="shared" si="349"/>
        <v>90.858911098905423</v>
      </c>
      <c r="AV500" s="42" t="str">
        <f t="shared" si="326"/>
        <v>-2.22282451659712E-06-7.71228114537711E-07i</v>
      </c>
      <c r="AW500" s="20">
        <f t="shared" si="350"/>
        <v>-112.56824187441163</v>
      </c>
      <c r="AX500" s="44">
        <f t="shared" si="351"/>
        <v>-160.86534223061221</v>
      </c>
    </row>
    <row r="501" spans="14:50" x14ac:dyDescent="0.3">
      <c r="N501" s="8">
        <v>83</v>
      </c>
      <c r="O501" s="35">
        <f t="shared" si="352"/>
        <v>676082.97539198259</v>
      </c>
      <c r="P501" s="34" t="str">
        <f t="shared" si="317"/>
        <v>545.10556621881</v>
      </c>
      <c r="Q501" s="4" t="str">
        <f t="shared" si="318"/>
        <v>1+90748.0516158407i</v>
      </c>
      <c r="R501" s="4">
        <f t="shared" si="327"/>
        <v>90748.05162135046</v>
      </c>
      <c r="S501" s="4">
        <f t="shared" si="328"/>
        <v>1.5707853072745637</v>
      </c>
      <c r="T501" s="4" t="str">
        <f t="shared" si="319"/>
        <v>1+2.12397730870858i</v>
      </c>
      <c r="U501" s="4">
        <f t="shared" si="329"/>
        <v>2.3476114686866185</v>
      </c>
      <c r="V501" s="4">
        <f t="shared" si="330"/>
        <v>1.1307682537780466</v>
      </c>
      <c r="W501" t="str">
        <f t="shared" si="320"/>
        <v>1-2.20638762828647i</v>
      </c>
      <c r="X501" s="4">
        <f t="shared" si="331"/>
        <v>2.4224257194505663</v>
      </c>
      <c r="Y501" s="4">
        <f t="shared" si="332"/>
        <v>-1.1452599795782221</v>
      </c>
      <c r="Z501" t="str">
        <f t="shared" si="321"/>
        <v>-28.2536441353521+9.55462410163008i</v>
      </c>
      <c r="AA501" s="4">
        <f t="shared" si="333"/>
        <v>29.825479856166044</v>
      </c>
      <c r="AB501" s="4">
        <f t="shared" si="334"/>
        <v>2.8154925984553678</v>
      </c>
      <c r="AC501" s="48" t="str">
        <f t="shared" si="335"/>
        <v>-0.000351160186117352+0.00109017381478159i</v>
      </c>
      <c r="AD501" s="20">
        <f t="shared" si="336"/>
        <v>-58.821348820234178</v>
      </c>
      <c r="AE501" s="44">
        <f t="shared" si="337"/>
        <v>107.85447350398242</v>
      </c>
      <c r="AF501" t="str">
        <f t="shared" si="322"/>
        <v>-0.979317078436135</v>
      </c>
      <c r="AG501" t="str">
        <f t="shared" si="338"/>
        <v>4247954.61741716i</v>
      </c>
      <c r="AH501">
        <f t="shared" si="339"/>
        <v>4247954.6174171604</v>
      </c>
      <c r="AI501">
        <f t="shared" si="340"/>
        <v>1.5707963267948966</v>
      </c>
      <c r="AJ501" t="str">
        <f t="shared" si="323"/>
        <v>-279319.027300922+4162.65568869946i</v>
      </c>
      <c r="AK501">
        <f t="shared" si="341"/>
        <v>279350.0433411742</v>
      </c>
      <c r="AL501">
        <f t="shared" si="342"/>
        <v>3.1266908848101269</v>
      </c>
      <c r="AM501" t="str">
        <f t="shared" si="324"/>
        <v>1+590975.446375075i</v>
      </c>
      <c r="AN501">
        <f t="shared" si="343"/>
        <v>590975.44637592114</v>
      </c>
      <c r="AO501">
        <f t="shared" si="344"/>
        <v>1.5707946346772188</v>
      </c>
      <c r="AP501" t="str">
        <f t="shared" si="325"/>
        <v>1+3993.07734037214i</v>
      </c>
      <c r="AQ501">
        <f t="shared" si="345"/>
        <v>3993.0774655888467</v>
      </c>
      <c r="AR501">
        <f t="shared" si="346"/>
        <v>1.570545893383807</v>
      </c>
      <c r="AS501" s="42" t="str">
        <f t="shared" si="347"/>
        <v>-0.000028528793428881+0.00194726602121691i</v>
      </c>
      <c r="AT501">
        <f t="shared" si="348"/>
        <v>-54.210562204316197</v>
      </c>
      <c r="AU501" s="44">
        <f t="shared" si="349"/>
        <v>90.839362729648812</v>
      </c>
      <c r="AV501" s="42" t="str">
        <f t="shared" si="326"/>
        <v>-2.11284025033442E-06-7.14903641994005E-07i</v>
      </c>
      <c r="AW501" s="20">
        <f t="shared" si="350"/>
        <v>-113.03191102455037</v>
      </c>
      <c r="AX501" s="44">
        <f t="shared" si="351"/>
        <v>-161.30616376636877</v>
      </c>
    </row>
    <row r="502" spans="14:50" x14ac:dyDescent="0.3">
      <c r="N502" s="8">
        <v>84</v>
      </c>
      <c r="O502" s="35">
        <f t="shared" si="352"/>
        <v>691830.97091893724</v>
      </c>
      <c r="P502" s="34" t="str">
        <f t="shared" si="317"/>
        <v>545.10556621881</v>
      </c>
      <c r="Q502" s="4" t="str">
        <f t="shared" si="318"/>
        <v>1+92861.8452816219i</v>
      </c>
      <c r="R502" s="4">
        <f t="shared" si="327"/>
        <v>92861.845287006247</v>
      </c>
      <c r="S502" s="4">
        <f t="shared" si="328"/>
        <v>1.5707855581094701</v>
      </c>
      <c r="T502" s="4" t="str">
        <f t="shared" si="319"/>
        <v>1+2.17345109576482i</v>
      </c>
      <c r="U502" s="4">
        <f t="shared" si="329"/>
        <v>2.3924651858869956</v>
      </c>
      <c r="V502" s="4">
        <f t="shared" si="330"/>
        <v>1.1395768950209195</v>
      </c>
      <c r="W502" t="str">
        <f t="shared" si="320"/>
        <v>1-2.25778099828049i</v>
      </c>
      <c r="X502" s="4">
        <f t="shared" si="331"/>
        <v>2.4693268386741449</v>
      </c>
      <c r="Y502" s="4">
        <f t="shared" si="332"/>
        <v>-1.1538517644458011</v>
      </c>
      <c r="Z502" t="str">
        <f t="shared" si="321"/>
        <v>-29.632325908649+9.77717988707486i</v>
      </c>
      <c r="AA502" s="4">
        <f t="shared" si="333"/>
        <v>31.203653396687574</v>
      </c>
      <c r="AB502" s="4">
        <f t="shared" si="334"/>
        <v>2.8228903675855115</v>
      </c>
      <c r="AC502" s="48" t="str">
        <f t="shared" si="335"/>
        <v>-0.000333143811916303+0.00106027251013444i</v>
      </c>
      <c r="AD502" s="20">
        <f t="shared" si="336"/>
        <v>-59.082758686918275</v>
      </c>
      <c r="AE502" s="44">
        <f t="shared" si="337"/>
        <v>107.4430231382965</v>
      </c>
      <c r="AF502" t="str">
        <f t="shared" si="322"/>
        <v>-0.979317078436135</v>
      </c>
      <c r="AG502" t="str">
        <f t="shared" si="338"/>
        <v>4346902.19152965i</v>
      </c>
      <c r="AH502">
        <f t="shared" si="339"/>
        <v>4346902.1915296502</v>
      </c>
      <c r="AI502">
        <f t="shared" si="340"/>
        <v>1.5707963267948966</v>
      </c>
      <c r="AJ502" t="str">
        <f t="shared" si="323"/>
        <v>-292482.974629152+4259.61639552378i</v>
      </c>
      <c r="AK502">
        <f t="shared" si="341"/>
        <v>292513.99074190314</v>
      </c>
      <c r="AL502">
        <f t="shared" si="342"/>
        <v>3.1270300443132437</v>
      </c>
      <c r="AM502" t="str">
        <f t="shared" si="324"/>
        <v>1+604741.032885605i</v>
      </c>
      <c r="AN502">
        <f t="shared" si="343"/>
        <v>604741.0328864319</v>
      </c>
      <c r="AO502">
        <f t="shared" si="344"/>
        <v>1.5707946731945195</v>
      </c>
      <c r="AP502" t="str">
        <f t="shared" si="325"/>
        <v>1+4086.08806003788i</v>
      </c>
      <c r="AQ502">
        <f t="shared" si="345"/>
        <v>4086.0881824043058</v>
      </c>
      <c r="AR502">
        <f t="shared" si="346"/>
        <v>1.5705515939439785</v>
      </c>
      <c r="AS502" s="42" t="str">
        <f t="shared" si="347"/>
        <v>-0.0000272450496391473+0.00190295922442701i</v>
      </c>
      <c r="AT502">
        <f t="shared" si="348"/>
        <v>-54.410520213430161</v>
      </c>
      <c r="AU502" s="44">
        <f t="shared" si="349"/>
        <v>90.820259146455911</v>
      </c>
      <c r="AV502" s="42" t="str">
        <f t="shared" si="326"/>
        <v>-2.00857883387408E-06-6.62846267116542E-07i</v>
      </c>
      <c r="AW502" s="20">
        <f t="shared" si="350"/>
        <v>-113.49327890034843</v>
      </c>
      <c r="AX502" s="44">
        <f t="shared" si="351"/>
        <v>-161.73671771524758</v>
      </c>
    </row>
    <row r="503" spans="14:50" x14ac:dyDescent="0.3">
      <c r="N503" s="8">
        <v>85</v>
      </c>
      <c r="O503" s="35">
        <f t="shared" si="352"/>
        <v>707945.78438413853</v>
      </c>
      <c r="P503" s="34" t="str">
        <f t="shared" si="317"/>
        <v>545.10556621881</v>
      </c>
      <c r="Q503" s="4" t="str">
        <f t="shared" si="318"/>
        <v>1+95024.8755269434i</v>
      </c>
      <c r="R503" s="4">
        <f t="shared" si="327"/>
        <v>95024.875532205173</v>
      </c>
      <c r="S503" s="4">
        <f t="shared" si="328"/>
        <v>1.5707858032346771</v>
      </c>
      <c r="T503" s="4" t="str">
        <f t="shared" si="319"/>
        <v>1+2.22407727536108i</v>
      </c>
      <c r="U503" s="4">
        <f t="shared" si="329"/>
        <v>2.4385486927222848</v>
      </c>
      <c r="V503" s="4">
        <f t="shared" si="330"/>
        <v>1.1482545733478617</v>
      </c>
      <c r="W503" t="str">
        <f t="shared" si="320"/>
        <v>1-2.31037147364508i</v>
      </c>
      <c r="X503" s="4">
        <f t="shared" si="331"/>
        <v>2.5175020052093182</v>
      </c>
      <c r="Y503" s="4">
        <f t="shared" si="332"/>
        <v>-1.162311638059575</v>
      </c>
      <c r="Z503" t="str">
        <f t="shared" si="321"/>
        <v>-31.0759829521456+10.004919662712i</v>
      </c>
      <c r="AA503" s="4">
        <f t="shared" si="333"/>
        <v>32.646824254425809</v>
      </c>
      <c r="AB503" s="4">
        <f t="shared" si="334"/>
        <v>2.8301216409658876</v>
      </c>
      <c r="AC503" s="48" t="str">
        <f t="shared" si="335"/>
        <v>-0.000316124598352325+0.00103134606511759i</v>
      </c>
      <c r="AD503" s="20">
        <f t="shared" si="336"/>
        <v>-59.341927537703711</v>
      </c>
      <c r="AE503" s="44">
        <f t="shared" si="337"/>
        <v>107.04116693927833</v>
      </c>
      <c r="AF503" t="str">
        <f t="shared" si="322"/>
        <v>-0.979317078436135</v>
      </c>
      <c r="AG503" t="str">
        <f t="shared" si="338"/>
        <v>4448154.55072215i</v>
      </c>
      <c r="AH503">
        <f t="shared" si="339"/>
        <v>4448154.5507221501</v>
      </c>
      <c r="AI503">
        <f t="shared" si="340"/>
        <v>1.5707963267948966</v>
      </c>
      <c r="AJ503" t="str">
        <f t="shared" si="323"/>
        <v>-306267.319681581+4358.83560734369i</v>
      </c>
      <c r="AK503">
        <f t="shared" si="341"/>
        <v>306298.33586356876</v>
      </c>
      <c r="AL503">
        <f t="shared" si="342"/>
        <v>3.1273614866844897</v>
      </c>
      <c r="AM503" t="str">
        <f t="shared" si="324"/>
        <v>1+618827.261096466i</v>
      </c>
      <c r="AN503">
        <f t="shared" si="343"/>
        <v>618827.26109727391</v>
      </c>
      <c r="AO503">
        <f t="shared" si="344"/>
        <v>1.5707947108350595</v>
      </c>
      <c r="AP503" t="str">
        <f t="shared" si="325"/>
        <v>1+4181.26527767883i</v>
      </c>
      <c r="AQ503">
        <f t="shared" si="345"/>
        <v>4181.2653972598564</v>
      </c>
      <c r="AR503">
        <f t="shared" si="346"/>
        <v>1.5705571647435739</v>
      </c>
      <c r="AS503" s="42" t="str">
        <f t="shared" si="347"/>
        <v>-0.0000260190606634715+0.00185965974637421i</v>
      </c>
      <c r="AT503">
        <f t="shared" si="348"/>
        <v>-54.610480112066362</v>
      </c>
      <c r="AU503" s="44">
        <f t="shared" si="349"/>
        <v>90.801590237381134</v>
      </c>
      <c r="AV503" s="42" t="str">
        <f t="shared" si="326"/>
        <v>-1.90972749677887E-06-6.14718846227861E-07i</v>
      </c>
      <c r="AW503" s="20">
        <f t="shared" si="350"/>
        <v>-113.95240764977007</v>
      </c>
      <c r="AX503" s="44">
        <f t="shared" si="351"/>
        <v>-162.15724282334048</v>
      </c>
    </row>
    <row r="504" spans="14:50" x14ac:dyDescent="0.3">
      <c r="N504" s="8">
        <v>86</v>
      </c>
      <c r="O504" s="35">
        <f t="shared" si="352"/>
        <v>724435.96007499192</v>
      </c>
      <c r="P504" s="34" t="str">
        <f t="shared" si="317"/>
        <v>545.10556621881</v>
      </c>
      <c r="Q504" s="4" t="str">
        <f t="shared" si="318"/>
        <v>1+97238.2892190723i</v>
      </c>
      <c r="R504" s="4">
        <f t="shared" si="327"/>
        <v>97238.289224214299</v>
      </c>
      <c r="S504" s="4">
        <f t="shared" si="328"/>
        <v>1.570786042780153</v>
      </c>
      <c r="T504" s="4" t="str">
        <f t="shared" si="319"/>
        <v>1+2.27588269016786i</v>
      </c>
      <c r="U504" s="4">
        <f t="shared" si="329"/>
        <v>2.485888577431759</v>
      </c>
      <c r="V504" s="4">
        <f t="shared" si="330"/>
        <v>1.1568006611654682</v>
      </c>
      <c r="W504" t="str">
        <f t="shared" si="320"/>
        <v>1-2.36418693854637i</v>
      </c>
      <c r="X504" s="4">
        <f t="shared" si="331"/>
        <v>2.5669787456060593</v>
      </c>
      <c r="Y504" s="4">
        <f t="shared" si="332"/>
        <v>-1.1706392411592079</v>
      </c>
      <c r="Z504" t="str">
        <f t="shared" si="321"/>
        <v>-32.5876774559858+10.2379641791852i</v>
      </c>
      <c r="AA504" s="4">
        <f t="shared" si="333"/>
        <v>34.158053699086018</v>
      </c>
      <c r="AB504" s="4">
        <f t="shared" si="334"/>
        <v>2.8371900589494037</v>
      </c>
      <c r="AC504" s="48" t="str">
        <f t="shared" si="335"/>
        <v>-0.000300042331800136+0.00100335742202921i</v>
      </c>
      <c r="AD504" s="20">
        <f t="shared" si="336"/>
        <v>-59.59891756132636</v>
      </c>
      <c r="AE504" s="44">
        <f t="shared" si="337"/>
        <v>106.64868094827182</v>
      </c>
      <c r="AF504" t="str">
        <f t="shared" si="322"/>
        <v>-0.979317078436135</v>
      </c>
      <c r="AG504" t="str">
        <f t="shared" si="338"/>
        <v>4551765.38033573i</v>
      </c>
      <c r="AH504">
        <f t="shared" si="339"/>
        <v>4551765.3803357296</v>
      </c>
      <c r="AI504">
        <f t="shared" si="340"/>
        <v>1.5707963267948966</v>
      </c>
      <c r="AJ504" t="str">
        <f t="shared" si="323"/>
        <v>-320701.300902163+4460.36593149863i</v>
      </c>
      <c r="AK504">
        <f t="shared" si="341"/>
        <v>320732.31715027191</v>
      </c>
      <c r="AL504">
        <f t="shared" si="342"/>
        <v>3.1276853873816441</v>
      </c>
      <c r="AM504" t="str">
        <f t="shared" si="324"/>
        <v>1+633241.599712307i</v>
      </c>
      <c r="AN504">
        <f t="shared" si="343"/>
        <v>633241.59971309663</v>
      </c>
      <c r="AO504">
        <f t="shared" si="344"/>
        <v>1.5707947476187962</v>
      </c>
      <c r="AP504" t="str">
        <f t="shared" si="325"/>
        <v>1+4278.6594575156i</v>
      </c>
      <c r="AQ504">
        <f t="shared" si="345"/>
        <v>4278.6595743746302</v>
      </c>
      <c r="AR504">
        <f t="shared" si="346"/>
        <v>1.5705626087363034</v>
      </c>
      <c r="AS504" s="42" t="str">
        <f t="shared" si="347"/>
        <v>-0.0000248482291455144+0.00181734473955229i</v>
      </c>
      <c r="AT504">
        <f t="shared" si="348"/>
        <v>-54.810441815215547</v>
      </c>
      <c r="AU504" s="44">
        <f t="shared" si="349"/>
        <v>90.783346119812819</v>
      </c>
      <c r="AV504" s="42" t="str">
        <f t="shared" si="326"/>
        <v>-1.81599081220161E-06-5.70212008477414E-07i</v>
      </c>
      <c r="AW504" s="20">
        <f t="shared" si="350"/>
        <v>-114.4093593765419</v>
      </c>
      <c r="AX504" s="44">
        <f t="shared" si="351"/>
        <v>-162.56797293191542</v>
      </c>
    </row>
    <row r="505" spans="14:50" x14ac:dyDescent="0.3">
      <c r="N505" s="8">
        <v>87</v>
      </c>
      <c r="O505" s="35">
        <f t="shared" si="352"/>
        <v>741310.24130091805</v>
      </c>
      <c r="P505" s="34" t="str">
        <f t="shared" si="317"/>
        <v>545.10556621881</v>
      </c>
      <c r="Q505" s="4" t="str">
        <f t="shared" si="318"/>
        <v>1+99503.2599392456i</v>
      </c>
      <c r="R505" s="4">
        <f t="shared" si="327"/>
        <v>99503.259944270569</v>
      </c>
      <c r="S505" s="4">
        <f t="shared" si="328"/>
        <v>1.5707862768729084</v>
      </c>
      <c r="T505" s="4" t="str">
        <f t="shared" si="319"/>
        <v>1+2.32889480810184i</v>
      </c>
      <c r="U505" s="4">
        <f t="shared" si="329"/>
        <v>2.5345119899506705</v>
      </c>
      <c r="V505" s="4">
        <f t="shared" si="330"/>
        <v>1.1652146953279703</v>
      </c>
      <c r="W505" t="str">
        <f t="shared" si="320"/>
        <v>1-2.41925592665618i</v>
      </c>
      <c r="X505" s="4">
        <f t="shared" si="331"/>
        <v>2.6177851780963715</v>
      </c>
      <c r="Y505" s="4">
        <f t="shared" si="332"/>
        <v>-1.1788343680128945</v>
      </c>
      <c r="Z505" t="str">
        <f t="shared" si="321"/>
        <v>-34.170615926888+10.4764369997815i</v>
      </c>
      <c r="AA505" s="4">
        <f t="shared" si="333"/>
        <v>35.740547352178062</v>
      </c>
      <c r="AB505" s="4">
        <f t="shared" si="334"/>
        <v>2.844099191373505</v>
      </c>
      <c r="AC505" s="48" t="str">
        <f t="shared" si="335"/>
        <v>-0.000284840723873875+0.000976270862371807i</v>
      </c>
      <c r="AD505" s="20">
        <f t="shared" si="336"/>
        <v>-59.853790749260327</v>
      </c>
      <c r="AE505" s="44">
        <f t="shared" si="337"/>
        <v>106.26534587264658</v>
      </c>
      <c r="AF505" t="str">
        <f t="shared" si="322"/>
        <v>-0.979317078436135</v>
      </c>
      <c r="AG505" t="str">
        <f t="shared" si="338"/>
        <v>4657789.61620368i</v>
      </c>
      <c r="AH505">
        <f t="shared" si="339"/>
        <v>4657789.6162036797</v>
      </c>
      <c r="AI505">
        <f t="shared" si="340"/>
        <v>1.5707963267948966</v>
      </c>
      <c r="AJ505" t="str">
        <f t="shared" si="323"/>
        <v>-335815.534700262+4564.26120071035i</v>
      </c>
      <c r="AK505">
        <f t="shared" si="341"/>
        <v>335846.55101151654</v>
      </c>
      <c r="AL505">
        <f t="shared" si="342"/>
        <v>3.1280019178822966</v>
      </c>
      <c r="AM505" t="str">
        <f t="shared" si="324"/>
        <v>1+647991.691406256i</v>
      </c>
      <c r="AN505">
        <f t="shared" si="343"/>
        <v>647991.69140702765</v>
      </c>
      <c r="AO505">
        <f t="shared" si="344"/>
        <v>1.5707947835652329</v>
      </c>
      <c r="AP505" t="str">
        <f t="shared" si="325"/>
        <v>1+4378.32223923147i</v>
      </c>
      <c r="AQ505">
        <f t="shared" si="345"/>
        <v>4378.3223534304634</v>
      </c>
      <c r="AR505">
        <f t="shared" si="346"/>
        <v>1.5705679288086427</v>
      </c>
      <c r="AS505" s="42" t="str">
        <f t="shared" si="347"/>
        <v>-0.0000237300744499398+0.00177599187106728i</v>
      </c>
      <c r="AT505">
        <f t="shared" si="348"/>
        <v>-55.010405241691622</v>
      </c>
      <c r="AU505" s="44">
        <f t="shared" si="349"/>
        <v>90.765517135309096</v>
      </c>
      <c r="AV505" s="42" t="str">
        <f t="shared" si="326"/>
        <v>-1.72708982394827E-06-5.29041790396311E-07i</v>
      </c>
      <c r="AW505" s="20">
        <f t="shared" si="350"/>
        <v>-114.86419599095194</v>
      </c>
      <c r="AX505" s="44">
        <f t="shared" si="351"/>
        <v>-162.96913699204433</v>
      </c>
    </row>
    <row r="506" spans="14:50" x14ac:dyDescent="0.3">
      <c r="N506" s="8">
        <v>88</v>
      </c>
      <c r="O506" s="35">
        <f t="shared" si="352"/>
        <v>758577.57502918423</v>
      </c>
      <c r="P506" s="34" t="str">
        <f t="shared" si="317"/>
        <v>545.10556621881</v>
      </c>
      <c r="Q506" s="4" t="str">
        <f t="shared" si="318"/>
        <v>1+101820.98860492i</v>
      </c>
      <c r="R506" s="4">
        <f t="shared" si="327"/>
        <v>101820.98860983059</v>
      </c>
      <c r="S506" s="4">
        <f t="shared" si="328"/>
        <v>1.570786505637062</v>
      </c>
      <c r="T506" s="4" t="str">
        <f t="shared" si="319"/>
        <v>1+2.38314173688965i</v>
      </c>
      <c r="U506" s="4">
        <f t="shared" si="329"/>
        <v>2.5844466599458804</v>
      </c>
      <c r="V506" s="4">
        <f t="shared" si="330"/>
        <v>1.1734963705799262</v>
      </c>
      <c r="W506" t="str">
        <f t="shared" si="320"/>
        <v>1-2.47560763628096i</v>
      </c>
      <c r="X506" s="4">
        <f t="shared" si="331"/>
        <v>2.6699500311452651</v>
      </c>
      <c r="Y506" s="4">
        <f t="shared" si="332"/>
        <v>-1.1868969596505838</v>
      </c>
      <c r="Z506" t="str">
        <f t="shared" si="321"/>
        <v>-35.8281559895782+10.7204645659473i</v>
      </c>
      <c r="AA506" s="4">
        <f t="shared" si="333"/>
        <v>37.397661987392745</v>
      </c>
      <c r="AB506" s="4">
        <f t="shared" si="334"/>
        <v>2.8508525381012069</v>
      </c>
      <c r="AC506" s="48" t="str">
        <f t="shared" si="335"/>
        <v>-0.000270467144716669+0.000950051993995134i</v>
      </c>
      <c r="AD506" s="20">
        <f t="shared" si="336"/>
        <v>-60.106608758246338</v>
      </c>
      <c r="AE506" s="44">
        <f t="shared" si="337"/>
        <v>105.8909470667982</v>
      </c>
      <c r="AF506" t="str">
        <f t="shared" si="322"/>
        <v>-0.979317078436135</v>
      </c>
      <c r="AG506" t="str">
        <f t="shared" si="338"/>
        <v>4766283.47377929i</v>
      </c>
      <c r="AH506">
        <f t="shared" si="339"/>
        <v>4766283.47377929</v>
      </c>
      <c r="AI506">
        <f t="shared" si="340"/>
        <v>1.5707963267948966</v>
      </c>
      <c r="AJ506" t="str">
        <f t="shared" si="323"/>
        <v>-351642.080392171+4670.57650162584i</v>
      </c>
      <c r="AK506">
        <f t="shared" si="341"/>
        <v>351673.0967637297</v>
      </c>
      <c r="AL506">
        <f t="shared" si="342"/>
        <v>3.1283112457735323</v>
      </c>
      <c r="AM506" t="str">
        <f t="shared" si="324"/>
        <v>1+663085.356872175i</v>
      </c>
      <c r="AN506">
        <f t="shared" si="343"/>
        <v>663085.35687292914</v>
      </c>
      <c r="AO506">
        <f t="shared" si="344"/>
        <v>1.5707948186934289</v>
      </c>
      <c r="AP506" t="str">
        <f t="shared" si="325"/>
        <v>1+4480.30646535254i</v>
      </c>
      <c r="AQ506">
        <f t="shared" si="345"/>
        <v>4480.3065769520472</v>
      </c>
      <c r="AR506">
        <f t="shared" si="346"/>
        <v>1.5705731277813633</v>
      </c>
      <c r="AS506" s="42" t="str">
        <f t="shared" si="347"/>
        <v>-0.0000226622274248691+0.00173557931128748i</v>
      </c>
      <c r="AT506">
        <f t="shared" si="348"/>
        <v>-55.210370313959913</v>
      </c>
      <c r="AU506" s="44">
        <f t="shared" si="349"/>
        <v>90.748093844547668</v>
      </c>
      <c r="AV506" s="42" t="str">
        <f t="shared" si="326"/>
        <v>-1.64276119748085E-06-4.90947475106616E-07i</v>
      </c>
      <c r="AW506" s="20">
        <f t="shared" si="350"/>
        <v>-115.31697907220624</v>
      </c>
      <c r="AX506" s="44">
        <f t="shared" si="351"/>
        <v>-163.36095908865414</v>
      </c>
    </row>
    <row r="507" spans="14:50" x14ac:dyDescent="0.3">
      <c r="N507" s="8">
        <v>89</v>
      </c>
      <c r="O507" s="35">
        <f t="shared" si="352"/>
        <v>776247.11662869214</v>
      </c>
      <c r="P507" s="34" t="str">
        <f t="shared" si="317"/>
        <v>545.10556621881</v>
      </c>
      <c r="Q507" s="4" t="str">
        <f t="shared" si="318"/>
        <v>1+104192.704106514i</v>
      </c>
      <c r="R507" s="4">
        <f t="shared" si="327"/>
        <v>104192.70411131279</v>
      </c>
      <c r="S507" s="4">
        <f t="shared" si="328"/>
        <v>1.5707867291939077</v>
      </c>
      <c r="T507" s="4" t="str">
        <f t="shared" si="319"/>
        <v>1+2.43865223897096i</v>
      </c>
      <c r="U507" s="4">
        <f t="shared" si="329"/>
        <v>2.6357209151649719</v>
      </c>
      <c r="V507" s="4">
        <f t="shared" si="330"/>
        <v>1.1816455328583113</v>
      </c>
      <c r="W507" t="str">
        <f t="shared" si="320"/>
        <v>1-2.53327194584303i</v>
      </c>
      <c r="X507" s="4">
        <f t="shared" si="331"/>
        <v>2.7235026623073701</v>
      </c>
      <c r="Y507" s="4">
        <f t="shared" si="332"/>
        <v>-1.19482709702491</v>
      </c>
      <c r="Z507" t="str">
        <f t="shared" si="321"/>
        <v>-37.563813508759+10.970176264328i</v>
      </c>
      <c r="AA507" s="4">
        <f t="shared" si="333"/>
        <v>39.132912651516889</v>
      </c>
      <c r="AB507" s="4">
        <f t="shared" si="334"/>
        <v>2.8574535296443706</v>
      </c>
      <c r="AC507" s="48" t="str">
        <f t="shared" si="335"/>
        <v>-0.000256872374112756+0.000924667732330683i</v>
      </c>
      <c r="AD507" s="20">
        <f t="shared" si="336"/>
        <v>-60.357432784089902</v>
      </c>
      <c r="AE507" s="44">
        <f t="shared" si="337"/>
        <v>105.52527450452048</v>
      </c>
      <c r="AF507" t="str">
        <f t="shared" si="322"/>
        <v>-0.979317078436135</v>
      </c>
      <c r="AG507" t="str">
        <f t="shared" si="338"/>
        <v>4877304.47794192i</v>
      </c>
      <c r="AH507">
        <f t="shared" si="339"/>
        <v>4877304.47794192</v>
      </c>
      <c r="AI507">
        <f t="shared" si="340"/>
        <v>1.5707963267948966</v>
      </c>
      <c r="AJ507" t="str">
        <f t="shared" si="323"/>
        <v>-368214.5082032+4779.36820402489i</v>
      </c>
      <c r="AK507">
        <f t="shared" si="341"/>
        <v>368245.5246323492</v>
      </c>
      <c r="AL507">
        <f t="shared" si="342"/>
        <v>3.1286135348396353</v>
      </c>
      <c r="AM507" t="str">
        <f t="shared" si="324"/>
        <v>1+678530.59897128i</v>
      </c>
      <c r="AN507">
        <f t="shared" si="343"/>
        <v>678530.59897201695</v>
      </c>
      <c r="AO507">
        <f t="shared" si="344"/>
        <v>1.5707948530220093</v>
      </c>
      <c r="AP507" t="str">
        <f t="shared" si="325"/>
        <v>1+4584.66620926542i</v>
      </c>
      <c r="AQ507">
        <f t="shared" si="345"/>
        <v>4584.6663183246128</v>
      </c>
      <c r="AR507">
        <f t="shared" si="346"/>
        <v>1.570578208411028</v>
      </c>
      <c r="AS507" s="42" t="str">
        <f t="shared" si="347"/>
        <v>-0.0000216424253986799+0.00169608572272765i</v>
      </c>
      <c r="AT507">
        <f t="shared" si="348"/>
        <v>-55.410336957972945</v>
      </c>
      <c r="AU507" s="44">
        <f t="shared" si="349"/>
        <v>90.731067022386867</v>
      </c>
      <c r="AV507" s="42" t="str">
        <f t="shared" si="326"/>
        <v>-1.56275639787931E-06-4.55689618711334E-07i</v>
      </c>
      <c r="AW507" s="20">
        <f t="shared" si="350"/>
        <v>-115.76776974206282</v>
      </c>
      <c r="AX507" s="44">
        <f t="shared" si="351"/>
        <v>-163.74365847309269</v>
      </c>
    </row>
    <row r="508" spans="14:50" x14ac:dyDescent="0.3">
      <c r="N508" s="8">
        <v>90</v>
      </c>
      <c r="O508" s="35">
        <f t="shared" si="352"/>
        <v>794328.23472428333</v>
      </c>
      <c r="P508" s="34" t="str">
        <f t="shared" si="317"/>
        <v>545.10556621881</v>
      </c>
      <c r="Q508" s="4" t="str">
        <f t="shared" si="318"/>
        <v>1+106619.663958978i</v>
      </c>
      <c r="R508" s="4">
        <f t="shared" si="327"/>
        <v>106619.66396366755</v>
      </c>
      <c r="S508" s="4">
        <f t="shared" si="328"/>
        <v>1.5707869476619785</v>
      </c>
      <c r="T508" s="4" t="str">
        <f t="shared" si="319"/>
        <v>1+2.49545574674876i</v>
      </c>
      <c r="U508" s="4">
        <f t="shared" si="329"/>
        <v>2.6883637000936855</v>
      </c>
      <c r="V508" s="4">
        <f t="shared" si="330"/>
        <v>1.1896621724962462</v>
      </c>
      <c r="W508" t="str">
        <f t="shared" si="320"/>
        <v>1-2.5922794297226i</v>
      </c>
      <c r="X508" s="4">
        <f t="shared" si="331"/>
        <v>2.7784730773867374</v>
      </c>
      <c r="Y508" s="4">
        <f t="shared" si="332"/>
        <v>-1.2026249941374445</v>
      </c>
      <c r="Z508" t="str">
        <f t="shared" si="321"/>
        <v>-39.3812700467326+11.2257044953715i</v>
      </c>
      <c r="AA508" s="4">
        <f t="shared" si="333"/>
        <v>40.949980121009617</v>
      </c>
      <c r="AB508" s="4">
        <f t="shared" si="334"/>
        <v>2.8639055278588144</v>
      </c>
      <c r="AC508" s="48" t="str">
        <f t="shared" si="335"/>
        <v>-0.000244010369366683+0.000900086276739701i</v>
      </c>
      <c r="AD508" s="20">
        <f t="shared" si="336"/>
        <v>-60.606323446410819</v>
      </c>
      <c r="AE508" s="44">
        <f t="shared" si="337"/>
        <v>105.16812274361382</v>
      </c>
      <c r="AF508" t="str">
        <f t="shared" si="322"/>
        <v>-0.979317078436135</v>
      </c>
      <c r="AG508" t="str">
        <f t="shared" si="338"/>
        <v>4990911.49349752i</v>
      </c>
      <c r="AH508">
        <f t="shared" si="339"/>
        <v>4990911.4934975198</v>
      </c>
      <c r="AI508">
        <f t="shared" si="340"/>
        <v>1.5707963267948966</v>
      </c>
      <c r="AJ508" t="str">
        <f t="shared" si="323"/>
        <v>-385567.970474642+4890.69399070814i</v>
      </c>
      <c r="AK508">
        <f t="shared" si="341"/>
        <v>385598.98695879005</v>
      </c>
      <c r="AL508">
        <f t="shared" si="342"/>
        <v>3.1289089451478551</v>
      </c>
      <c r="AM508" t="str">
        <f t="shared" si="324"/>
        <v>1+694335.606975375i</v>
      </c>
      <c r="AN508">
        <f t="shared" si="343"/>
        <v>694335.60697609512</v>
      </c>
      <c r="AO508">
        <f t="shared" si="344"/>
        <v>1.5707948865691759</v>
      </c>
      <c r="AP508" t="str">
        <f t="shared" si="325"/>
        <v>1+4691.45680388768i</v>
      </c>
      <c r="AQ508">
        <f t="shared" si="345"/>
        <v>4691.4569104643815</v>
      </c>
      <c r="AR508">
        <f t="shared" si="346"/>
        <v>1.5705831733914535</v>
      </c>
      <c r="AS508" s="42" t="str">
        <f t="shared" si="347"/>
        <v>-0.0000206685074007203+0.00165749024916357i</v>
      </c>
      <c r="AT508">
        <f t="shared" si="348"/>
        <v>-55.610305103013438</v>
      </c>
      <c r="AU508" s="44">
        <f t="shared" si="349"/>
        <v>90.714427653036012</v>
      </c>
      <c r="AV508" s="42" t="str">
        <f t="shared" si="326"/>
        <v>-1.48684089697689E-06-4.23048247792159E-07i</v>
      </c>
      <c r="AW508" s="20">
        <f t="shared" si="350"/>
        <v>-116.21662854942426</v>
      </c>
      <c r="AX508" s="44">
        <f t="shared" si="351"/>
        <v>-164.11744960335017</v>
      </c>
    </row>
    <row r="509" spans="14:50" x14ac:dyDescent="0.3">
      <c r="N509" s="8">
        <v>91</v>
      </c>
      <c r="O509" s="35">
        <f t="shared" si="352"/>
        <v>812830.51616410096</v>
      </c>
      <c r="P509" s="34" t="str">
        <f t="shared" si="317"/>
        <v>545.10556621881</v>
      </c>
      <c r="Q509" s="4" t="str">
        <f t="shared" si="318"/>
        <v>1+109103.154968551i</v>
      </c>
      <c r="R509" s="4">
        <f t="shared" si="327"/>
        <v>109103.15497313383</v>
      </c>
      <c r="S509" s="4">
        <f t="shared" si="328"/>
        <v>1.5707871611571087</v>
      </c>
      <c r="T509" s="4" t="str">
        <f t="shared" si="319"/>
        <v>1+2.55358237819474i</v>
      </c>
      <c r="U509" s="4">
        <f t="shared" si="329"/>
        <v>2.7424045949178804</v>
      </c>
      <c r="V509" s="4">
        <f t="shared" si="330"/>
        <v>1.1975464173677854</v>
      </c>
      <c r="W509" t="str">
        <f t="shared" si="320"/>
        <v>1-2.65266137446869i</v>
      </c>
      <c r="X509" s="4">
        <f t="shared" si="331"/>
        <v>2.8348919498982883</v>
      </c>
      <c r="Y509" s="4">
        <f t="shared" si="332"/>
        <v>-1.2102909911648903</v>
      </c>
      <c r="Z509" t="str">
        <f t="shared" si="321"/>
        <v>-41.2843806724864+11.4871847435282i</v>
      </c>
      <c r="AA509" s="4">
        <f t="shared" si="333"/>
        <v>42.852718710050539</v>
      </c>
      <c r="AB509" s="4">
        <f t="shared" si="334"/>
        <v>2.8702118267019125</v>
      </c>
      <c r="AC509" s="48" t="str">
        <f t="shared" si="335"/>
        <v>-0.000231838048932866+0.000876277082873823i</v>
      </c>
      <c r="AD509" s="20">
        <f t="shared" si="336"/>
        <v>-60.853340683982907</v>
      </c>
      <c r="AE509" s="44">
        <f t="shared" si="337"/>
        <v>104.81929088354059</v>
      </c>
      <c r="AF509" t="str">
        <f t="shared" si="322"/>
        <v>-0.979317078436135</v>
      </c>
      <c r="AG509" t="str">
        <f t="shared" si="338"/>
        <v>5107164.75638948i</v>
      </c>
      <c r="AH509">
        <f t="shared" si="339"/>
        <v>5107164.7563894801</v>
      </c>
      <c r="AI509">
        <f t="shared" si="340"/>
        <v>1.5707963267948966</v>
      </c>
      <c r="AJ509" t="str">
        <f t="shared" si="323"/>
        <v>-403739.276226591+5004.61288808123i</v>
      </c>
      <c r="AK509">
        <f t="shared" si="341"/>
        <v>403770.29276326299</v>
      </c>
      <c r="AL509">
        <f t="shared" si="342"/>
        <v>3.1291976331322724</v>
      </c>
      <c r="AM509" t="str">
        <f t="shared" si="324"/>
        <v>1+710508.760908904i</v>
      </c>
      <c r="AN509">
        <f t="shared" si="343"/>
        <v>710508.76090960763</v>
      </c>
      <c r="AO509">
        <f t="shared" si="344"/>
        <v>1.5707949193527158</v>
      </c>
      <c r="AP509" t="str">
        <f t="shared" si="325"/>
        <v>1+4800.73487100612i</v>
      </c>
      <c r="AQ509">
        <f t="shared" si="345"/>
        <v>4800.7349751568399</v>
      </c>
      <c r="AR509">
        <f t="shared" si="346"/>
        <v>1.5705880253551365</v>
      </c>
      <c r="AS509" s="42" t="str">
        <f t="shared" si="347"/>
        <v>-0.0000197384095959736+0.00161977250497313i</v>
      </c>
      <c r="AT509">
        <f t="shared" si="348"/>
        <v>-55.810274681545195</v>
      </c>
      <c r="AU509" s="44">
        <f t="shared" si="349"/>
        <v>90.698166925332615</v>
      </c>
      <c r="AV509" s="42" t="str">
        <f t="shared" si="326"/>
        <v>-1.41479341120731E-06-0.0000003928212132494i</v>
      </c>
      <c r="AW509" s="20">
        <f t="shared" si="350"/>
        <v>-116.66361536552812</v>
      </c>
      <c r="AX509" s="44">
        <f t="shared" si="351"/>
        <v>-164.48254219112678</v>
      </c>
    </row>
    <row r="510" spans="14:50" x14ac:dyDescent="0.3">
      <c r="N510" s="8">
        <v>92</v>
      </c>
      <c r="O510" s="35">
        <f t="shared" si="352"/>
        <v>831763.77110267128</v>
      </c>
      <c r="P510" s="34" t="str">
        <f t="shared" si="317"/>
        <v>545.10556621881</v>
      </c>
      <c r="Q510" s="4" t="str">
        <f t="shared" si="318"/>
        <v>1+111644.493915039i</v>
      </c>
      <c r="R510" s="4">
        <f t="shared" si="327"/>
        <v>111644.4939195175</v>
      </c>
      <c r="S510" s="4">
        <f t="shared" si="328"/>
        <v>1.5707873697924963</v>
      </c>
      <c r="T510" s="4" t="str">
        <f t="shared" si="319"/>
        <v>1+2.6130629528183i</v>
      </c>
      <c r="U510" s="4">
        <f t="shared" si="329"/>
        <v>2.7978738347880334</v>
      </c>
      <c r="V510" s="4">
        <f t="shared" si="330"/>
        <v>1.2052985260103752</v>
      </c>
      <c r="W510" t="str">
        <f t="shared" si="320"/>
        <v>1-2.71444979538764i</v>
      </c>
      <c r="X510" s="4">
        <f t="shared" si="331"/>
        <v>2.892790640831099</v>
      </c>
      <c r="Y510" s="4">
        <f t="shared" si="332"/>
        <v>-1.2178255476169568</v>
      </c>
      <c r="Z510" t="str">
        <f t="shared" si="321"/>
        <v>-43.2771821388121+11.7547556490868i</v>
      </c>
      <c r="AA510" s="4">
        <f t="shared" si="333"/>
        <v>44.845164446634108</v>
      </c>
      <c r="AB510" s="4">
        <f t="shared" si="334"/>
        <v>2.8763756530441906</v>
      </c>
      <c r="AC510" s="48" t="str">
        <f t="shared" si="335"/>
        <v>-0.000220315090820085+0.000853210831836268i</v>
      </c>
      <c r="AD510" s="20">
        <f t="shared" si="336"/>
        <v>-61.098543660271119</v>
      </c>
      <c r="AE510" s="44">
        <f t="shared" si="337"/>
        <v>104.4785825168902</v>
      </c>
      <c r="AF510" t="str">
        <f t="shared" si="322"/>
        <v>-0.979317078436135</v>
      </c>
      <c r="AG510" t="str">
        <f t="shared" si="338"/>
        <v>5226125.90563659i</v>
      </c>
      <c r="AH510">
        <f t="shared" si="339"/>
        <v>5226125.90563659</v>
      </c>
      <c r="AI510">
        <f t="shared" si="340"/>
        <v>1.5707963267948966</v>
      </c>
      <c r="AJ510" t="str">
        <f t="shared" si="323"/>
        <v>-422766.969234819+5121.18529745146i</v>
      </c>
      <c r="AK510">
        <f t="shared" si="341"/>
        <v>422797.98582165129</v>
      </c>
      <c r="AL510">
        <f t="shared" si="342"/>
        <v>3.1294797516758068</v>
      </c>
      <c r="AM510" t="str">
        <f t="shared" si="324"/>
        <v>1+727058.635992162i</v>
      </c>
      <c r="AN510">
        <f t="shared" si="343"/>
        <v>727058.63599284983</v>
      </c>
      <c r="AO510">
        <f t="shared" si="344"/>
        <v>1.570794951390011</v>
      </c>
      <c r="AP510" t="str">
        <f t="shared" si="325"/>
        <v>1+4912.55835129841i</v>
      </c>
      <c r="AQ510">
        <f t="shared" si="345"/>
        <v>4912.5584530783717</v>
      </c>
      <c r="AR510">
        <f t="shared" si="346"/>
        <v>1.570592766874652</v>
      </c>
      <c r="AS510" s="42" t="str">
        <f t="shared" si="347"/>
        <v>-0.0000188501609241456+0.0015829125647005i</v>
      </c>
      <c r="AT510">
        <f t="shared" si="348"/>
        <v>-56.010245629069587</v>
      </c>
      <c r="AU510" s="44">
        <f t="shared" si="349"/>
        <v>90.682276228124238</v>
      </c>
      <c r="AV510" s="42" t="str">
        <f t="shared" si="326"/>
        <v>-1.34640517113622E-06-3.64822686934582E-07i</v>
      </c>
      <c r="AW510" s="20">
        <f t="shared" si="350"/>
        <v>-117.10878928934068</v>
      </c>
      <c r="AX510" s="44">
        <f t="shared" si="351"/>
        <v>-164.83914125498558</v>
      </c>
    </row>
    <row r="511" spans="14:50" x14ac:dyDescent="0.3">
      <c r="N511" s="8">
        <v>93</v>
      </c>
      <c r="O511" s="35">
        <f t="shared" si="352"/>
        <v>851138.03820237669</v>
      </c>
      <c r="P511" s="34" t="str">
        <f t="shared" si="317"/>
        <v>545.10556621881</v>
      </c>
      <c r="Q511" s="4" t="str">
        <f t="shared" si="318"/>
        <v>1+114245.028249991i</v>
      </c>
      <c r="R511" s="4">
        <f t="shared" si="327"/>
        <v>114245.02825436754</v>
      </c>
      <c r="S511" s="4">
        <f t="shared" si="328"/>
        <v>1.5707875736787629</v>
      </c>
      <c r="T511" s="4" t="str">
        <f t="shared" si="319"/>
        <v>1+2.67392900800741i</v>
      </c>
      <c r="U511" s="4">
        <f t="shared" si="329"/>
        <v>2.8548023293852571</v>
      </c>
      <c r="V511" s="4">
        <f t="shared" si="330"/>
        <v>1.2129188807585864</v>
      </c>
      <c r="W511" t="str">
        <f t="shared" si="320"/>
        <v>1-2.77767745351809i</v>
      </c>
      <c r="X511" s="4">
        <f t="shared" si="331"/>
        <v>2.9522012187150688</v>
      </c>
      <c r="Y511" s="4">
        <f t="shared" si="332"/>
        <v>-1.225229235554737</v>
      </c>
      <c r="Z511" t="str">
        <f t="shared" si="321"/>
        <v>-45.3639014447995+12.0285590816831i</v>
      </c>
      <c r="AA511" s="4">
        <f t="shared" si="333"/>
        <v>46.931543634053021</v>
      </c>
      <c r="AB511" s="4">
        <f t="shared" si="334"/>
        <v>2.8824001675272677</v>
      </c>
      <c r="AC511" s="48" t="str">
        <f t="shared" si="335"/>
        <v>-0.000209403744838546+0.000830859396831859i</v>
      </c>
      <c r="AD511" s="20">
        <f t="shared" si="336"/>
        <v>-61.341990678746981</v>
      </c>
      <c r="AE511" s="44">
        <f t="shared" si="337"/>
        <v>104.14580567537017</v>
      </c>
      <c r="AF511" t="str">
        <f t="shared" si="322"/>
        <v>-0.979317078436135</v>
      </c>
      <c r="AG511" t="str">
        <f t="shared" si="338"/>
        <v>5347858.01601483i</v>
      </c>
      <c r="AH511">
        <f t="shared" si="339"/>
        <v>5347858.0160148302</v>
      </c>
      <c r="AI511">
        <f t="shared" si="340"/>
        <v>1.5707963267948966</v>
      </c>
      <c r="AJ511" t="str">
        <f t="shared" si="323"/>
        <v>-442691.409787283+5240.4730270533i</v>
      </c>
      <c r="AK511">
        <f t="shared" si="341"/>
        <v>442722.42642201827</v>
      </c>
      <c r="AL511">
        <f t="shared" si="342"/>
        <v>3.1297554501904017</v>
      </c>
      <c r="AM511" t="str">
        <f t="shared" si="324"/>
        <v>1+743994.007187983i</v>
      </c>
      <c r="AN511">
        <f t="shared" si="343"/>
        <v>743994.00718865509</v>
      </c>
      <c r="AO511">
        <f t="shared" si="344"/>
        <v>1.5707949826980485</v>
      </c>
      <c r="AP511" t="str">
        <f t="shared" si="325"/>
        <v>1+5026.98653505395i</v>
      </c>
      <c r="AQ511">
        <f t="shared" si="345"/>
        <v>5026.9866345171167</v>
      </c>
      <c r="AR511">
        <f t="shared" si="346"/>
        <v>1.5705974004640151</v>
      </c>
      <c r="AS511" s="42" t="str">
        <f t="shared" si="347"/>
        <v>-0.0000180018789340651+0.00154689095283928i</v>
      </c>
      <c r="AT511">
        <f t="shared" si="348"/>
        <v>-56.210217883989429</v>
      </c>
      <c r="AU511" s="44">
        <f t="shared" si="349"/>
        <v>90.666747145752865</v>
      </c>
      <c r="AV511" s="42" t="str">
        <f t="shared" si="326"/>
        <v>-1.28147922317778E-06-3.38881788654409E-07i</v>
      </c>
      <c r="AW511" s="20">
        <f t="shared" si="350"/>
        <v>-117.55220856273641</v>
      </c>
      <c r="AX511" s="44">
        <f t="shared" si="351"/>
        <v>-165.18744717887697</v>
      </c>
    </row>
    <row r="512" spans="14:50" x14ac:dyDescent="0.3">
      <c r="N512" s="8">
        <v>94</v>
      </c>
      <c r="O512" s="35">
        <f t="shared" si="352"/>
        <v>870963.58995608077</v>
      </c>
      <c r="P512" s="34" t="str">
        <f t="shared" si="317"/>
        <v>545.10556621881</v>
      </c>
      <c r="Q512" s="4" t="str">
        <f t="shared" si="318"/>
        <v>1+116906.136811132i</v>
      </c>
      <c r="R512" s="4">
        <f t="shared" si="327"/>
        <v>116906.13681540896</v>
      </c>
      <c r="S512" s="4">
        <f t="shared" si="328"/>
        <v>1.5707877729240114</v>
      </c>
      <c r="T512" s="4" t="str">
        <f t="shared" si="319"/>
        <v>1+2.73621281575022i</v>
      </c>
      <c r="U512" s="4">
        <f t="shared" si="329"/>
        <v>2.913221682789648</v>
      </c>
      <c r="V512" s="4">
        <f t="shared" si="330"/>
        <v>1.2204079809198669</v>
      </c>
      <c r="W512" t="str">
        <f t="shared" si="320"/>
        <v>1-2.84237787300132i</v>
      </c>
      <c r="X512" s="4">
        <f t="shared" si="331"/>
        <v>3.0131564799936146</v>
      </c>
      <c r="Y512" s="4">
        <f t="shared" si="332"/>
        <v>-1.2325027328954978</v>
      </c>
      <c r="Z512" t="str">
        <f t="shared" si="321"/>
        <v>-47.5489648018678+12.3087402155214i</v>
      </c>
      <c r="AA512" s="4">
        <f t="shared" si="333"/>
        <v>49.116281815936112</v>
      </c>
      <c r="AB512" s="4">
        <f t="shared" si="334"/>
        <v>2.8882884654612315</v>
      </c>
      <c r="AC512" s="48" t="str">
        <f t="shared" si="335"/>
        <v>-0.000199068657801252+0.000809195807904949i</v>
      </c>
      <c r="AD512" s="20">
        <f t="shared" si="336"/>
        <v>-61.583739107542627</v>
      </c>
      <c r="AE512" s="44">
        <f t="shared" si="337"/>
        <v>103.82077277099341</v>
      </c>
      <c r="AF512" t="str">
        <f t="shared" si="322"/>
        <v>-0.979317078436135</v>
      </c>
      <c r="AG512" t="str">
        <f t="shared" si="338"/>
        <v>5472425.63150043i</v>
      </c>
      <c r="AH512">
        <f t="shared" si="339"/>
        <v>5472425.6315004304</v>
      </c>
      <c r="AI512">
        <f t="shared" si="340"/>
        <v>1.5707963267948966</v>
      </c>
      <c r="AJ512" t="str">
        <f t="shared" si="323"/>
        <v>-463554.860293711+5362.53932481997i</v>
      </c>
      <c r="AK512">
        <f t="shared" si="341"/>
        <v>463585.87697419361</v>
      </c>
      <c r="AL512">
        <f t="shared" si="342"/>
        <v>3.1300248746954291</v>
      </c>
      <c r="AM512" t="str">
        <f t="shared" si="324"/>
        <v>1+761323.85385434i</v>
      </c>
      <c r="AN512">
        <f t="shared" si="343"/>
        <v>761323.85385499673</v>
      </c>
      <c r="AO512">
        <f t="shared" si="344"/>
        <v>1.5707950132934281</v>
      </c>
      <c r="AP512" t="str">
        <f t="shared" si="325"/>
        <v>1+5144.08009361042i</v>
      </c>
      <c r="AQ512">
        <f t="shared" si="345"/>
        <v>5144.0801908095273</v>
      </c>
      <c r="AR512">
        <f t="shared" si="346"/>
        <v>1.5706019285800155</v>
      </c>
      <c r="AS512" s="42" t="str">
        <f t="shared" si="347"/>
        <v>-0.0000171917658046944+0.00151168863383118i</v>
      </c>
      <c r="AT512">
        <f t="shared" si="348"/>
        <v>-56.410191387478044</v>
      </c>
      <c r="AU512" s="44">
        <f t="shared" si="349"/>
        <v>90.651571453639491</v>
      </c>
      <c r="AV512" s="42" t="str">
        <f t="shared" si="326"/>
        <v>-1.21982976360978E-06-3.14841332169824E-07i</v>
      </c>
      <c r="AW512" s="20">
        <f t="shared" si="350"/>
        <v>-117.99393049502065</v>
      </c>
      <c r="AX512" s="44">
        <f t="shared" si="351"/>
        <v>-165.52765577536712</v>
      </c>
    </row>
    <row r="513" spans="14:50" x14ac:dyDescent="0.3">
      <c r="N513" s="8">
        <v>95</v>
      </c>
      <c r="O513" s="35">
        <f t="shared" si="352"/>
        <v>891250.93813374708</v>
      </c>
      <c r="P513" s="34" t="str">
        <f t="shared" si="317"/>
        <v>545.10556621881</v>
      </c>
      <c r="Q513" s="4" t="str">
        <f t="shared" si="318"/>
        <v>1+119629.230553447i</v>
      </c>
      <c r="R513" s="4">
        <f t="shared" si="327"/>
        <v>119629.23055762659</v>
      </c>
      <c r="S513" s="4">
        <f t="shared" si="328"/>
        <v>1.5707879676338843</v>
      </c>
      <c r="T513" s="4" t="str">
        <f t="shared" si="319"/>
        <v>1+2.79994739974599i</v>
      </c>
      <c r="U513" s="4">
        <f t="shared" si="329"/>
        <v>2.9731642136525744</v>
      </c>
      <c r="V513" s="4">
        <f t="shared" si="330"/>
        <v>1.2277664360200777</v>
      </c>
      <c r="W513" t="str">
        <f t="shared" si="320"/>
        <v>1-2.90858535885613i</v>
      </c>
      <c r="X513" s="4">
        <f t="shared" si="331"/>
        <v>3.0756899697063487</v>
      </c>
      <c r="Y513" s="4">
        <f t="shared" si="332"/>
        <v>-1.2396468168270125</v>
      </c>
      <c r="Z513" t="str">
        <f t="shared" si="321"/>
        <v>-49.8370070223542+12.5954476063473i</v>
      </c>
      <c r="AA513" s="4">
        <f t="shared" si="333"/>
        <v>51.404013163861258</v>
      </c>
      <c r="AB513" s="4">
        <f t="shared" si="334"/>
        <v>2.89404357775526</v>
      </c>
      <c r="AC513" s="48" t="str">
        <f t="shared" si="335"/>
        <v>-0.000189276710835729+0.00078819421528434i</v>
      </c>
      <c r="AD513" s="20">
        <f t="shared" si="336"/>
        <v>-61.823845312990862</v>
      </c>
      <c r="AE513" s="44">
        <f t="shared" si="337"/>
        <v>103.50330053308345</v>
      </c>
      <c r="AF513" t="str">
        <f t="shared" si="322"/>
        <v>-0.979317078436135</v>
      </c>
      <c r="AG513" t="str">
        <f t="shared" si="338"/>
        <v>5599894.79949198i</v>
      </c>
      <c r="AH513">
        <f t="shared" si="339"/>
        <v>5599894.7994919801</v>
      </c>
      <c r="AI513">
        <f t="shared" si="340"/>
        <v>1.5707963267948966</v>
      </c>
      <c r="AJ513" t="str">
        <f t="shared" si="323"/>
        <v>-485401.57492984+5487.44891191824i</v>
      </c>
      <c r="AK513">
        <f t="shared" si="341"/>
        <v>485432.59165401116</v>
      </c>
      <c r="AL513">
        <f t="shared" si="342"/>
        <v>3.1302881678943506</v>
      </c>
      <c r="AM513" t="str">
        <f t="shared" si="324"/>
        <v>1+779057.364505324i</v>
      </c>
      <c r="AN513">
        <f t="shared" si="343"/>
        <v>779057.36450596584</v>
      </c>
      <c r="AO513">
        <f t="shared" si="344"/>
        <v>1.5707950431923718</v>
      </c>
      <c r="AP513" t="str">
        <f t="shared" si="325"/>
        <v>1+5263.90111152247i</v>
      </c>
      <c r="AQ513">
        <f t="shared" si="345"/>
        <v>5263.9012065090556</v>
      </c>
      <c r="AR513">
        <f t="shared" si="346"/>
        <v>1.5706063536235197</v>
      </c>
      <c r="AS513" s="42" t="str">
        <f t="shared" si="347"/>
        <v>-0.0000164181045444224+0.00147728700227614i</v>
      </c>
      <c r="AT513">
        <f t="shared" si="348"/>
        <v>-56.610166083355217</v>
      </c>
      <c r="AU513" s="44">
        <f t="shared" si="349"/>
        <v>90.636741113967005</v>
      </c>
      <c r="AV513" s="42" t="str">
        <f t="shared" si="326"/>
        <v>-1.16128150468247E-06-2.92556679779049E-07i</v>
      </c>
      <c r="AW513" s="20">
        <f t="shared" si="350"/>
        <v>-118.43401139634609</v>
      </c>
      <c r="AX513" s="44">
        <f t="shared" si="351"/>
        <v>-165.85995835294952</v>
      </c>
    </row>
    <row r="514" spans="14:50" x14ac:dyDescent="0.3">
      <c r="N514" s="8">
        <v>96</v>
      </c>
      <c r="O514" s="35">
        <f t="shared" si="352"/>
        <v>912010.83935591124</v>
      </c>
      <c r="P514" s="34" t="str">
        <f t="shared" si="317"/>
        <v>545.10556621881</v>
      </c>
      <c r="Q514" s="4" t="str">
        <f t="shared" si="318"/>
        <v>1+122415.753297281i</v>
      </c>
      <c r="R514" s="4">
        <f t="shared" si="327"/>
        <v>122415.75330136545</v>
      </c>
      <c r="S514" s="4">
        <f t="shared" si="328"/>
        <v>1.5707881579116194</v>
      </c>
      <c r="T514" s="4" t="str">
        <f t="shared" si="319"/>
        <v>1+2.86516655291479i</v>
      </c>
      <c r="U514" s="4">
        <f t="shared" si="329"/>
        <v>3.0346629756764787</v>
      </c>
      <c r="V514" s="4">
        <f t="shared" si="330"/>
        <v>1.2349949591438081</v>
      </c>
      <c r="W514" t="str">
        <f t="shared" si="320"/>
        <v>1-2.97633501516788i</v>
      </c>
      <c r="X514" s="4">
        <f t="shared" si="331"/>
        <v>3.1398360024871339</v>
      </c>
      <c r="Y514" s="4">
        <f t="shared" si="332"/>
        <v>-1.2466623573518645</v>
      </c>
      <c r="Z514" t="str">
        <f t="shared" si="321"/>
        <v>-52.2328813505712+12.8888332702146i</v>
      </c>
      <c r="AA514" s="4">
        <f t="shared" si="333"/>
        <v>53.799590307457166</v>
      </c>
      <c r="AB514" s="4">
        <f t="shared" si="334"/>
        <v>2.8996684718758323</v>
      </c>
      <c r="AC514" s="48" t="str">
        <f t="shared" si="335"/>
        <v>-0.000179996868006703+0.000767829851783763i</v>
      </c>
      <c r="AD514" s="20">
        <f t="shared" si="336"/>
        <v>-62.062364601583099</v>
      </c>
      <c r="AE514" s="44">
        <f t="shared" si="337"/>
        <v>103.19320994168093</v>
      </c>
      <c r="AF514" t="str">
        <f t="shared" si="322"/>
        <v>-0.979317078436135</v>
      </c>
      <c r="AG514" t="str">
        <f t="shared" si="338"/>
        <v>5730333.10582958i</v>
      </c>
      <c r="AH514">
        <f t="shared" si="339"/>
        <v>5730333.1058295798</v>
      </c>
      <c r="AI514">
        <f t="shared" si="340"/>
        <v>1.5707963267948966</v>
      </c>
      <c r="AJ514" t="str">
        <f t="shared" si="323"/>
        <v>-508277.893506452+5615.26801706459i</v>
      </c>
      <c r="AK514">
        <f t="shared" si="341"/>
        <v>508308.91027234576</v>
      </c>
      <c r="AL514">
        <f t="shared" si="342"/>
        <v>3.1305454692496695</v>
      </c>
      <c r="AM514" t="str">
        <f t="shared" si="324"/>
        <v>1+797203.941683011i</v>
      </c>
      <c r="AN514">
        <f t="shared" si="343"/>
        <v>797203.94168363814</v>
      </c>
      <c r="AO514">
        <f t="shared" si="344"/>
        <v>1.5707950724107325</v>
      </c>
      <c r="AP514" t="str">
        <f t="shared" si="325"/>
        <v>1+5386.51311947982i</v>
      </c>
      <c r="AQ514">
        <f t="shared" si="345"/>
        <v>5386.5132123042467</v>
      </c>
      <c r="AR514">
        <f t="shared" si="346"/>
        <v>1.5706106779407436</v>
      </c>
      <c r="AS514" s="42" t="str">
        <f t="shared" si="347"/>
        <v>-0.0000156792553606929+0.00144366787335047i</v>
      </c>
      <c r="AT514">
        <f t="shared" si="348"/>
        <v>-56.810141917967869</v>
      </c>
      <c r="AU514" s="44">
        <f t="shared" si="349"/>
        <v>90.622248271459199</v>
      </c>
      <c r="AV514" s="42" t="str">
        <f t="shared" si="326"/>
        <v>-1.10566907236207E-06-2.71894695964663E-07i</v>
      </c>
      <c r="AW514" s="20">
        <f t="shared" si="350"/>
        <v>-118.87250651955097</v>
      </c>
      <c r="AX514" s="44">
        <f t="shared" si="351"/>
        <v>-166.18454178685985</v>
      </c>
    </row>
    <row r="515" spans="14:50" x14ac:dyDescent="0.3">
      <c r="N515" s="8">
        <v>97</v>
      </c>
      <c r="O515" s="35">
        <f t="shared" si="352"/>
        <v>933254.30079699249</v>
      </c>
      <c r="P515" s="34" t="str">
        <f t="shared" si="317"/>
        <v>545.10556621881</v>
      </c>
      <c r="Q515" s="4" t="str">
        <f t="shared" si="318"/>
        <v>1+125267.182493877i</v>
      </c>
      <c r="R515" s="4">
        <f t="shared" si="327"/>
        <v>125267.18249786846</v>
      </c>
      <c r="S515" s="4">
        <f t="shared" si="328"/>
        <v>1.5707883438581045</v>
      </c>
      <c r="T515" s="4" t="str">
        <f t="shared" si="319"/>
        <v>1+2.93190485531491i</v>
      </c>
      <c r="U515" s="4">
        <f t="shared" si="329"/>
        <v>3.0977517784062591</v>
      </c>
      <c r="V515" s="4">
        <f t="shared" si="330"/>
        <v>1.242094360391603</v>
      </c>
      <c r="W515" t="str">
        <f t="shared" si="320"/>
        <v>1-3.04566276370112i</v>
      </c>
      <c r="X515" s="4">
        <f t="shared" si="331"/>
        <v>3.2056296838835805</v>
      </c>
      <c r="Y515" s="4">
        <f t="shared" si="332"/>
        <v>-1.253550310979509</v>
      </c>
      <c r="Z515" t="str">
        <f t="shared" si="321"/>
        <v>-54.7416697571894+13.1890527640857i</v>
      </c>
      <c r="AA515" s="4">
        <f t="shared" si="333"/>
        <v>56.308094627850991</v>
      </c>
      <c r="AB515" s="4">
        <f t="shared" si="334"/>
        <v>2.9051660528275769</v>
      </c>
      <c r="AC515" s="48" t="str">
        <f t="shared" si="335"/>
        <v>-0.000171200035493795+0.000748078994642482i</v>
      </c>
      <c r="AD515" s="20">
        <f t="shared" si="336"/>
        <v>-62.299351169878889</v>
      </c>
      <c r="AE515" s="44">
        <f t="shared" si="337"/>
        <v>102.89032615788831</v>
      </c>
      <c r="AF515" t="str">
        <f t="shared" si="322"/>
        <v>-0.979317078436135</v>
      </c>
      <c r="AG515" t="str">
        <f t="shared" si="338"/>
        <v>5863809.71062982i</v>
      </c>
      <c r="AH515">
        <f t="shared" si="339"/>
        <v>5863809.7106298199</v>
      </c>
      <c r="AI515">
        <f t="shared" si="340"/>
        <v>1.5707963267948966</v>
      </c>
      <c r="AJ515" t="str">
        <f t="shared" si="323"/>
        <v>-532232.339762329+5746.06441164045i</v>
      </c>
      <c r="AK515">
        <f t="shared" si="341"/>
        <v>532263.35656806768</v>
      </c>
      <c r="AL515">
        <f t="shared" si="342"/>
        <v>3.1307969150562109</v>
      </c>
      <c r="AM515" t="str">
        <f t="shared" si="324"/>
        <v>1+815773.206942821i</v>
      </c>
      <c r="AN515">
        <f t="shared" si="343"/>
        <v>815773.20694343396</v>
      </c>
      <c r="AO515">
        <f t="shared" si="344"/>
        <v>1.570795100964002</v>
      </c>
      <c r="AP515" t="str">
        <f t="shared" si="325"/>
        <v>1+5511.98112799204i</v>
      </c>
      <c r="AQ515">
        <f t="shared" si="345"/>
        <v>5511.9812187035241</v>
      </c>
      <c r="AR515">
        <f t="shared" si="346"/>
        <v>1.5706149038244968</v>
      </c>
      <c r="AS515" s="42" t="str">
        <f t="shared" si="347"/>
        <v>-0.0000149736521923611+0.00141081347342904i</v>
      </c>
      <c r="AT515">
        <f t="shared" si="348"/>
        <v>-57.010118840076593</v>
      </c>
      <c r="AU515" s="44">
        <f t="shared" si="349"/>
        <v>90.608085249253719</v>
      </c>
      <c r="AV515" s="42" t="str">
        <f t="shared" si="326"/>
        <v>-1.05283643504406E-06-2.52732791404364E-07i</v>
      </c>
      <c r="AW515" s="20">
        <f t="shared" si="350"/>
        <v>-119.30947000995548</v>
      </c>
      <c r="AX515" s="44">
        <f t="shared" si="351"/>
        <v>-166.50158859285793</v>
      </c>
    </row>
    <row r="516" spans="14:50" x14ac:dyDescent="0.3">
      <c r="N516" s="8">
        <v>98</v>
      </c>
      <c r="O516" s="35">
        <f t="shared" si="352"/>
        <v>954992.58602143743</v>
      </c>
      <c r="P516" s="34" t="str">
        <f t="shared" si="317"/>
        <v>545.10556621881</v>
      </c>
      <c r="Q516" s="4" t="str">
        <f t="shared" si="318"/>
        <v>1+128185.030008739i</v>
      </c>
      <c r="R516" s="4">
        <f t="shared" si="327"/>
        <v>128185.0300126396</v>
      </c>
      <c r="S516" s="4">
        <f t="shared" si="328"/>
        <v>1.5707885255719307</v>
      </c>
      <c r="T516" s="4" t="str">
        <f t="shared" si="319"/>
        <v>1+3.00019769247766i</v>
      </c>
      <c r="U516" s="4">
        <f t="shared" si="329"/>
        <v>3.1624652083379945</v>
      </c>
      <c r="V516" s="4">
        <f t="shared" si="330"/>
        <v>1.249065540473618</v>
      </c>
      <c r="W516" t="str">
        <f t="shared" si="320"/>
        <v>1-3.11660536294579i</v>
      </c>
      <c r="X516" s="4">
        <f t="shared" si="331"/>
        <v>3.2731069320055006</v>
      </c>
      <c r="Y516" s="4">
        <f t="shared" si="332"/>
        <v>-1.2603117145814298</v>
      </c>
      <c r="Z516" t="str">
        <f t="shared" si="321"/>
        <v>-57.3686937187784+13.49626526831i</v>
      </c>
      <c r="AA516" s="4">
        <f t="shared" si="333"/>
        <v>58.934847036295892</v>
      </c>
      <c r="AB516" s="4">
        <f t="shared" si="334"/>
        <v>2.9105391641521763</v>
      </c>
      <c r="AC516" s="48" t="str">
        <f t="shared" si="335"/>
        <v>-0.000162858930611359+0.000728918927135121i</v>
      </c>
      <c r="AD516" s="20">
        <f t="shared" si="336"/>
        <v>-62.534858061893111</v>
      </c>
      <c r="AE516" s="44">
        <f t="shared" si="337"/>
        <v>102.59447845165003</v>
      </c>
      <c r="AF516" t="str">
        <f t="shared" si="322"/>
        <v>-0.979317078436135</v>
      </c>
      <c r="AG516" t="str">
        <f t="shared" si="338"/>
        <v>6000395.38495533i</v>
      </c>
      <c r="AH516">
        <f t="shared" si="339"/>
        <v>6000395.3849553298</v>
      </c>
      <c r="AI516">
        <f t="shared" si="340"/>
        <v>1.5707963267948966</v>
      </c>
      <c r="AJ516" t="str">
        <f t="shared" si="323"/>
        <v>-557315.724289607+5879.9074456255i</v>
      </c>
      <c r="AK516">
        <f t="shared" si="341"/>
        <v>557346.74113339745</v>
      </c>
      <c r="AL516">
        <f t="shared" si="342"/>
        <v>3.1310426385127705</v>
      </c>
      <c r="AM516" t="str">
        <f t="shared" si="324"/>
        <v>1+834775.005954986i</v>
      </c>
      <c r="AN516">
        <f t="shared" si="343"/>
        <v>834775.00595558505</v>
      </c>
      <c r="AO516">
        <f t="shared" si="344"/>
        <v>1.5707951288673199</v>
      </c>
      <c r="AP516" t="str">
        <f t="shared" si="325"/>
        <v>1+5640.37166185802i</v>
      </c>
      <c r="AQ516">
        <f t="shared" si="345"/>
        <v>5640.3717505046598</v>
      </c>
      <c r="AR516">
        <f t="shared" si="346"/>
        <v>1.570619033515398</v>
      </c>
      <c r="AS516" s="42" t="str">
        <f t="shared" si="347"/>
        <v>-0.0000142997993975137+0.00137870643090792i</v>
      </c>
      <c r="AT516">
        <f t="shared" si="348"/>
        <v>-57.210096800747088</v>
      </c>
      <c r="AU516" s="44">
        <f t="shared" si="349"/>
        <v>90.594244544867166</v>
      </c>
      <c r="AV516" s="42" t="str">
        <f t="shared" si="326"/>
        <v>-1.00263636241386E-06-2.34958049399751E-07i</v>
      </c>
      <c r="AW516" s="20">
        <f t="shared" si="350"/>
        <v>-119.74495486264017</v>
      </c>
      <c r="AX516" s="44">
        <f t="shared" si="351"/>
        <v>-166.81127700348281</v>
      </c>
    </row>
    <row r="517" spans="14:50" x14ac:dyDescent="0.3">
      <c r="N517" s="8">
        <v>99</v>
      </c>
      <c r="O517" s="35">
        <f t="shared" si="352"/>
        <v>977237.22095581202</v>
      </c>
      <c r="P517" s="34" t="str">
        <f t="shared" si="317"/>
        <v>545.10556621881</v>
      </c>
      <c r="Q517" s="4" t="str">
        <f t="shared" si="318"/>
        <v>1+131170.84292324i</v>
      </c>
      <c r="R517" s="4">
        <f t="shared" si="327"/>
        <v>131170.84292705182</v>
      </c>
      <c r="S517" s="4">
        <f t="shared" si="328"/>
        <v>1.5707887031494454</v>
      </c>
      <c r="T517" s="4" t="str">
        <f t="shared" si="319"/>
        <v>1+3.07008127416928i</v>
      </c>
      <c r="U517" s="4">
        <f t="shared" si="329"/>
        <v>3.2288386503516815</v>
      </c>
      <c r="V517" s="4">
        <f t="shared" si="330"/>
        <v>1.2559094844566323</v>
      </c>
      <c r="W517" t="str">
        <f t="shared" si="320"/>
        <v>1-3.18920042760704i</v>
      </c>
      <c r="X517" s="4">
        <f t="shared" si="331"/>
        <v>3.3423044995106186</v>
      </c>
      <c r="Y517" s="4">
        <f t="shared" si="332"/>
        <v>-1.2669476794223686</v>
      </c>
      <c r="Z517" t="str">
        <f t="shared" si="321"/>
        <v>-60.1195255053722+13.8106336710237i</v>
      </c>
      <c r="AA517" s="4">
        <f t="shared" si="333"/>
        <v>61.685419260845684</v>
      </c>
      <c r="AB517" s="4">
        <f t="shared" si="334"/>
        <v>2.9157905889413058</v>
      </c>
      <c r="AC517" s="48" t="str">
        <f t="shared" si="335"/>
        <v>-0.000154947959999225+0.00071032790022977i</v>
      </c>
      <c r="AD517" s="20">
        <f t="shared" si="336"/>
        <v>-62.768937133492116</v>
      </c>
      <c r="AE517" s="44">
        <f t="shared" si="337"/>
        <v>102.30550012742806</v>
      </c>
      <c r="AF517" t="str">
        <f t="shared" si="322"/>
        <v>-0.979317078436135</v>
      </c>
      <c r="AG517" t="str">
        <f t="shared" si="338"/>
        <v>6140162.54833857i</v>
      </c>
      <c r="AH517">
        <f t="shared" si="339"/>
        <v>6140162.5483385697</v>
      </c>
      <c r="AI517">
        <f t="shared" si="340"/>
        <v>1.5707963267948966</v>
      </c>
      <c r="AJ517" t="str">
        <f t="shared" si="323"/>
        <v>-583581.252309861+6016.868084368i</v>
      </c>
      <c r="AK517">
        <f t="shared" si="341"/>
        <v>583612.26918999082</v>
      </c>
      <c r="AL517">
        <f t="shared" si="342"/>
        <v>3.131282769792159</v>
      </c>
      <c r="AM517" t="str">
        <f t="shared" si="324"/>
        <v>1+854219.413724862i</v>
      </c>
      <c r="AN517">
        <f t="shared" si="343"/>
        <v>854219.41372544738</v>
      </c>
      <c r="AO517">
        <f t="shared" si="344"/>
        <v>1.5707951561354807</v>
      </c>
      <c r="AP517" t="str">
        <f t="shared" si="325"/>
        <v>1+5771.75279543827i</v>
      </c>
      <c r="AQ517">
        <f t="shared" si="345"/>
        <v>5771.7528820670659</v>
      </c>
      <c r="AR517">
        <f t="shared" si="346"/>
        <v>1.5706230692030634</v>
      </c>
      <c r="AS517" s="42" t="str">
        <f t="shared" si="347"/>
        <v>-0.0000136562685898111+0.00134732976722375i</v>
      </c>
      <c r="AT517">
        <f t="shared" si="348"/>
        <v>-57.410075753246389</v>
      </c>
      <c r="AU517" s="44">
        <f t="shared" si="349"/>
        <v>90.580718826250319</v>
      </c>
      <c r="AV517" s="42" t="str">
        <f t="shared" si="326"/>
        <v>-9.54929913509918E-07-2.18466427469925E-07i</v>
      </c>
      <c r="AW517" s="20">
        <f t="shared" si="350"/>
        <v>-120.17901288673852</v>
      </c>
      <c r="AX517" s="44">
        <f t="shared" si="351"/>
        <v>-167.11378104632163</v>
      </c>
    </row>
    <row r="518" spans="14:50" x14ac:dyDescent="0.3">
      <c r="N518" s="8">
        <v>100</v>
      </c>
      <c r="O518" s="35">
        <f t="shared" si="352"/>
        <v>1000000</v>
      </c>
      <c r="P518" s="34" t="str">
        <f t="shared" si="317"/>
        <v>545.10556621881</v>
      </c>
      <c r="Q518" s="4" t="str">
        <f t="shared" si="318"/>
        <v>1+134226.204354911i</v>
      </c>
      <c r="R518" s="4">
        <f t="shared" si="327"/>
        <v>134226.20435863605</v>
      </c>
      <c r="S518" s="4">
        <f t="shared" si="328"/>
        <v>1.5707888766848024</v>
      </c>
      <c r="T518" s="4" t="str">
        <f t="shared" si="319"/>
        <v>1+3.14159265358979i</v>
      </c>
      <c r="U518" s="4">
        <f t="shared" si="329"/>
        <v>3.296908309475612</v>
      </c>
      <c r="V518" s="4">
        <f t="shared" si="330"/>
        <v>1.2626272556789113</v>
      </c>
      <c r="W518" t="str">
        <f t="shared" si="320"/>
        <v>1-3.26348644854907i</v>
      </c>
      <c r="X518" s="4">
        <f t="shared" si="331"/>
        <v>3.4132599959369374</v>
      </c>
      <c r="Y518" s="4">
        <f t="shared" si="332"/>
        <v>-1.2734593853784124</v>
      </c>
      <c r="Z518" t="str">
        <f t="shared" si="321"/>
        <v>-63.0000000000002+14.1323246545152i</v>
      </c>
      <c r="AA518" s="4">
        <f t="shared" si="333"/>
        <v>64.565645665017882</v>
      </c>
      <c r="AB518" s="4">
        <f t="shared" si="334"/>
        <v>2.9209230508599817</v>
      </c>
      <c r="AC518" s="48" t="str">
        <f t="shared" si="335"/>
        <v>-0.000147443106353453+0.000692285094529607i</v>
      </c>
      <c r="AD518" s="20">
        <f t="shared" si="336"/>
        <v>-63.001639023335386</v>
      </c>
      <c r="AE518" s="44">
        <f t="shared" si="337"/>
        <v>102.02322844819231</v>
      </c>
      <c r="AF518" t="str">
        <f t="shared" si="322"/>
        <v>-0.979317078436135</v>
      </c>
      <c r="AG518" t="str">
        <f t="shared" si="338"/>
        <v>6283185.30717959i</v>
      </c>
      <c r="AH518">
        <f t="shared" si="339"/>
        <v>6283185.3071795898</v>
      </c>
      <c r="AI518">
        <f t="shared" si="340"/>
        <v>1.5707963267948966</v>
      </c>
      <c r="AJ518" t="str">
        <f t="shared" si="323"/>
        <v>-611084.636529498+6157.01894621149i</v>
      </c>
      <c r="AK518">
        <f t="shared" si="341"/>
        <v>611115.65344433195</v>
      </c>
      <c r="AL518">
        <f t="shared" si="342"/>
        <v>3.1315174361096827</v>
      </c>
      <c r="AM518" t="str">
        <f t="shared" si="324"/>
        <v>1+874116.739934825i</v>
      </c>
      <c r="AN518">
        <f t="shared" si="343"/>
        <v>874116.73993539694</v>
      </c>
      <c r="AO518">
        <f t="shared" si="344"/>
        <v>1.5707951827829423</v>
      </c>
      <c r="AP518" t="str">
        <f t="shared" si="325"/>
        <v>1+5906.19418874883i</v>
      </c>
      <c r="AQ518">
        <f t="shared" si="345"/>
        <v>5906.1942734057138</v>
      </c>
      <c r="AR518">
        <f t="shared" si="346"/>
        <v>1.5706270130272679</v>
      </c>
      <c r="AS518" s="42" t="str">
        <f t="shared" si="347"/>
        <v>-0.000013041695616712+0.00131666688806614i</v>
      </c>
      <c r="AT518">
        <f t="shared" si="348"/>
        <v>-57.610055652944006</v>
      </c>
      <c r="AU518" s="44">
        <f t="shared" si="349"/>
        <v>90.567500927931476</v>
      </c>
      <c r="AV518" s="42" t="str">
        <f t="shared" si="326"/>
        <v>-9.09585952955027E-07-2.03162027492048E-07i</v>
      </c>
      <c r="AW518" s="20">
        <f t="shared" si="350"/>
        <v>-120.6116946762794</v>
      </c>
      <c r="AX518" s="44">
        <f t="shared" si="351"/>
        <v>-167.40927062387618</v>
      </c>
    </row>
    <row r="519" spans="14:50" x14ac:dyDescent="0.3">
      <c r="N519" s="8">
        <v>1</v>
      </c>
      <c r="O519" s="35">
        <f>10^(6+(N519/100))</f>
        <v>1023292.9922807553</v>
      </c>
      <c r="P519" s="34" t="str">
        <f t="shared" si="317"/>
        <v>545.10556621881</v>
      </c>
      <c r="Q519" s="4" t="str">
        <f t="shared" si="318"/>
        <v>1+137352.734296825i</v>
      </c>
      <c r="R519" s="4">
        <f t="shared" si="327"/>
        <v>137352.73430046524</v>
      </c>
      <c r="S519" s="4">
        <f t="shared" si="328"/>
        <v>1.5707890462700123</v>
      </c>
      <c r="T519" s="4" t="str">
        <f t="shared" si="319"/>
        <v>1+3.21476974701914i</v>
      </c>
      <c r="U519" s="4">
        <f t="shared" si="329"/>
        <v>3.3667112329912561</v>
      </c>
      <c r="V519" s="4">
        <f t="shared" si="330"/>
        <v>1.2692199898451306</v>
      </c>
      <c r="W519" t="str">
        <f t="shared" si="320"/>
        <v>1-3.33950281320347i</v>
      </c>
      <c r="X519" s="4">
        <f t="shared" si="331"/>
        <v>3.4860119103918579</v>
      </c>
      <c r="Y519" s="4">
        <f t="shared" si="332"/>
        <v>-1.2798480753506476</v>
      </c>
      <c r="Z519" t="str">
        <f t="shared" si="321"/>
        <v>-66.0162270752579+14.4615087836019i</v>
      </c>
      <c r="AA519" s="4">
        <f t="shared" si="333"/>
        <v>67.581635623519858</v>
      </c>
      <c r="AB519" s="4">
        <f t="shared" si="334"/>
        <v>2.9259392151770838</v>
      </c>
      <c r="AC519" s="48" t="str">
        <f t="shared" si="335"/>
        <v>-0.000140321823105102+0.000674770582694685i</v>
      </c>
      <c r="AD519" s="20">
        <f t="shared" si="336"/>
        <v>-63.233013129906169</v>
      </c>
      <c r="AE519" s="44">
        <f t="shared" si="337"/>
        <v>101.7475045581109</v>
      </c>
      <c r="AF519" t="str">
        <f t="shared" si="322"/>
        <v>-0.979317078436135</v>
      </c>
      <c r="AG519" t="str">
        <f t="shared" si="338"/>
        <v>6429539.49403828i</v>
      </c>
      <c r="AH519">
        <f t="shared" si="339"/>
        <v>6429539.4940382801</v>
      </c>
      <c r="AI519">
        <f t="shared" si="340"/>
        <v>1.5707963267948966</v>
      </c>
      <c r="AJ519" t="str">
        <f t="shared" si="323"/>
        <v>-639884.215313894+6300.43434099807i</v>
      </c>
      <c r="AK519">
        <f t="shared" si="341"/>
        <v>639915.23226186994</v>
      </c>
      <c r="AL519">
        <f t="shared" si="342"/>
        <v>3.1317467617900911</v>
      </c>
      <c r="AM519" t="str">
        <f t="shared" si="324"/>
        <v>1+894477.534410606i</v>
      </c>
      <c r="AN519">
        <f t="shared" si="343"/>
        <v>894477.53441116493</v>
      </c>
      <c r="AO519">
        <f t="shared" si="344"/>
        <v>1.5707952088238335</v>
      </c>
      <c r="AP519" t="str">
        <f t="shared" si="325"/>
        <v>1+6043.767124396i</v>
      </c>
      <c r="AQ519">
        <f t="shared" si="345"/>
        <v>6043.7672071258594</v>
      </c>
      <c r="AR519">
        <f t="shared" si="346"/>
        <v>1.5706308670790783</v>
      </c>
      <c r="AS519" s="42" t="str">
        <f t="shared" si="347"/>
        <v>-0.0000124547776732417+0.0012867015747795i</v>
      </c>
      <c r="AT519">
        <f t="shared" si="348"/>
        <v>-57.810036457217429</v>
      </c>
      <c r="AU519" s="44">
        <f t="shared" si="349"/>
        <v>90.554583847246036</v>
      </c>
      <c r="AV519" s="42" t="str">
        <f t="shared" si="326"/>
        <v>-8.66480694258654E-07-1.88956428353171E-07i</v>
      </c>
      <c r="AW519" s="20">
        <f t="shared" si="350"/>
        <v>-121.0430495871236</v>
      </c>
      <c r="AX519" s="44">
        <f t="shared" si="351"/>
        <v>-167.69791159464305</v>
      </c>
    </row>
    <row r="520" spans="14:50" x14ac:dyDescent="0.3">
      <c r="N520" s="8">
        <v>2</v>
      </c>
      <c r="O520" s="35">
        <f t="shared" ref="O520:O560" si="353">10^(6+(N520/100))</f>
        <v>1047128.5480509007</v>
      </c>
      <c r="P520" s="34" t="str">
        <f t="shared" si="317"/>
        <v>545.10556621881</v>
      </c>
      <c r="Q520" s="4" t="str">
        <f t="shared" si="318"/>
        <v>1+140552.090476542i</v>
      </c>
      <c r="R520" s="4">
        <f t="shared" si="327"/>
        <v>140552.0904800994</v>
      </c>
      <c r="S520" s="4">
        <f t="shared" si="328"/>
        <v>1.5707892119949916</v>
      </c>
      <c r="T520" s="4" t="str">
        <f t="shared" si="319"/>
        <v>1+3.28965135392085i</v>
      </c>
      <c r="U520" s="4">
        <f t="shared" si="329"/>
        <v>3.4382853328880785</v>
      </c>
      <c r="V520" s="4">
        <f t="shared" si="330"/>
        <v>1.2756888893113916</v>
      </c>
      <c r="W520" t="str">
        <f t="shared" si="320"/>
        <v>1-3.41728982645297i</v>
      </c>
      <c r="X520" s="4">
        <f t="shared" si="331"/>
        <v>3.5605996346091722</v>
      </c>
      <c r="Y520" s="4">
        <f t="shared" si="332"/>
        <v>-1.2861150498812095</v>
      </c>
      <c r="Z520" t="str">
        <f t="shared" si="321"/>
        <v>-69.1746045531641+14.7983605960664i</v>
      </c>
      <c r="AA520" s="4">
        <f t="shared" si="333"/>
        <v>70.739786481285364</v>
      </c>
      <c r="AB520" s="4">
        <f t="shared" si="334"/>
        <v>2.9308416898001353</v>
      </c>
      <c r="AC520" s="48" t="str">
        <f t="shared" si="335"/>
        <v>-0.00013356293649227+0.000657765292506437i</v>
      </c>
      <c r="AD520" s="20">
        <f t="shared" si="336"/>
        <v>-63.463107594186695</v>
      </c>
      <c r="AE520" s="44">
        <f t="shared" si="337"/>
        <v>101.47817340429219</v>
      </c>
      <c r="AF520" t="str">
        <f t="shared" si="322"/>
        <v>-0.979317078436135</v>
      </c>
      <c r="AG520" t="str">
        <f t="shared" si="338"/>
        <v>6579302.70784171i</v>
      </c>
      <c r="AH520">
        <f t="shared" si="339"/>
        <v>6579302.7078417102</v>
      </c>
      <c r="AI520">
        <f t="shared" si="340"/>
        <v>1.5707963267948966</v>
      </c>
      <c r="AJ520" t="str">
        <f t="shared" si="323"/>
        <v>-670041.076430874+6447.19030946833i</v>
      </c>
      <c r="AK520">
        <f t="shared" si="341"/>
        <v>670072.09341050079</v>
      </c>
      <c r="AL520">
        <f t="shared" si="342"/>
        <v>3.1319708683330267</v>
      </c>
      <c r="AM520" t="str">
        <f t="shared" si="324"/>
        <v>1+915312.592714939i</v>
      </c>
      <c r="AN520">
        <f t="shared" si="343"/>
        <v>915312.59271548537</v>
      </c>
      <c r="AO520">
        <f t="shared" si="344"/>
        <v>1.5707952342719618</v>
      </c>
      <c r="AP520" t="str">
        <f t="shared" si="325"/>
        <v>1+6184.54454537122i</v>
      </c>
      <c r="AQ520">
        <f t="shared" si="345"/>
        <v>6184.5446262179166</v>
      </c>
      <c r="AR520">
        <f t="shared" si="346"/>
        <v>1.5706346334019639</v>
      </c>
      <c r="AS520" s="42" t="str">
        <f t="shared" si="347"/>
        <v>-0.0000118942705452435+0.00125741797595072i</v>
      </c>
      <c r="AT520">
        <f t="shared" si="348"/>
        <v>-58.010018125361647</v>
      </c>
      <c r="AU520" s="44">
        <f t="shared" si="349"/>
        <v>90.541960740650538</v>
      </c>
      <c r="AV520" s="42" t="str">
        <f t="shared" si="326"/>
        <v>-8.25497269052621E-07-1.75768075610488E-07i</v>
      </c>
      <c r="AW520" s="20">
        <f t="shared" si="350"/>
        <v>-121.47312571954834</v>
      </c>
      <c r="AX520" s="44">
        <f t="shared" si="351"/>
        <v>-167.97986585505726</v>
      </c>
    </row>
    <row r="521" spans="14:50" x14ac:dyDescent="0.3">
      <c r="N521" s="8">
        <v>3</v>
      </c>
      <c r="O521" s="35">
        <f t="shared" si="353"/>
        <v>1071519.3052376076</v>
      </c>
      <c r="P521" s="34" t="str">
        <f t="shared" si="317"/>
        <v>545.10556621881</v>
      </c>
      <c r="Q521" s="4" t="str">
        <f t="shared" si="318"/>
        <v>1+143825.969235056i</v>
      </c>
      <c r="R521" s="4">
        <f t="shared" si="327"/>
        <v>143825.96923853239</v>
      </c>
      <c r="S521" s="4">
        <f t="shared" si="328"/>
        <v>1.5707893739476098</v>
      </c>
      <c r="T521" s="4" t="str">
        <f t="shared" si="319"/>
        <v>1+3.3662771775141i</v>
      </c>
      <c r="U521" s="4">
        <f t="shared" si="329"/>
        <v>3.5116694086790536</v>
      </c>
      <c r="V521" s="4">
        <f t="shared" si="330"/>
        <v>1.2820352175683978</v>
      </c>
      <c r="W521" t="str">
        <f t="shared" si="320"/>
        <v>1-3.49688873200164i</v>
      </c>
      <c r="X521" s="4">
        <f t="shared" si="331"/>
        <v>3.6370634863856908</v>
      </c>
      <c r="Y521" s="4">
        <f t="shared" si="332"/>
        <v>-1.2922616619767806</v>
      </c>
      <c r="Z521" t="str">
        <f t="shared" si="321"/>
        <v>-72.4818317758006+15.1430586951984i</v>
      </c>
      <c r="AA521" s="4">
        <f t="shared" si="333"/>
        <v>74.046797123317106</v>
      </c>
      <c r="AB521" s="4">
        <f t="shared" si="334"/>
        <v>2.9356330263117951</v>
      </c>
      <c r="AC521" s="48" t="str">
        <f t="shared" si="335"/>
        <v>-0.000127146554506249+0.000641250970707773i</v>
      </c>
      <c r="AD521" s="20">
        <f t="shared" si="336"/>
        <v>-63.691969287545014</v>
      </c>
      <c r="AE521" s="44">
        <f t="shared" si="337"/>
        <v>101.21508365789641</v>
      </c>
      <c r="AF521" t="str">
        <f t="shared" si="322"/>
        <v>-0.979317078436135</v>
      </c>
      <c r="AG521" t="str">
        <f t="shared" si="338"/>
        <v>6732554.35502821i</v>
      </c>
      <c r="AH521">
        <f t="shared" si="339"/>
        <v>6732554.3550282102</v>
      </c>
      <c r="AI521">
        <f t="shared" si="340"/>
        <v>1.5707963267948966</v>
      </c>
      <c r="AJ521" t="str">
        <f t="shared" si="323"/>
        <v>-701619.18662607+6597.36466357934i</v>
      </c>
      <c r="AK521">
        <f t="shared" si="341"/>
        <v>701650.20363592298</v>
      </c>
      <c r="AL521">
        <f t="shared" si="342"/>
        <v>3.1321898744770071</v>
      </c>
      <c r="AM521" t="str">
        <f t="shared" si="324"/>
        <v>1+936632.961871525i</v>
      </c>
      <c r="AN521">
        <f t="shared" si="343"/>
        <v>936632.96187205892</v>
      </c>
      <c r="AO521">
        <f t="shared" si="344"/>
        <v>1.5707952591408201</v>
      </c>
      <c r="AP521" t="str">
        <f t="shared" si="325"/>
        <v>1+6328.60109372653i</v>
      </c>
      <c r="AQ521">
        <f t="shared" si="345"/>
        <v>6328.6011727329314</v>
      </c>
      <c r="AR521">
        <f t="shared" si="346"/>
        <v>1.5706383139928781</v>
      </c>
      <c r="AS521" s="42" t="str">
        <f t="shared" si="347"/>
        <v>-0.0000113589859763209+0.00122880059917905i</v>
      </c>
      <c r="AT521">
        <f t="shared" si="348"/>
        <v>-58.210000618503059</v>
      </c>
      <c r="AU521" s="44">
        <f t="shared" si="349"/>
        <v>90.529624920119133</v>
      </c>
      <c r="AV521" s="42" t="str">
        <f t="shared" si="326"/>
        <v>-7.86525321100285E-07-1.63521723144402E-07i</v>
      </c>
      <c r="AW521" s="20">
        <f t="shared" si="350"/>
        <v>-121.90196990604807</v>
      </c>
      <c r="AX521" s="44">
        <f t="shared" si="351"/>
        <v>-168.25529142198445</v>
      </c>
    </row>
    <row r="522" spans="14:50" x14ac:dyDescent="0.3">
      <c r="N522" s="8">
        <v>4</v>
      </c>
      <c r="O522" s="35">
        <f t="shared" si="353"/>
        <v>1096478.196143186</v>
      </c>
      <c r="P522" s="34" t="str">
        <f t="shared" si="317"/>
        <v>545.10556621881</v>
      </c>
      <c r="Q522" s="4" t="str">
        <f t="shared" si="318"/>
        <v>1+147176.10642622i</v>
      </c>
      <c r="R522" s="4">
        <f t="shared" si="327"/>
        <v>147176.10642961733</v>
      </c>
      <c r="S522" s="4">
        <f t="shared" si="328"/>
        <v>1.5707895322137362</v>
      </c>
      <c r="T522" s="4" t="str">
        <f t="shared" si="319"/>
        <v>1+3.44468784582482i</v>
      </c>
      <c r="U522" s="4">
        <f t="shared" si="329"/>
        <v>3.5869031705878593</v>
      </c>
      <c r="V522" s="4">
        <f t="shared" si="330"/>
        <v>1.2882602939289531</v>
      </c>
      <c r="W522" t="str">
        <f t="shared" si="320"/>
        <v>1-3.57834173424281i</v>
      </c>
      <c r="X522" s="4">
        <f t="shared" si="331"/>
        <v>3.7154447334099645</v>
      </c>
      <c r="Y522" s="4">
        <f t="shared" si="332"/>
        <v>-1.2982893121429893</v>
      </c>
      <c r="Z522" t="str">
        <f t="shared" si="321"/>
        <v>-75.9449238155147+15.4957858444927i</v>
      </c>
      <c r="AA522" s="4">
        <f t="shared" si="333"/>
        <v>77.509682184116272</v>
      </c>
      <c r="AB522" s="4">
        <f t="shared" si="334"/>
        <v>2.9403157210057489</v>
      </c>
      <c r="AC522" s="48" t="str">
        <f t="shared" si="335"/>
        <v>-0.000121053982226503+0.00062521014772552i</v>
      </c>
      <c r="AD522" s="20">
        <f t="shared" si="336"/>
        <v>-63.91964380441631</v>
      </c>
      <c r="AE522" s="44">
        <f t="shared" si="337"/>
        <v>100.95808763490487</v>
      </c>
      <c r="AF522" t="str">
        <f t="shared" si="322"/>
        <v>-0.979317078436135</v>
      </c>
      <c r="AG522" t="str">
        <f t="shared" si="338"/>
        <v>6889375.69164964i</v>
      </c>
      <c r="AH522">
        <f t="shared" si="339"/>
        <v>6889375.69164964</v>
      </c>
      <c r="AI522">
        <f t="shared" si="340"/>
        <v>1.5707963267948966</v>
      </c>
      <c r="AJ522" t="str">
        <f t="shared" si="323"/>
        <v>-734685.527304959+6751.03702776141i</v>
      </c>
      <c r="AK522">
        <f t="shared" si="341"/>
        <v>734716.54434367805</v>
      </c>
      <c r="AL522">
        <f t="shared" si="342"/>
        <v>3.1324038962619718</v>
      </c>
      <c r="AM522" t="str">
        <f t="shared" si="324"/>
        <v>1+958449.946222298i</v>
      </c>
      <c r="AN522">
        <f t="shared" si="343"/>
        <v>958449.94622281974</v>
      </c>
      <c r="AO522">
        <f t="shared" si="344"/>
        <v>1.5707952834435939</v>
      </c>
      <c r="AP522" t="str">
        <f t="shared" si="325"/>
        <v>1+6476.01315015068i</v>
      </c>
      <c r="AQ522">
        <f t="shared" si="345"/>
        <v>6476.013227358676</v>
      </c>
      <c r="AR522">
        <f t="shared" si="346"/>
        <v>1.5706419108033187</v>
      </c>
      <c r="AS522" s="42" t="str">
        <f t="shared" si="347"/>
        <v>-0.0000108477891529393+0.00120083430302473i</v>
      </c>
      <c r="AT522">
        <f t="shared" si="348"/>
        <v>-58.409983899516995</v>
      </c>
      <c r="AU522" s="44">
        <f t="shared" si="349"/>
        <v>90.517569849621111</v>
      </c>
      <c r="AV522" s="42" t="str">
        <f t="shared" si="326"/>
        <v>-7.49460623912647E-07-1.52147922234135E-07i</v>
      </c>
      <c r="AW522" s="20">
        <f t="shared" si="350"/>
        <v>-122.3296277039333</v>
      </c>
      <c r="AX522" s="44">
        <f t="shared" si="351"/>
        <v>-168.52434251547402</v>
      </c>
    </row>
    <row r="523" spans="14:50" x14ac:dyDescent="0.3">
      <c r="N523" s="8">
        <v>5</v>
      </c>
      <c r="O523" s="35">
        <f t="shared" si="353"/>
        <v>1122018.4543019643</v>
      </c>
      <c r="P523" s="34" t="str">
        <f t="shared" si="317"/>
        <v>545.10556621881</v>
      </c>
      <c r="Q523" s="4" t="str">
        <f t="shared" si="318"/>
        <v>1+150604.278337117i</v>
      </c>
      <c r="R523" s="4">
        <f t="shared" si="327"/>
        <v>150604.27834043693</v>
      </c>
      <c r="S523" s="4">
        <f t="shared" si="328"/>
        <v>1.5707896868772859</v>
      </c>
      <c r="T523" s="4" t="str">
        <f t="shared" si="319"/>
        <v>1+3.52492493322723i</v>
      </c>
      <c r="U523" s="4">
        <f t="shared" si="329"/>
        <v>3.6640272631200483</v>
      </c>
      <c r="V523" s="4">
        <f t="shared" si="330"/>
        <v>1.294365488424289</v>
      </c>
      <c r="W523" t="str">
        <f t="shared" si="320"/>
        <v>1-3.66169202063643i</v>
      </c>
      <c r="X523" s="4">
        <f t="shared" si="331"/>
        <v>3.7957856174963966</v>
      </c>
      <c r="Y523" s="4">
        <f t="shared" si="332"/>
        <v>-1.3041994436317137</v>
      </c>
      <c r="Z523" t="str">
        <f t="shared" si="321"/>
        <v>-79.5712263548268+15.8567290645526i</v>
      </c>
      <c r="AA523" s="4">
        <f t="shared" si="333"/>
        <v>81.135786926840794</v>
      </c>
      <c r="AB523" s="4">
        <f t="shared" si="334"/>
        <v>2.9448922159199711</v>
      </c>
      <c r="AC523" s="48" t="str">
        <f t="shared" si="335"/>
        <v>-0.000115267643091382+0.000609626103359457i</v>
      </c>
      <c r="AD523" s="20">
        <f t="shared" si="336"/>
        <v>-64.146175459374859</v>
      </c>
      <c r="AE523" s="44">
        <f t="shared" si="337"/>
        <v>100.70704121680618</v>
      </c>
      <c r="AF523" t="str">
        <f t="shared" si="322"/>
        <v>-0.979317078436135</v>
      </c>
      <c r="AG523" t="str">
        <f t="shared" si="338"/>
        <v>7049849.86645445i</v>
      </c>
      <c r="AH523">
        <f t="shared" si="339"/>
        <v>7049849.8664544504</v>
      </c>
      <c r="AI523">
        <f t="shared" si="340"/>
        <v>1.5707963267948966</v>
      </c>
      <c r="AJ523" t="str">
        <f t="shared" si="323"/>
        <v>-769310.236609398+6908.28888113614i</v>
      </c>
      <c r="AK523">
        <f t="shared" si="341"/>
        <v>769341.25367568398</v>
      </c>
      <c r="AL523">
        <f t="shared" si="342"/>
        <v>3.1326130470904281</v>
      </c>
      <c r="AM523" t="str">
        <f t="shared" si="324"/>
        <v>1+980775.113421143i</v>
      </c>
      <c r="AN523">
        <f t="shared" si="343"/>
        <v>980775.11342165282</v>
      </c>
      <c r="AO523">
        <f t="shared" si="344"/>
        <v>1.5707953071931691</v>
      </c>
      <c r="AP523" t="str">
        <f t="shared" si="325"/>
        <v>1+6626.8588744672i</v>
      </c>
      <c r="AQ523">
        <f t="shared" si="345"/>
        <v>6626.8589499177269</v>
      </c>
      <c r="AR523">
        <f t="shared" si="346"/>
        <v>1.5706454257403619</v>
      </c>
      <c r="AS523" s="42" t="str">
        <f t="shared" si="347"/>
        <v>-0.0000103595963023983+0.0011735042891328i</v>
      </c>
      <c r="AT523">
        <f t="shared" si="348"/>
        <v>-58.609967932949203</v>
      </c>
      <c r="AU523" s="44">
        <f t="shared" si="349"/>
        <v>90.505789141677155</v>
      </c>
      <c r="AV523" s="42" t="str">
        <f t="shared" si="326"/>
        <v>-7.14204720810483E-07-1.41582553892174E-07i</v>
      </c>
      <c r="AW523" s="20">
        <f t="shared" si="350"/>
        <v>-122.75614339232405</v>
      </c>
      <c r="AX523" s="44">
        <f t="shared" si="351"/>
        <v>-168.78716964151664</v>
      </c>
    </row>
    <row r="524" spans="14:50" x14ac:dyDescent="0.3">
      <c r="N524" s="8">
        <v>6</v>
      </c>
      <c r="O524" s="35">
        <f t="shared" si="353"/>
        <v>1148153.6214968837</v>
      </c>
      <c r="P524" s="34" t="str">
        <f t="shared" si="317"/>
        <v>545.10556621881</v>
      </c>
      <c r="Q524" s="4" t="str">
        <f t="shared" si="318"/>
        <v>1+154112.302629872i</v>
      </c>
      <c r="R524" s="4">
        <f t="shared" si="327"/>
        <v>154112.30263311637</v>
      </c>
      <c r="S524" s="4">
        <f t="shared" si="328"/>
        <v>1.5707898380202634</v>
      </c>
      <c r="T524" s="4" t="str">
        <f t="shared" si="319"/>
        <v>1+3.60703098248712i</v>
      </c>
      <c r="U524" s="4">
        <f t="shared" si="329"/>
        <v>3.7430832890308494</v>
      </c>
      <c r="V524" s="4">
        <f t="shared" si="330"/>
        <v>1.3003522169121453</v>
      </c>
      <c r="W524" t="str">
        <f t="shared" si="320"/>
        <v>1-3.74698378460761i</v>
      </c>
      <c r="X524" s="4">
        <f t="shared" si="331"/>
        <v>3.878129379238445</v>
      </c>
      <c r="Y524" s="4">
        <f t="shared" si="332"/>
        <v>-1.3099935379019558</v>
      </c>
      <c r="Z524" t="str">
        <f t="shared" si="321"/>
        <v>-83.3684312676102+16.2260797322513i</v>
      </c>
      <c r="AA524" s="4">
        <f t="shared" si="333"/>
        <v>84.932802823759587</v>
      </c>
      <c r="AB524" s="4">
        <f t="shared" si="334"/>
        <v>2.9493648998655604</v>
      </c>
      <c r="AC524" s="48" t="str">
        <f t="shared" si="335"/>
        <v>-0.00010977100568188+0.000594482833502336i</v>
      </c>
      <c r="AD524" s="20">
        <f t="shared" si="336"/>
        <v>-64.371607288212417</v>
      </c>
      <c r="AE524" s="44">
        <f t="shared" si="337"/>
        <v>100.4618037714324</v>
      </c>
      <c r="AF524" t="str">
        <f t="shared" si="322"/>
        <v>-0.979317078436135</v>
      </c>
      <c r="AG524" t="str">
        <f t="shared" si="338"/>
        <v>7214061.96497425i</v>
      </c>
      <c r="AH524">
        <f t="shared" si="339"/>
        <v>7214061.9649742497</v>
      </c>
      <c r="AI524">
        <f t="shared" si="340"/>
        <v>1.5707963267948966</v>
      </c>
      <c r="AJ524" t="str">
        <f t="shared" si="323"/>
        <v>-805566.758190041+7069.20360071767i</v>
      </c>
      <c r="AK524">
        <f t="shared" si="341"/>
        <v>805597.77528265317</v>
      </c>
      <c r="AL524">
        <f t="shared" si="342"/>
        <v>3.1328174377872204</v>
      </c>
      <c r="AM524" t="str">
        <f t="shared" si="324"/>
        <v>1+1003620.30056722i</v>
      </c>
      <c r="AN524">
        <f t="shared" si="343"/>
        <v>1003620.3005677182</v>
      </c>
      <c r="AO524">
        <f t="shared" si="344"/>
        <v>1.5707953304021378</v>
      </c>
      <c r="AP524" t="str">
        <f t="shared" si="325"/>
        <v>1+6781.21824707581i</v>
      </c>
      <c r="AQ524">
        <f t="shared" si="345"/>
        <v>6781.2183208088736</v>
      </c>
      <c r="AR524">
        <f t="shared" si="346"/>
        <v>1.5706488606676734</v>
      </c>
      <c r="AS524" s="42" t="str">
        <f t="shared" si="347"/>
        <v>-9.89337239862321E-06+0.00114679609452873i</v>
      </c>
      <c r="AT524">
        <f t="shared" si="348"/>
        <v>-58.809952684940569</v>
      </c>
      <c r="AU524" s="44">
        <f t="shared" si="349"/>
        <v>90.49427655399306</v>
      </c>
      <c r="AV524" s="42" t="str">
        <f t="shared" si="326"/>
        <v>-6.8066458628707E-07-1.31766400664898E-07i</v>
      </c>
      <c r="AW524" s="20">
        <f t="shared" si="350"/>
        <v>-123.18155997315299</v>
      </c>
      <c r="AX524" s="44">
        <f t="shared" si="351"/>
        <v>-169.04391967457454</v>
      </c>
    </row>
    <row r="525" spans="14:50" x14ac:dyDescent="0.3">
      <c r="N525" s="8">
        <v>7</v>
      </c>
      <c r="O525" s="35">
        <f t="shared" si="353"/>
        <v>1174897.5549395324</v>
      </c>
      <c r="P525" s="34" t="str">
        <f t="shared" si="317"/>
        <v>545.10556621881</v>
      </c>
      <c r="Q525" s="4" t="str">
        <f t="shared" si="318"/>
        <v>1+157702.039305399i</v>
      </c>
      <c r="R525" s="4">
        <f t="shared" si="327"/>
        <v>157702.03930856954</v>
      </c>
      <c r="S525" s="4">
        <f t="shared" si="328"/>
        <v>1.5707899857228065</v>
      </c>
      <c r="T525" s="4" t="str">
        <f t="shared" si="319"/>
        <v>1+3.69104952731864i</v>
      </c>
      <c r="U525" s="4">
        <f t="shared" si="329"/>
        <v>3.8241138337030653</v>
      </c>
      <c r="V525" s="4">
        <f t="shared" si="330"/>
        <v>1.3062219363981296</v>
      </c>
      <c r="W525" t="str">
        <f t="shared" si="320"/>
        <v>1-3.8342622489786i</v>
      </c>
      <c r="X525" s="4">
        <f t="shared" si="331"/>
        <v>3.9625202830953983</v>
      </c>
      <c r="Y525" s="4">
        <f t="shared" si="332"/>
        <v>-1.3156731102937931</v>
      </c>
      <c r="Z525" t="str">
        <f t="shared" si="321"/>
        <v>-87.3445929345852+16.6040336822015i</v>
      </c>
      <c r="AA525" s="4">
        <f t="shared" si="333"/>
        <v>88.908783871044321</v>
      </c>
      <c r="AB525" s="4">
        <f t="shared" si="334"/>
        <v>2.9537361094495673</v>
      </c>
      <c r="AC525" s="48" t="str">
        <f t="shared" si="335"/>
        <v>-0.000104548515624518+0.000579765017938471i</v>
      </c>
      <c r="AD525" s="20">
        <f t="shared" si="336"/>
        <v>-64.595981052653727</v>
      </c>
      <c r="AE525" s="44">
        <f t="shared" si="337"/>
        <v>100.22223807415061</v>
      </c>
      <c r="AF525" t="str">
        <f t="shared" si="322"/>
        <v>-0.979317078436135</v>
      </c>
      <c r="AG525" t="str">
        <f t="shared" si="338"/>
        <v>7382099.05463729i</v>
      </c>
      <c r="AH525">
        <f t="shared" si="339"/>
        <v>7382099.0546372896</v>
      </c>
      <c r="AI525">
        <f t="shared" si="340"/>
        <v>1.5707963267948966</v>
      </c>
      <c r="AJ525" t="str">
        <f t="shared" si="323"/>
        <v>-843531.996990159+7233.86650562028i</v>
      </c>
      <c r="AK525">
        <f t="shared" si="341"/>
        <v>843563.01410791278</v>
      </c>
      <c r="AL525">
        <f t="shared" si="342"/>
        <v>3.13301717665796</v>
      </c>
      <c r="AM525" t="str">
        <f t="shared" si="324"/>
        <v>1+1026997.62048114i</v>
      </c>
      <c r="AN525">
        <f t="shared" si="343"/>
        <v>1026997.6204816268</v>
      </c>
      <c r="AO525">
        <f t="shared" si="344"/>
        <v>1.570795353082806</v>
      </c>
      <c r="AP525" t="str">
        <f t="shared" si="325"/>
        <v>1+6939.17311135907i</v>
      </c>
      <c r="AQ525">
        <f t="shared" si="345"/>
        <v>6939.1731834137654</v>
      </c>
      <c r="AR525">
        <f t="shared" si="346"/>
        <v>1.570652217406497</v>
      </c>
      <c r="AS525" s="42" t="str">
        <f t="shared" si="347"/>
        <v>-9.44812897094796E-06+0.00112069558408238i</v>
      </c>
      <c r="AT525">
        <f t="shared" si="348"/>
        <v>-59.009938123155372</v>
      </c>
      <c r="AU525" s="44">
        <f t="shared" si="349"/>
        <v>90.483025986169082</v>
      </c>
      <c r="AV525" s="42" t="str">
        <f t="shared" si="326"/>
        <v>-6.48752307549745E-07-1.22644754445092E-07i</v>
      </c>
      <c r="AW525" s="20">
        <f t="shared" si="350"/>
        <v>-123.60591917580911</v>
      </c>
      <c r="AX525" s="44">
        <f t="shared" si="351"/>
        <v>-169.29473593968027</v>
      </c>
    </row>
    <row r="526" spans="14:50" x14ac:dyDescent="0.3">
      <c r="N526" s="8">
        <v>8</v>
      </c>
      <c r="O526" s="35">
        <f t="shared" si="353"/>
        <v>1202264.4346174158</v>
      </c>
      <c r="P526" s="34" t="str">
        <f t="shared" si="317"/>
        <v>545.10556621881</v>
      </c>
      <c r="Q526" s="4" t="str">
        <f t="shared" si="318"/>
        <v>1+161375.391689599i</v>
      </c>
      <c r="R526" s="4">
        <f t="shared" si="327"/>
        <v>161375.39169269736</v>
      </c>
      <c r="S526" s="4">
        <f t="shared" si="328"/>
        <v>1.5707901300632294</v>
      </c>
      <c r="T526" s="4" t="str">
        <f t="shared" si="319"/>
        <v>1+3.77702511546636i</v>
      </c>
      <c r="U526" s="4">
        <f t="shared" si="329"/>
        <v>3.9071624899488979</v>
      </c>
      <c r="V526" s="4">
        <f t="shared" si="330"/>
        <v>1.3119761405705954</v>
      </c>
      <c r="W526" t="str">
        <f t="shared" si="320"/>
        <v>1-3.92357368994644i</v>
      </c>
      <c r="X526" s="4">
        <f t="shared" si="331"/>
        <v>4.0490036429274703</v>
      </c>
      <c r="Y526" s="4">
        <f t="shared" si="332"/>
        <v>-1.3212397059138405</v>
      </c>
      <c r="Z526" t="str">
        <f t="shared" si="321"/>
        <v>-91.50814532774+16.9907913105904i</v>
      </c>
      <c r="AA526" s="4">
        <f t="shared" si="333"/>
        <v>93.072163672511749</v>
      </c>
      <c r="AB526" s="4">
        <f t="shared" si="334"/>
        <v>2.9580081300903864</v>
      </c>
      <c r="AC526" s="48" t="str">
        <f t="shared" si="335"/>
        <v>-0.0000995855322465268+0.000565457989253618i</v>
      </c>
      <c r="AD526" s="20">
        <f t="shared" si="336"/>
        <v>-64.819337248360554</v>
      </c>
      <c r="AE526" s="44">
        <f t="shared" si="337"/>
        <v>99.98821022959595</v>
      </c>
      <c r="AF526" t="str">
        <f t="shared" si="322"/>
        <v>-0.979317078436135</v>
      </c>
      <c r="AG526" t="str">
        <f t="shared" si="338"/>
        <v>7554050.23093272i</v>
      </c>
      <c r="AH526">
        <f t="shared" si="339"/>
        <v>7554050.23093272</v>
      </c>
      <c r="AI526">
        <f t="shared" si="340"/>
        <v>1.5707963267948966</v>
      </c>
      <c r="AJ526" t="str">
        <f t="shared" si="323"/>
        <v>-883286.482371329+7402.3649022957i</v>
      </c>
      <c r="AK526">
        <f t="shared" si="341"/>
        <v>883317.49951309292</v>
      </c>
      <c r="AL526">
        <f t="shared" si="342"/>
        <v>3.1332123695461376</v>
      </c>
      <c r="AM526" t="str">
        <f t="shared" si="324"/>
        <v>1+1050919.46812736i</v>
      </c>
      <c r="AN526">
        <f t="shared" si="343"/>
        <v>1050919.468127836</v>
      </c>
      <c r="AO526">
        <f t="shared" si="344"/>
        <v>1.5707953752471993</v>
      </c>
      <c r="AP526" t="str">
        <f t="shared" si="325"/>
        <v>1+7100.80721707677i</v>
      </c>
      <c r="AQ526">
        <f t="shared" si="345"/>
        <v>7100.8072874912996</v>
      </c>
      <c r="AR526">
        <f t="shared" si="346"/>
        <v>1.5706554977366194</v>
      </c>
      <c r="AS526" s="42" t="str">
        <f t="shared" si="347"/>
        <v>-9.02292201127899E-06+0.00109518894313694i</v>
      </c>
      <c r="AT526">
        <f t="shared" si="348"/>
        <v>-59.209924216712892</v>
      </c>
      <c r="AU526" s="44">
        <f t="shared" si="349"/>
        <v>90.472031476483139</v>
      </c>
      <c r="AV526" s="42" t="str">
        <f t="shared" si="326"/>
        <v>-6.18384785148097E-07-1.14167057150493E-07i</v>
      </c>
      <c r="AW526" s="20">
        <f t="shared" si="350"/>
        <v>-124.02926146507346</v>
      </c>
      <c r="AX526" s="44">
        <f t="shared" si="351"/>
        <v>-169.53975829392093</v>
      </c>
    </row>
    <row r="527" spans="14:50" x14ac:dyDescent="0.3">
      <c r="N527" s="8">
        <v>9</v>
      </c>
      <c r="O527" s="35">
        <f t="shared" si="353"/>
        <v>1230268.770812382</v>
      </c>
      <c r="P527" s="34" t="str">
        <f t="shared" si="317"/>
        <v>545.10556621881</v>
      </c>
      <c r="Q527" s="4" t="str">
        <f t="shared" si="318"/>
        <v>1+165134.307442528i</v>
      </c>
      <c r="R527" s="4">
        <f t="shared" si="327"/>
        <v>165134.30744555581</v>
      </c>
      <c r="S527" s="4">
        <f t="shared" si="328"/>
        <v>1.5707902711180632</v>
      </c>
      <c r="T527" s="4" t="str">
        <f t="shared" si="319"/>
        <v>1+3.86500333232512i</v>
      </c>
      <c r="U527" s="4">
        <f t="shared" si="329"/>
        <v>3.9922738832505318</v>
      </c>
      <c r="V527" s="4">
        <f t="shared" si="330"/>
        <v>1.3176163555481752</v>
      </c>
      <c r="W527" t="str">
        <f t="shared" si="320"/>
        <v>1-4.01496546161933i</v>
      </c>
      <c r="X527" s="4">
        <f t="shared" si="331"/>
        <v>4.1376258479949737</v>
      </c>
      <c r="Y527" s="4">
        <f t="shared" si="332"/>
        <v>-1.326694895729768</v>
      </c>
      <c r="Z527" t="str">
        <f t="shared" si="321"/>
        <v>-95.8679198999176+17.3865576814319i</v>
      </c>
      <c r="AA527" s="4">
        <f t="shared" si="333"/>
        <v>97.431773328554257</v>
      </c>
      <c r="AB527" s="4">
        <f t="shared" si="334"/>
        <v>2.9621831970245305</v>
      </c>
      <c r="AC527" s="48" t="str">
        <f t="shared" si="335"/>
        <v>-0.0000948682696419699+0.000551547702876571i</v>
      </c>
      <c r="AD527" s="20">
        <f t="shared" si="336"/>
        <v>-65.041715115891051</v>
      </c>
      <c r="AE527" s="44">
        <f t="shared" si="337"/>
        <v>99.759589594104625</v>
      </c>
      <c r="AF527" t="str">
        <f t="shared" si="322"/>
        <v>-0.979317078436135</v>
      </c>
      <c r="AG527" t="str">
        <f t="shared" si="338"/>
        <v>7730006.66465025i</v>
      </c>
      <c r="AH527">
        <f t="shared" si="339"/>
        <v>7730006.6646502502</v>
      </c>
      <c r="AI527">
        <f t="shared" si="340"/>
        <v>1.5707963267948966</v>
      </c>
      <c r="AJ527" t="str">
        <f t="shared" si="323"/>
        <v>-924914.538927021+7574.78813082418i</v>
      </c>
      <c r="AK527">
        <f t="shared" si="341"/>
        <v>924945.55609171442</v>
      </c>
      <c r="AL527">
        <f t="shared" si="342"/>
        <v>3.1334031198889565</v>
      </c>
      <c r="AM527" t="str">
        <f t="shared" si="324"/>
        <v>1+1075398.52718614i</v>
      </c>
      <c r="AN527">
        <f t="shared" si="343"/>
        <v>1075398.5271866049</v>
      </c>
      <c r="AO527">
        <f t="shared" si="344"/>
        <v>1.5707953969070692</v>
      </c>
      <c r="AP527" t="str">
        <f t="shared" si="325"/>
        <v>1+7266.20626477125i</v>
      </c>
      <c r="AQ527">
        <f t="shared" si="345"/>
        <v>7266.2063335829489</v>
      </c>
      <c r="AR527">
        <f t="shared" si="346"/>
        <v>1.5706587033973149</v>
      </c>
      <c r="AS527" s="42" t="str">
        <f t="shared" si="347"/>
        <v>-8.61684997523056E-06+0.00107026267029958i</v>
      </c>
      <c r="AT527">
        <f t="shared" si="348"/>
        <v>-59.409910936121861</v>
      </c>
      <c r="AU527" s="44">
        <f t="shared" si="349"/>
        <v>90.461287198746476</v>
      </c>
      <c r="AV527" s="42" t="str">
        <f t="shared" si="326"/>
        <v>-5.89483451631364E-07-1.06286571403586E-07i</v>
      </c>
      <c r="AW527" s="20">
        <f t="shared" si="350"/>
        <v>-124.4516260520129</v>
      </c>
      <c r="AX527" s="44">
        <f t="shared" si="351"/>
        <v>-169.77912320714884</v>
      </c>
    </row>
    <row r="528" spans="14:50" x14ac:dyDescent="0.3">
      <c r="N528" s="8">
        <v>10</v>
      </c>
      <c r="O528" s="35">
        <f t="shared" si="353"/>
        <v>1258925.4117941677</v>
      </c>
      <c r="P528" s="34" t="str">
        <f t="shared" si="317"/>
        <v>545.10556621881</v>
      </c>
      <c r="Q528" s="4" t="str">
        <f t="shared" si="318"/>
        <v>1+168980.779591075i</v>
      </c>
      <c r="R528" s="4">
        <f t="shared" si="327"/>
        <v>168980.77959403393</v>
      </c>
      <c r="S528" s="4">
        <f t="shared" si="328"/>
        <v>1.570790408962097</v>
      </c>
      <c r="T528" s="4" t="str">
        <f t="shared" si="319"/>
        <v>1+3.95503082511006i</v>
      </c>
      <c r="U528" s="4">
        <f t="shared" si="329"/>
        <v>4.0794936974544722</v>
      </c>
      <c r="V528" s="4">
        <f t="shared" si="330"/>
        <v>1.3231441358380736</v>
      </c>
      <c r="W528" t="str">
        <f t="shared" si="320"/>
        <v>1-4.10848602112432i</v>
      </c>
      <c r="X528" s="4">
        <f t="shared" si="331"/>
        <v>4.2284343894370586</v>
      </c>
      <c r="Y528" s="4">
        <f t="shared" si="332"/>
        <v>-1.3320402728705576</v>
      </c>
      <c r="Z528" t="str">
        <f t="shared" si="321"/>
        <v>-100.433164317511+17.7915426352944i</v>
      </c>
      <c r="AA528" s="4">
        <f t="shared" si="333"/>
        <v>101.99686016820156</v>
      </c>
      <c r="AB528" s="4">
        <f t="shared" si="334"/>
        <v>2.966263496303672</v>
      </c>
      <c r="AC528" s="48" t="str">
        <f t="shared" si="335"/>
        <v>-0.0000903837418313981+0.000538020708261952i</v>
      </c>
      <c r="AD528" s="20">
        <f t="shared" si="336"/>
        <v>-65.2631526543029</v>
      </c>
      <c r="AE528" s="44">
        <f t="shared" si="337"/>
        <v>99.536248698992026</v>
      </c>
      <c r="AF528" t="str">
        <f t="shared" si="322"/>
        <v>-0.979317078436135</v>
      </c>
      <c r="AG528" t="str">
        <f t="shared" si="338"/>
        <v>7910061.65022012i</v>
      </c>
      <c r="AH528">
        <f t="shared" si="339"/>
        <v>7910061.6502201203</v>
      </c>
      <c r="AI528">
        <f t="shared" si="340"/>
        <v>1.5707963267948966</v>
      </c>
      <c r="AJ528" t="str">
        <f t="shared" si="323"/>
        <v>-968504.465346366+7751.22761228383i</v>
      </c>
      <c r="AK528">
        <f t="shared" si="341"/>
        <v>968535.48253295699</v>
      </c>
      <c r="AL528">
        <f t="shared" si="342"/>
        <v>3.1335895287719038</v>
      </c>
      <c r="AM528" t="str">
        <f t="shared" si="324"/>
        <v>1+1100447.77677862i</v>
      </c>
      <c r="AN528">
        <f t="shared" si="343"/>
        <v>1100447.7767790745</v>
      </c>
      <c r="AO528">
        <f t="shared" si="344"/>
        <v>1.5707954180739003</v>
      </c>
      <c r="AP528" t="str">
        <f t="shared" si="325"/>
        <v>1+7435.45795120693i</v>
      </c>
      <c r="AQ528">
        <f t="shared" si="345"/>
        <v>7435.4580184522838</v>
      </c>
      <c r="AR528">
        <f t="shared" si="346"/>
        <v>1.5706618360882671</v>
      </c>
      <c r="AS528" s="42" t="str">
        <f t="shared" si="347"/>
        <v>-8.22905187302459E-06+0.00104590357039048i</v>
      </c>
      <c r="AT528">
        <f t="shared" si="348"/>
        <v>-59.60989825321797</v>
      </c>
      <c r="AU528" s="44">
        <f t="shared" si="349"/>
        <v>90.450787459230014</v>
      </c>
      <c r="AV528" s="42" t="str">
        <f t="shared" si="326"/>
        <v>-5.61974007215182E-07-9.89600786037597E-08i</v>
      </c>
      <c r="AW528" s="20">
        <f t="shared" si="350"/>
        <v>-124.87305090752086</v>
      </c>
      <c r="AX528" s="44">
        <f t="shared" si="351"/>
        <v>-170.01296384177795</v>
      </c>
    </row>
    <row r="529" spans="14:50" x14ac:dyDescent="0.3">
      <c r="N529" s="8">
        <v>11</v>
      </c>
      <c r="O529" s="35">
        <f t="shared" si="353"/>
        <v>1288249.5516931366</v>
      </c>
      <c r="P529" s="34" t="str">
        <f t="shared" si="317"/>
        <v>545.10556621881</v>
      </c>
      <c r="Q529" s="4" t="str">
        <f t="shared" si="318"/>
        <v>1+172916.847585686i</v>
      </c>
      <c r="R529" s="4">
        <f t="shared" si="327"/>
        <v>172916.84758857754</v>
      </c>
      <c r="S529" s="4">
        <f t="shared" si="328"/>
        <v>1.5707905436684173</v>
      </c>
      <c r="T529" s="4" t="str">
        <f t="shared" si="319"/>
        <v>1+4.0471553275895i</v>
      </c>
      <c r="U529" s="4">
        <f t="shared" si="329"/>
        <v>4.1688687009350716</v>
      </c>
      <c r="V529" s="4">
        <f t="shared" si="330"/>
        <v>1.3285610605023364</v>
      </c>
      <c r="W529" t="str">
        <f t="shared" si="320"/>
        <v>1-4.20418495429996i</v>
      </c>
      <c r="X529" s="4">
        <f t="shared" si="331"/>
        <v>4.3214778872466946</v>
      </c>
      <c r="Y529" s="4">
        <f t="shared" si="332"/>
        <v>-1.3372774491285402</v>
      </c>
      <c r="Z529" t="str">
        <f t="shared" si="321"/>
        <v>-105.213562076004+18.205960900561i</v>
      </c>
      <c r="AA529" s="4">
        <f t="shared" si="333"/>
        <v>106.7771073640502</v>
      </c>
      <c r="AB529" s="4">
        <f t="shared" si="334"/>
        <v>2.9702511657810504</v>
      </c>
      <c r="AC529" s="48" t="str">
        <f t="shared" si="335"/>
        <v>-0.0000861197117200214+0.000524864121214803i</v>
      </c>
      <c r="AD529" s="20">
        <f t="shared" si="336"/>
        <v>-65.483686637104768</v>
      </c>
      <c r="AE529" s="44">
        <f t="shared" si="337"/>
        <v>99.318063174795526</v>
      </c>
      <c r="AF529" t="str">
        <f t="shared" si="322"/>
        <v>-0.979317078436135</v>
      </c>
      <c r="AG529" t="str">
        <f t="shared" si="338"/>
        <v>8094310.655179i</v>
      </c>
      <c r="AH529">
        <f t="shared" si="339"/>
        <v>8094310.6551790005</v>
      </c>
      <c r="AI529">
        <f t="shared" si="340"/>
        <v>1.5707963267948966</v>
      </c>
      <c r="AJ529" t="str">
        <f t="shared" si="323"/>
        <v>-1014148.7217075+7931.77689722313i</v>
      </c>
      <c r="AK529">
        <f t="shared" si="341"/>
        <v>1014179.738915003</v>
      </c>
      <c r="AL529">
        <f t="shared" si="342"/>
        <v>3.1337716949820953</v>
      </c>
      <c r="AM529" t="str">
        <f t="shared" si="324"/>
        <v>1+1126080.4983485i</v>
      </c>
      <c r="AN529">
        <f t="shared" si="343"/>
        <v>1126080.4983489441</v>
      </c>
      <c r="AO529">
        <f t="shared" si="344"/>
        <v>1.5707954387589156</v>
      </c>
      <c r="AP529" t="str">
        <f t="shared" si="325"/>
        <v>1+7608.65201586828i</v>
      </c>
      <c r="AQ529">
        <f t="shared" si="345"/>
        <v>7608.6520815829417</v>
      </c>
      <c r="AR529">
        <f t="shared" si="346"/>
        <v>1.57066489747047</v>
      </c>
      <c r="AS529" s="42" t="str">
        <f t="shared" si="347"/>
        <v>-7.85870544613014E-06+0.00102209874754705i</v>
      </c>
      <c r="AT529">
        <f t="shared" si="348"/>
        <v>-59.809886141104165</v>
      </c>
      <c r="AU529" s="44">
        <f t="shared" si="349"/>
        <v>90.440526693659933</v>
      </c>
      <c r="AV529" s="42" t="str">
        <f t="shared" si="326"/>
        <v>-5.3578617147852E-07-9.2147602016016E-08i</v>
      </c>
      <c r="AW529" s="20">
        <f t="shared" si="350"/>
        <v>-125.29357277820894</v>
      </c>
      <c r="AX529" s="44">
        <f t="shared" si="351"/>
        <v>-170.24141013154454</v>
      </c>
    </row>
    <row r="530" spans="14:50" x14ac:dyDescent="0.3">
      <c r="N530" s="8">
        <v>12</v>
      </c>
      <c r="O530" s="35">
        <f t="shared" si="353"/>
        <v>1318256.7385564097</v>
      </c>
      <c r="P530" s="34" t="str">
        <f t="shared" si="317"/>
        <v>545.10556621881</v>
      </c>
      <c r="Q530" s="4" t="str">
        <f t="shared" si="318"/>
        <v>1+176944.598381712i</v>
      </c>
      <c r="R530" s="4">
        <f t="shared" si="327"/>
        <v>176944.59838453776</v>
      </c>
      <c r="S530" s="4">
        <f t="shared" si="328"/>
        <v>1.5707906753084475</v>
      </c>
      <c r="T530" s="4" t="str">
        <f t="shared" si="319"/>
        <v>1+4.14142568539406i</v>
      </c>
      <c r="U530" s="4">
        <f t="shared" si="329"/>
        <v>4.2604467732435829</v>
      </c>
      <c r="V530" s="4">
        <f t="shared" si="330"/>
        <v>1.3338687295285765</v>
      </c>
      <c r="W530" t="str">
        <f t="shared" si="320"/>
        <v>1-4.30211300198734i</v>
      </c>
      <c r="X530" s="4">
        <f t="shared" si="331"/>
        <v>4.4168061177584557</v>
      </c>
      <c r="Y530" s="4">
        <f t="shared" si="332"/>
        <v>-1.3424080516586148</v>
      </c>
      <c r="Z530" t="str">
        <f t="shared" si="321"/>
        <v>-110.219253039961+18.6300322072815i</v>
      </c>
      <c r="AA530" s="4">
        <f t="shared" si="333"/>
        <v>111.78265447166345</v>
      </c>
      <c r="AB530" s="4">
        <f t="shared" si="334"/>
        <v>2.9741482960864114</v>
      </c>
      <c r="AC530" s="48" t="str">
        <f t="shared" si="335"/>
        <v>-0.0000820646435804172+0.000512065597349854i</v>
      </c>
      <c r="AD530" s="20">
        <f t="shared" si="336"/>
        <v>-65.703352630280165</v>
      </c>
      <c r="AE530" s="44">
        <f t="shared" si="337"/>
        <v>99.104911676591129</v>
      </c>
      <c r="AF530" t="str">
        <f t="shared" si="322"/>
        <v>-0.979317078436135</v>
      </c>
      <c r="AG530" t="str">
        <f t="shared" si="338"/>
        <v>8282851.37078812i</v>
      </c>
      <c r="AH530">
        <f t="shared" si="339"/>
        <v>8282851.3707881197</v>
      </c>
      <c r="AI530">
        <f t="shared" si="340"/>
        <v>1.5707963267948966</v>
      </c>
      <c r="AJ530" t="str">
        <f t="shared" si="323"/>
        <v>-1061944.1255978+8116.53171526282i</v>
      </c>
      <c r="AK530">
        <f t="shared" si="341"/>
        <v>1061975.1428252738</v>
      </c>
      <c r="AL530">
        <f t="shared" si="342"/>
        <v>3.1339497150604183</v>
      </c>
      <c r="AM530" t="str">
        <f t="shared" si="324"/>
        <v>1+1152310.28270404i</v>
      </c>
      <c r="AN530">
        <f t="shared" si="343"/>
        <v>1152310.2827044739</v>
      </c>
      <c r="AO530">
        <f t="shared" si="344"/>
        <v>1.5707954589730824</v>
      </c>
      <c r="AP530" t="str">
        <f t="shared" si="325"/>
        <v>1+7785.88028854085i</v>
      </c>
      <c r="AQ530">
        <f t="shared" si="345"/>
        <v>7785.8803527596647</v>
      </c>
      <c r="AR530">
        <f t="shared" si="346"/>
        <v>1.5706678891671086</v>
      </c>
      <c r="AS530" s="42" t="str">
        <f t="shared" si="347"/>
        <v>-0.0000075050254258012+0.000998835598480128i</v>
      </c>
      <c r="AT530">
        <f t="shared" si="348"/>
        <v>-60.009874574093764</v>
      </c>
      <c r="AU530" s="44">
        <f t="shared" si="349"/>
        <v>90.430499464280857</v>
      </c>
      <c r="AV530" s="42" t="str">
        <f t="shared" si="326"/>
        <v>-5.10853450153395E-07-8.58121527124931E-08i</v>
      </c>
      <c r="AW530" s="20">
        <f t="shared" si="350"/>
        <v>-125.71322720437394</v>
      </c>
      <c r="AX530" s="44">
        <f t="shared" si="351"/>
        <v>-170.46458885912801</v>
      </c>
    </row>
    <row r="531" spans="14:50" x14ac:dyDescent="0.3">
      <c r="N531" s="8">
        <v>13</v>
      </c>
      <c r="O531" s="35">
        <f t="shared" si="353"/>
        <v>1348962.8825916562</v>
      </c>
      <c r="P531" s="34" t="str">
        <f t="shared" ref="P531:P560" si="354">COMPLEX(Adc,0)</f>
        <v>545.10556621881</v>
      </c>
      <c r="Q531" s="4" t="str">
        <f t="shared" ref="Q531:Q560" si="355">IMSUM(COMPLEX(1,0),IMDIV(COMPLEX(0,2*PI()*O531),COMPLEX(wp_lf,0)))</f>
        <v>1+181066.167545938i</v>
      </c>
      <c r="R531" s="4">
        <f t="shared" si="327"/>
        <v>181066.16754869942</v>
      </c>
      <c r="S531" s="4">
        <f t="shared" si="328"/>
        <v>1.5707908039519849</v>
      </c>
      <c r="T531" s="4" t="str">
        <f t="shared" ref="T531:T560" si="356">IMSUM(COMPLEX(1,0),IMDIV(COMPLEX(0,2*PI()*O531),COMPLEX(wz_esr,0)))</f>
        <v>1+4.23789188191526i</v>
      </c>
      <c r="U531" s="4">
        <f t="shared" si="329"/>
        <v>4.3542769322590482</v>
      </c>
      <c r="V531" s="4">
        <f t="shared" si="330"/>
        <v>1.3390687604009393</v>
      </c>
      <c r="W531" t="str">
        <f t="shared" ref="W531:W560" si="357">IMSUB(COMPLEX(1,0),IMDIV(COMPLEX(0,2*PI()*O531),COMPLEX(wz_rhp,0)))</f>
        <v>1-4.40232208693355i</v>
      </c>
      <c r="X531" s="4">
        <f t="shared" si="331"/>
        <v>4.5144700416663488</v>
      </c>
      <c r="Y531" s="4">
        <f t="shared" si="332"/>
        <v>-1.3474337198695774</v>
      </c>
      <c r="Z531" t="str">
        <f t="shared" ref="Z531:Z560" si="358">IMSUM(COMPLEX(1,0),IMDIV(COMPLEX(0,2*PI()*O531),COMPLEX(Q*(wsl/2),0)),IMDIV(IMPOWER(COMPLEX(0,2*PI()*O531),2),IMPOWER(COMPLEX(wsl/2,0),2)))</f>
        <v>-115.460854951039+19.0639814036759i</v>
      </c>
      <c r="AA531" s="4">
        <f t="shared" si="333"/>
        <v>117.02411893701472</v>
      </c>
      <c r="AB531" s="4">
        <f t="shared" si="334"/>
        <v>2.9779569315888139</v>
      </c>
      <c r="AC531" s="48" t="str">
        <f t="shared" si="335"/>
        <v>-0.0000782076588053693+0.000499613306672012i</v>
      </c>
      <c r="AD531" s="20">
        <f t="shared" si="336"/>
        <v>-65.922185012125311</v>
      </c>
      <c r="AE531" s="44">
        <f t="shared" si="337"/>
        <v>98.896675810470924</v>
      </c>
      <c r="AF531" t="str">
        <f t="shared" ref="AF531:AF560" si="359">COMPLEX(Adc_ea_iso,0)</f>
        <v>-0.979317078436135</v>
      </c>
      <c r="AG531" t="str">
        <f t="shared" si="338"/>
        <v>8475783.76383051i</v>
      </c>
      <c r="AH531">
        <f t="shared" si="339"/>
        <v>8475783.7638305109</v>
      </c>
      <c r="AI531">
        <f t="shared" si="340"/>
        <v>1.5707963267948966</v>
      </c>
      <c r="AJ531" t="str">
        <f t="shared" ref="AJ531:AJ560" si="360">IMSUM(IMPRODUCT(COMPLEX(wpA_ea_iso,0),IMPOWER(COMPLEX(0,2*PI()*O531),2)),COMPLEX(0,wpB_ea_iso*2*PI()*O531),COMPLEX(1,0))</f>
        <v>-1111992.05747696+8305.59002585294i</v>
      </c>
      <c r="AK531">
        <f t="shared" si="341"/>
        <v>1112023.0747235059</v>
      </c>
      <c r="AL531">
        <f t="shared" si="342"/>
        <v>3.1341236833524997</v>
      </c>
      <c r="AM531" t="str">
        <f t="shared" ref="AM531:AM560" si="361">IMSUM(COMPLEX(1,0),IMDIV(COMPLEX(0,2*PI()*O531),COMPLEX(wz1_ea_iso,0)))</f>
        <v>1+1179151.0372241i</v>
      </c>
      <c r="AN531">
        <f t="shared" si="343"/>
        <v>1179151.0372245242</v>
      </c>
      <c r="AO531">
        <f t="shared" si="344"/>
        <v>1.5707954787271188</v>
      </c>
      <c r="AP531" t="str">
        <f t="shared" ref="AP531:AP560" si="362">IMSUM(COMPLEX(1,0),IMDIV(COMPLEX(0,2*PI()*O531),COMPLEX(wz2_ea_iso,0)))</f>
        <v>1+7967.2367380007i</v>
      </c>
      <c r="AQ531">
        <f t="shared" si="345"/>
        <v>7967.2368007577161</v>
      </c>
      <c r="AR531">
        <f t="shared" si="346"/>
        <v>1.57067081276442</v>
      </c>
      <c r="AS531" s="42" t="str">
        <f t="shared" si="347"/>
        <v>-7.16726186984089E-06+0.000976101805879076i</v>
      </c>
      <c r="AT531">
        <f t="shared" si="348"/>
        <v>-60.209863527655884</v>
      </c>
      <c r="AU531" s="44">
        <f t="shared" si="349"/>
        <v>90.42070045698533</v>
      </c>
      <c r="AV531" s="42" t="str">
        <f t="shared" ref="AV531:AV560" si="363">IMPRODUCT(AC531,AS531)</f>
        <v>-4.87112916112882E-07-7.9919496396071E-08i</v>
      </c>
      <c r="AW531" s="20">
        <f t="shared" si="350"/>
        <v>-126.1320485397812</v>
      </c>
      <c r="AX531" s="44">
        <f t="shared" si="351"/>
        <v>-170.68262373254373</v>
      </c>
    </row>
    <row r="532" spans="14:50" x14ac:dyDescent="0.3">
      <c r="N532" s="8">
        <v>14</v>
      </c>
      <c r="O532" s="35">
        <f t="shared" si="353"/>
        <v>1380384.2646028849</v>
      </c>
      <c r="P532" s="34" t="str">
        <f t="shared" si="354"/>
        <v>545.10556621881</v>
      </c>
      <c r="Q532" s="4" t="str">
        <f t="shared" si="355"/>
        <v>1+185283.740388891i</v>
      </c>
      <c r="R532" s="4">
        <f t="shared" ref="R532:R560" si="364">IMABS(Q532)</f>
        <v>185283.74039158953</v>
      </c>
      <c r="S532" s="4">
        <f t="shared" ref="S532:S560" si="365">IMARGUMENT(Q532)</f>
        <v>1.5707909296672378</v>
      </c>
      <c r="T532" s="4" t="str">
        <f t="shared" si="356"/>
        <v>1+4.33660506480737i</v>
      </c>
      <c r="U532" s="4">
        <f t="shared" ref="U532:U560" si="366">IMABS(T532)</f>
        <v>4.4504093618579557</v>
      </c>
      <c r="V532" s="4">
        <f t="shared" ref="V532:V560" si="367">IMARGUMENT(T532)</f>
        <v>1.3441627848665456</v>
      </c>
      <c r="W532" t="str">
        <f t="shared" si="357"/>
        <v>1-4.50486534132188i</v>
      </c>
      <c r="X532" s="4">
        <f t="shared" ref="X532:X560" si="368">IMABS(W532)</f>
        <v>4.6145218325892765</v>
      </c>
      <c r="Y532" s="4">
        <f t="shared" ref="Y532:Y560" si="369">IMARGUMENT(W532)</f>
        <v>-1.3523561025020614</v>
      </c>
      <c r="Z532" t="str">
        <f t="shared" si="358"/>
        <v>-120.949485949648+19.5080385753521i</v>
      </c>
      <c r="AA532" s="4">
        <f t="shared" ref="AA532:AA560" si="370">IMABS(Z532)</f>
        <v>122.51261861760005</v>
      </c>
      <c r="AB532" s="4">
        <f t="shared" ref="AB532:AB560" si="371">IMARGUMENT(Z532)</f>
        <v>2.9816790713467043</v>
      </c>
      <c r="AC532" s="48" t="str">
        <f t="shared" ref="AC532:AC560" si="372">(IMDIV(IMPRODUCT(P532,T532,W532),IMPRODUCT(Q532,Z532)))</f>
        <v>-0.0000745384946947775+0.000487495909259282i</v>
      </c>
      <c r="AD532" s="20">
        <f t="shared" ref="AD532:AD560" si="373">20*LOG(IMABS(AC532))</f>
        <v>-66.140216994661955</v>
      </c>
      <c r="AE532" s="44">
        <f t="shared" ref="AE532:AE560" si="374">(180/PI())*IMARGUMENT(AC532)</f>
        <v>98.693240061258365</v>
      </c>
      <c r="AF532" t="str">
        <f t="shared" si="359"/>
        <v>-0.979317078436135</v>
      </c>
      <c r="AG532" t="str">
        <f t="shared" ref="AG532:AG560" si="375">COMPLEX(0,1*2*PI()*O532)</f>
        <v>8673210.12961474i</v>
      </c>
      <c r="AH532">
        <f t="shared" ref="AH532:AH560" si="376">IMABS(AG532)</f>
        <v>8673210.1296147406</v>
      </c>
      <c r="AI532">
        <f t="shared" ref="AI532:AI560" si="377">IMARGUMENT(AG532)</f>
        <v>1.5707963267948966</v>
      </c>
      <c r="AJ532" t="str">
        <f t="shared" si="360"/>
        <v>-1164398.67571852+8499.05207021222i</v>
      </c>
      <c r="AK532">
        <f t="shared" ref="AK532:AK560" si="378">IMABS(AJ532)</f>
        <v>1164429.6929832797</v>
      </c>
      <c r="AL532">
        <f t="shared" ref="AL532:AL560" si="379">IMARGUMENT(AJ532)</f>
        <v>3.1342936920585229</v>
      </c>
      <c r="AM532" t="str">
        <f t="shared" si="361"/>
        <v>1+1206616.993232i</v>
      </c>
      <c r="AN532">
        <f t="shared" ref="AN532:AN560" si="380">IMABS(AM532)</f>
        <v>1206616.9932324141</v>
      </c>
      <c r="AO532">
        <f t="shared" ref="AO532:AO560" si="381">IMARGUMENT(AM532)</f>
        <v>1.5707954980314982</v>
      </c>
      <c r="AP532" t="str">
        <f t="shared" si="362"/>
        <v>1+8152.81752183788i</v>
      </c>
      <c r="AQ532">
        <f t="shared" ref="AQ532:AQ560" si="382">IMABS(AP532)</f>
        <v>8152.8175831663702</v>
      </c>
      <c r="AR532">
        <f t="shared" ref="AR532:AR560" si="383">IMARGUMENT(AP532)</f>
        <v>1.5706736698125336</v>
      </c>
      <c r="AS532" s="42" t="str">
        <f t="shared" ref="AS532:AS560" si="384">IMDIV(IMPRODUCT(AF532,AM532,AP532),IMPRODUCT(AG532,AJ532))</f>
        <v>-6.84469857408464E-06+0.00095388533196267i</v>
      </c>
      <c r="AT532">
        <f t="shared" ref="AT532:AT560" si="385">20*LOG(IMABS(AS532))</f>
        <v>-60.409852978363325</v>
      </c>
      <c r="AU532" s="44">
        <f t="shared" ref="AU532:AU560" si="386">(180/PI())*IMARGUMENT(AS532)</f>
        <v>90.411124478507958</v>
      </c>
      <c r="AV532" s="42" t="str">
        <f t="shared" si="363"/>
        <v>-4.64505003705882E-07-7.44379393109047E-08i</v>
      </c>
      <c r="AW532" s="20">
        <f t="shared" ref="AW532:AW560" si="387">20*LOG(IMABS(AV532))</f>
        <v>-126.55006997302529</v>
      </c>
      <c r="AX532" s="44">
        <f t="shared" ref="AX532:AX560" si="388">(180/PI())*IMARGUMENT(AV532)</f>
        <v>-170.89563546023368</v>
      </c>
    </row>
    <row r="533" spans="14:50" x14ac:dyDescent="0.3">
      <c r="N533" s="8">
        <v>15</v>
      </c>
      <c r="O533" s="35">
        <f t="shared" si="353"/>
        <v>1412537.5446227565</v>
      </c>
      <c r="P533" s="34" t="str">
        <f t="shared" si="354"/>
        <v>545.10556621881</v>
      </c>
      <c r="Q533" s="4" t="str">
        <f t="shared" si="355"/>
        <v>1+189599.553123519i</v>
      </c>
      <c r="R533" s="4">
        <f t="shared" si="364"/>
        <v>189599.55312615613</v>
      </c>
      <c r="S533" s="4">
        <f t="shared" si="365"/>
        <v>1.5707910525208622</v>
      </c>
      <c r="T533" s="4" t="str">
        <f t="shared" si="356"/>
        <v>1+4.43761757310661i</v>
      </c>
      <c r="U533" s="4">
        <f t="shared" si="366"/>
        <v>4.5488954401200079</v>
      </c>
      <c r="V533" s="4">
        <f t="shared" si="367"/>
        <v>1.3491524458921822</v>
      </c>
      <c r="W533" t="str">
        <f t="shared" si="357"/>
        <v>1-4.60979713494314i</v>
      </c>
      <c r="X533" s="4">
        <f t="shared" si="368"/>
        <v>4.7170149062018005</v>
      </c>
      <c r="Y533" s="4">
        <f t="shared" si="369"/>
        <v>-1.3571768548872483</v>
      </c>
      <c r="Z533" t="str">
        <f t="shared" si="358"/>
        <v>-126.696788158009+19.9624391673005i</v>
      </c>
      <c r="AA533" s="4">
        <f t="shared" si="370"/>
        <v>128.25979536496845</v>
      </c>
      <c r="AB533" s="4">
        <f t="shared" si="371"/>
        <v>2.9853166700447278</v>
      </c>
      <c r="AC533" s="48" t="str">
        <f t="shared" si="372"/>
        <v>-0.0000710474660577107+0.000475702532025247i</v>
      </c>
      <c r="AD533" s="20">
        <f t="shared" si="373"/>
        <v>-66.357480646398827</v>
      </c>
      <c r="AE533" s="44">
        <f t="shared" si="374"/>
        <v>98.494491721526231</v>
      </c>
      <c r="AF533" t="str">
        <f t="shared" si="359"/>
        <v>-0.979317078436135</v>
      </c>
      <c r="AG533" t="str">
        <f t="shared" si="375"/>
        <v>8875235.14621323i</v>
      </c>
      <c r="AH533">
        <f t="shared" si="376"/>
        <v>8875235.1462132297</v>
      </c>
      <c r="AI533">
        <f t="shared" si="377"/>
        <v>1.5707963267948966</v>
      </c>
      <c r="AJ533" t="str">
        <f t="shared" si="360"/>
        <v>-1219275.14178608+8697.02042447742i</v>
      </c>
      <c r="AK533">
        <f t="shared" si="378"/>
        <v>1219306.1590682338</v>
      </c>
      <c r="AL533">
        <f t="shared" si="379"/>
        <v>3.1344598312819247</v>
      </c>
      <c r="AM533" t="str">
        <f t="shared" si="361"/>
        <v>1+1234722.71354118i</v>
      </c>
      <c r="AN533">
        <f t="shared" si="380"/>
        <v>1234722.7135415848</v>
      </c>
      <c r="AO533">
        <f t="shared" si="381"/>
        <v>1.5707955168964562</v>
      </c>
      <c r="AP533" t="str">
        <f t="shared" si="362"/>
        <v>1+8342.72103744046i</v>
      </c>
      <c r="AQ533">
        <f t="shared" si="382"/>
        <v>8342.7210973729434</v>
      </c>
      <c r="AR533">
        <f t="shared" si="383"/>
        <v>1.5706764618262943</v>
      </c>
      <c r="AS533" s="42" t="str">
        <f t="shared" si="384"/>
        <v>-6.53665155525151E-06+0.000932174412172703i</v>
      </c>
      <c r="AT533">
        <f t="shared" si="385"/>
        <v>-60.609842903843258</v>
      </c>
      <c r="AU533" s="44">
        <f t="shared" si="386"/>
        <v>90.401766453682768</v>
      </c>
      <c r="AV533" s="42" t="str">
        <f t="shared" si="363"/>
        <v>-4.42973315630198E-07-6.93381316045065E-08i</v>
      </c>
      <c r="AW533" s="20">
        <f t="shared" si="387"/>
        <v>-126.9673235502421</v>
      </c>
      <c r="AX533" s="44">
        <f t="shared" si="388"/>
        <v>-171.10374182479097</v>
      </c>
    </row>
    <row r="534" spans="14:50" x14ac:dyDescent="0.3">
      <c r="N534" s="8">
        <v>16</v>
      </c>
      <c r="O534" s="35">
        <f t="shared" si="353"/>
        <v>1445439.7707459298</v>
      </c>
      <c r="P534" s="34" t="str">
        <f t="shared" si="354"/>
        <v>545.10556621881</v>
      </c>
      <c r="Q534" s="4" t="str">
        <f t="shared" si="355"/>
        <v>1+194015.894050859i</v>
      </c>
      <c r="R534" s="4">
        <f t="shared" si="364"/>
        <v>194015.89405343609</v>
      </c>
      <c r="S534" s="4">
        <f t="shared" si="365"/>
        <v>1.5707911725779966</v>
      </c>
      <c r="T534" s="4" t="str">
        <f t="shared" si="356"/>
        <v>1+4.54098296498193i</v>
      </c>
      <c r="U534" s="4">
        <f t="shared" si="366"/>
        <v>4.6497877680874948</v>
      </c>
      <c r="V534" s="4">
        <f t="shared" si="367"/>
        <v>1.3540393948056022</v>
      </c>
      <c r="W534" t="str">
        <f t="shared" si="357"/>
        <v>1-4.71717310402322i</v>
      </c>
      <c r="X534" s="4">
        <f t="shared" si="368"/>
        <v>4.8220039499486171</v>
      </c>
      <c r="Y534" s="4">
        <f t="shared" si="369"/>
        <v>-1.3618976363802631</v>
      </c>
      <c r="Z534" t="str">
        <f t="shared" si="358"/>
        <v>-132.714952374659+20.4274241087295i</v>
      </c>
      <c r="AA534" s="4">
        <f t="shared" si="370"/>
        <v>134.27783971871872</v>
      </c>
      <c r="AB534" s="4">
        <f t="shared" si="371"/>
        <v>2.9888716389169114</v>
      </c>
      <c r="AC534" s="48" t="str">
        <f t="shared" si="372"/>
        <v>-0.000067725429426501+0.000464222746534522i</v>
      </c>
      <c r="AD534" s="20">
        <f t="shared" si="373"/>
        <v>-66.574006916237366</v>
      </c>
      <c r="AE534" s="44">
        <f t="shared" si="374"/>
        <v>98.300320821964419</v>
      </c>
      <c r="AF534" t="str">
        <f t="shared" si="359"/>
        <v>-0.979317078436135</v>
      </c>
      <c r="AG534" t="str">
        <f t="shared" si="375"/>
        <v>9081965.92996386i</v>
      </c>
      <c r="AH534">
        <f t="shared" si="376"/>
        <v>9081965.9299638607</v>
      </c>
      <c r="AI534">
        <f t="shared" si="377"/>
        <v>1.5707963267948966</v>
      </c>
      <c r="AJ534" t="str">
        <f t="shared" si="360"/>
        <v>-1276737.85602156+8899.60005409034i</v>
      </c>
      <c r="AK534">
        <f t="shared" si="378"/>
        <v>1276768.8733203253</v>
      </c>
      <c r="AL534">
        <f t="shared" si="379"/>
        <v>3.1346221890769876</v>
      </c>
      <c r="AM534" t="str">
        <f t="shared" si="361"/>
        <v>1+1263483.10017657i</v>
      </c>
      <c r="AN534">
        <f t="shared" si="380"/>
        <v>1263483.1001769656</v>
      </c>
      <c r="AO534">
        <f t="shared" si="381"/>
        <v>1.5707955353319956</v>
      </c>
      <c r="AP534" t="str">
        <f t="shared" si="362"/>
        <v>1+8537.04797416605i</v>
      </c>
      <c r="AQ534">
        <f t="shared" si="382"/>
        <v>8537.048032734303</v>
      </c>
      <c r="AR534">
        <f t="shared" si="383"/>
        <v>1.5706791902860644</v>
      </c>
      <c r="AS534" s="42" t="str">
        <f t="shared" si="384"/>
        <v>-6.24246760196342E-06+0.000910957549007436i</v>
      </c>
      <c r="AT534">
        <f t="shared" si="385"/>
        <v>-60.809833282729436</v>
      </c>
      <c r="AU534" s="44">
        <f t="shared" si="386"/>
        <v>90.392621422762602</v>
      </c>
      <c r="AV534" s="42" t="str">
        <f t="shared" si="363"/>
        <v>-4.22464441577564E-07-6.45928866511777E-08i</v>
      </c>
      <c r="AW534" s="20">
        <f t="shared" si="387"/>
        <v>-127.38384019896682</v>
      </c>
      <c r="AX534" s="44">
        <f t="shared" si="388"/>
        <v>-171.30705775527295</v>
      </c>
    </row>
    <row r="535" spans="14:50" x14ac:dyDescent="0.3">
      <c r="N535" s="8">
        <v>17</v>
      </c>
      <c r="O535" s="35">
        <f t="shared" si="353"/>
        <v>1479108.3881682095</v>
      </c>
      <c r="P535" s="34" t="str">
        <f t="shared" si="354"/>
        <v>545.10556621881</v>
      </c>
      <c r="Q535" s="4" t="str">
        <f t="shared" si="355"/>
        <v>1+198535.104773329i</v>
      </c>
      <c r="R535" s="4">
        <f t="shared" si="364"/>
        <v>198535.10477584743</v>
      </c>
      <c r="S535" s="4">
        <f t="shared" si="365"/>
        <v>1.5707912899022971</v>
      </c>
      <c r="T535" s="4" t="str">
        <f t="shared" si="356"/>
        <v>1+4.64675604613229i</v>
      </c>
      <c r="U535" s="4">
        <f t="shared" si="366"/>
        <v>4.753140199096487</v>
      </c>
      <c r="V535" s="4">
        <f t="shared" si="367"/>
        <v>1.3588252886155259</v>
      </c>
      <c r="W535" t="str">
        <f t="shared" si="357"/>
        <v>1-4.8270501807222i</v>
      </c>
      <c r="X535" s="4">
        <f t="shared" si="368"/>
        <v>4.9295449533613365</v>
      </c>
      <c r="Y535" s="4">
        <f t="shared" si="369"/>
        <v>-1.3665201079619675</v>
      </c>
      <c r="Z535" t="str">
        <f t="shared" si="358"/>
        <v>-139.016743932772+20.9032399408098i</v>
      </c>
      <c r="AA535" s="4">
        <f t="shared" si="370"/>
        <v>140.57951676433152</v>
      </c>
      <c r="AB535" s="4">
        <f t="shared" si="371"/>
        <v>2.9923458466558395</v>
      </c>
      <c r="AC535" s="48" t="str">
        <f t="shared" si="372"/>
        <v>-0.0000645637496946736+0.000453046547841989i</v>
      </c>
      <c r="AD535" s="20">
        <f t="shared" si="373"/>
        <v>-66.789825658330656</v>
      </c>
      <c r="AE535" s="44">
        <f t="shared" si="374"/>
        <v>98.110620063140445</v>
      </c>
      <c r="AF535" t="str">
        <f t="shared" si="359"/>
        <v>-0.979317078436135</v>
      </c>
      <c r="AG535" t="str">
        <f t="shared" si="375"/>
        <v>9293512.09226457i</v>
      </c>
      <c r="AH535">
        <f t="shared" si="376"/>
        <v>9293512.0922645703</v>
      </c>
      <c r="AI535">
        <f t="shared" si="377"/>
        <v>1.5707963267948966</v>
      </c>
      <c r="AJ535" t="str">
        <f t="shared" si="360"/>
        <v>-1336908.70454602+9106.89836945206i</v>
      </c>
      <c r="AK535">
        <f t="shared" si="378"/>
        <v>1336939.7218606488</v>
      </c>
      <c r="AL535">
        <f t="shared" si="379"/>
        <v>3.1347808514953628</v>
      </c>
      <c r="AM535" t="str">
        <f t="shared" si="361"/>
        <v>1+1292913.40227585i</v>
      </c>
      <c r="AN535">
        <f t="shared" si="380"/>
        <v>1292913.4022762368</v>
      </c>
      <c r="AO535">
        <f t="shared" si="381"/>
        <v>1.5707955533478906</v>
      </c>
      <c r="AP535" t="str">
        <f t="shared" si="362"/>
        <v>1+8735.90136672872i</v>
      </c>
      <c r="AQ535">
        <f t="shared" si="382"/>
        <v>8735.9014239637982</v>
      </c>
      <c r="AR535">
        <f t="shared" si="383"/>
        <v>1.5706818566385095</v>
      </c>
      <c r="AS535" s="42" t="str">
        <f t="shared" si="384"/>
        <v>-5.96152289087362E-06+0.000890223505991848i</v>
      </c>
      <c r="AT535">
        <f t="shared" si="385"/>
        <v>-61.00982409461713</v>
      </c>
      <c r="AU535" s="44">
        <f t="shared" si="386"/>
        <v>90.383684538798917</v>
      </c>
      <c r="AV535" s="42" t="str">
        <f t="shared" si="363"/>
        <v>-4.02927787925673E-07-6.01770149787637E-08i</v>
      </c>
      <c r="AW535" s="20">
        <f t="shared" si="387"/>
        <v>-127.7996497529478</v>
      </c>
      <c r="AX535" s="44">
        <f t="shared" si="388"/>
        <v>-171.50569539806062</v>
      </c>
    </row>
    <row r="536" spans="14:50" x14ac:dyDescent="0.3">
      <c r="N536" s="8">
        <v>18</v>
      </c>
      <c r="O536" s="35">
        <f t="shared" si="353"/>
        <v>1513561.2484362102</v>
      </c>
      <c r="P536" s="34" t="str">
        <f t="shared" si="354"/>
        <v>545.10556621881</v>
      </c>
      <c r="Q536" s="4" t="str">
        <f t="shared" si="355"/>
        <v>1+203159.581436273i</v>
      </c>
      <c r="R536" s="4">
        <f t="shared" si="364"/>
        <v>203159.58143873414</v>
      </c>
      <c r="S536" s="4">
        <f t="shared" si="365"/>
        <v>1.5707914045559703</v>
      </c>
      <c r="T536" s="4" t="str">
        <f t="shared" si="356"/>
        <v>1+4.7549928988454i</v>
      </c>
      <c r="U536" s="4">
        <f t="shared" si="366"/>
        <v>4.8590078686981135</v>
      </c>
      <c r="V536" s="4">
        <f t="shared" si="367"/>
        <v>1.3635117875041587</v>
      </c>
      <c r="W536" t="str">
        <f t="shared" si="357"/>
        <v>1-4.93948662332058i</v>
      </c>
      <c r="X536" s="4">
        <f t="shared" si="368"/>
        <v>5.0396952389963969</v>
      </c>
      <c r="Y536" s="4">
        <f t="shared" si="369"/>
        <v>-1.3710459300027142</v>
      </c>
      <c r="Z536" t="str">
        <f t="shared" si="358"/>
        <v>-145.615529777138+21.3901389473938i</v>
      </c>
      <c r="AA536" s="4">
        <f t="shared" si="370"/>
        <v>147.17819320967823</v>
      </c>
      <c r="AB536" s="4">
        <f t="shared" si="371"/>
        <v>2.9957411203075455</v>
      </c>
      <c r="AC536" s="48" t="str">
        <f t="shared" si="372"/>
        <v>-0.0000615542690042921+0.00044216433432469i</v>
      </c>
      <c r="AD536" s="20">
        <f t="shared" si="373"/>
        <v>-67.00496565771752</v>
      </c>
      <c r="AE536" s="44">
        <f t="shared" si="374"/>
        <v>97.925284748683467</v>
      </c>
      <c r="AF536" t="str">
        <f t="shared" si="359"/>
        <v>-0.979317078436135</v>
      </c>
      <c r="AG536" t="str">
        <f t="shared" si="375"/>
        <v>9509985.79769079i</v>
      </c>
      <c r="AH536">
        <f t="shared" si="376"/>
        <v>9509985.7976907901</v>
      </c>
      <c r="AI536">
        <f t="shared" si="377"/>
        <v>1.5707963267948966</v>
      </c>
      <c r="AJ536" t="str">
        <f t="shared" si="360"/>
        <v>-1399915.31779643+9319.02528287333i</v>
      </c>
      <c r="AK536">
        <f t="shared" si="378"/>
        <v>1399946.3351262086</v>
      </c>
      <c r="AL536">
        <f t="shared" si="379"/>
        <v>3.1349359026315398</v>
      </c>
      <c r="AM536" t="str">
        <f t="shared" si="361"/>
        <v>1+1323029.22417474i</v>
      </c>
      <c r="AN536">
        <f t="shared" si="380"/>
        <v>1323029.2241751179</v>
      </c>
      <c r="AO536">
        <f t="shared" si="381"/>
        <v>1.5707955709536938</v>
      </c>
      <c r="AP536" t="str">
        <f t="shared" si="362"/>
        <v>1+8939.38664982936i</v>
      </c>
      <c r="AQ536">
        <f t="shared" si="382"/>
        <v>8939.3867057616062</v>
      </c>
      <c r="AR536">
        <f t="shared" si="383"/>
        <v>1.5706844622973644</v>
      </c>
      <c r="AS536" s="42" t="str">
        <f t="shared" si="384"/>
        <v>-5.69322166498346E-06+0.000869961301781864i</v>
      </c>
      <c r="AT536">
        <f t="shared" si="385"/>
        <v>-61.209815320019921</v>
      </c>
      <c r="AU536" s="44">
        <f t="shared" si="386"/>
        <v>90.374951065080751</v>
      </c>
      <c r="AV536" s="42" t="str">
        <f t="shared" si="363"/>
        <v>-3.84315417792751E-07-5.60671715608653E-08i</v>
      </c>
      <c r="AW536" s="20">
        <f t="shared" si="387"/>
        <v>-128.21478097773746</v>
      </c>
      <c r="AX536" s="44">
        <f t="shared" si="388"/>
        <v>-171.69976418623577</v>
      </c>
    </row>
    <row r="537" spans="14:50" x14ac:dyDescent="0.3">
      <c r="N537" s="8">
        <v>19</v>
      </c>
      <c r="O537" s="35">
        <f t="shared" si="353"/>
        <v>1548816.6189124861</v>
      </c>
      <c r="P537" s="34" t="str">
        <f t="shared" si="354"/>
        <v>545.10556621881</v>
      </c>
      <c r="Q537" s="4" t="str">
        <f t="shared" si="355"/>
        <v>1+207891.77599843i</v>
      </c>
      <c r="R537" s="4">
        <f t="shared" si="364"/>
        <v>207891.77600083509</v>
      </c>
      <c r="S537" s="4">
        <f t="shared" si="365"/>
        <v>1.5707915165998074</v>
      </c>
      <c r="T537" s="4" t="str">
        <f t="shared" si="356"/>
        <v>1+4.86575091173325i</v>
      </c>
      <c r="U537" s="4">
        <f t="shared" si="366"/>
        <v>4.9674472251885033</v>
      </c>
      <c r="V537" s="4">
        <f t="shared" si="367"/>
        <v>1.3681005524858818</v>
      </c>
      <c r="W537" t="str">
        <f t="shared" si="357"/>
        <v>1-5.05454204710849i</v>
      </c>
      <c r="X537" s="4">
        <f t="shared" si="368"/>
        <v>5.1525134940131592</v>
      </c>
      <c r="Y537" s="4">
        <f t="shared" si="369"/>
        <v>-1.3754767601815463</v>
      </c>
      <c r="Z537" t="str">
        <f t="shared" si="358"/>
        <v>-152.525306817249+21.8883792887798i</v>
      </c>
      <c r="AA537" s="4">
        <f t="shared" si="370"/>
        <v>154.08786573765445</v>
      </c>
      <c r="AB537" s="4">
        <f t="shared" si="371"/>
        <v>2.9990592461519237</v>
      </c>
      <c r="AC537" s="48" t="str">
        <f t="shared" si="372"/>
        <v>-0.0000586892777210492+0.000431566888473399i</v>
      </c>
      <c r="AD537" s="20">
        <f t="shared" si="373"/>
        <v>-67.219454656573532</v>
      </c>
      <c r="AE537" s="44">
        <f t="shared" si="374"/>
        <v>97.744212719912227</v>
      </c>
      <c r="AF537" t="str">
        <f t="shared" si="359"/>
        <v>-0.979317078436135</v>
      </c>
      <c r="AG537" t="str">
        <f t="shared" si="375"/>
        <v>9731501.8234665i</v>
      </c>
      <c r="AH537">
        <f t="shared" si="376"/>
        <v>9731501.8234665003</v>
      </c>
      <c r="AI537">
        <f t="shared" si="377"/>
        <v>1.5707963267948966</v>
      </c>
      <c r="AJ537" t="str">
        <f t="shared" si="360"/>
        <v>-1465891.34124695+9536.09326685147i</v>
      </c>
      <c r="AK537">
        <f t="shared" si="378"/>
        <v>1465922.3585911964</v>
      </c>
      <c r="AL537">
        <f t="shared" si="379"/>
        <v>3.135087424667288</v>
      </c>
      <c r="AM537" t="str">
        <f t="shared" si="361"/>
        <v>1+1353846.53368066i</v>
      </c>
      <c r="AN537">
        <f t="shared" si="380"/>
        <v>1353846.5336810292</v>
      </c>
      <c r="AO537">
        <f t="shared" si="381"/>
        <v>1.5707955881587403</v>
      </c>
      <c r="AP537" t="str">
        <f t="shared" si="362"/>
        <v>1+9147.61171405853i</v>
      </c>
      <c r="AQ537">
        <f t="shared" si="382"/>
        <v>9147.6117687176047</v>
      </c>
      <c r="AR537">
        <f t="shared" si="383"/>
        <v>1.5706870086441842</v>
      </c>
      <c r="AS537" s="42" t="str">
        <f t="shared" si="384"/>
        <v>-5.43699497135739E-06+0.000850160204399774i</v>
      </c>
      <c r="AT537">
        <f t="shared" si="385"/>
        <v>-61.409806940328068</v>
      </c>
      <c r="AU537" s="44">
        <f t="shared" si="386"/>
        <v>90.366416372631633</v>
      </c>
      <c r="AV537" s="42" t="str">
        <f t="shared" si="363"/>
        <v>-3.66581900808877E-07-5.22417153458365E-08i</v>
      </c>
      <c r="AW537" s="20">
        <f t="shared" si="387"/>
        <v>-128.62926159690161</v>
      </c>
      <c r="AX537" s="44">
        <f t="shared" si="388"/>
        <v>-171.88937090745614</v>
      </c>
    </row>
    <row r="538" spans="14:50" x14ac:dyDescent="0.3">
      <c r="N538" s="8">
        <v>20</v>
      </c>
      <c r="O538" s="35">
        <f t="shared" si="353"/>
        <v>1584893.1924611153</v>
      </c>
      <c r="P538" s="34" t="str">
        <f t="shared" si="354"/>
        <v>545.10556621881</v>
      </c>
      <c r="Q538" s="4" t="str">
        <f t="shared" si="355"/>
        <v>1+212734.197531993i</v>
      </c>
      <c r="R538" s="4">
        <f t="shared" si="364"/>
        <v>212734.19753434334</v>
      </c>
      <c r="S538" s="4">
        <f t="shared" si="365"/>
        <v>1.5707916260932153</v>
      </c>
      <c r="T538" s="4" t="str">
        <f t="shared" si="356"/>
        <v>1+4.97908881016031i</v>
      </c>
      <c r="U538" s="4">
        <f t="shared" si="366"/>
        <v>5.0785160607665327</v>
      </c>
      <c r="V538" s="4">
        <f t="shared" si="367"/>
        <v>1.3725932432256578</v>
      </c>
      <c r="W538" t="str">
        <f t="shared" si="357"/>
        <v>1-5.17227745599452i</v>
      </c>
      <c r="X538" s="4">
        <f t="shared" si="368"/>
        <v>5.2680598024119982</v>
      </c>
      <c r="Y538" s="4">
        <f t="shared" si="369"/>
        <v>-1.3798142515543028</v>
      </c>
      <c r="Z538" t="str">
        <f t="shared" si="358"/>
        <v>-159.760731616614+22.3982251385915i</v>
      </c>
      <c r="AA538" s="4">
        <f t="shared" si="370"/>
        <v>161.32319069506033</v>
      </c>
      <c r="AB538" s="4">
        <f t="shared" si="371"/>
        <v>3.0023019705684706</v>
      </c>
      <c r="AC538" s="48" t="str">
        <f t="shared" si="372"/>
        <v>-0.0000559614873474006+0.000421245358610109i</v>
      </c>
      <c r="AD538" s="20">
        <f t="shared" si="373"/>
        <v>-67.433319380929916</v>
      </c>
      <c r="AE538" s="44">
        <f t="shared" si="374"/>
        <v>97.567304291923236</v>
      </c>
      <c r="AF538" t="str">
        <f t="shared" si="359"/>
        <v>-0.979317078436135</v>
      </c>
      <c r="AG538" t="str">
        <f t="shared" si="375"/>
        <v>9958177.62032063i</v>
      </c>
      <c r="AH538">
        <f t="shared" si="376"/>
        <v>9958177.6203206293</v>
      </c>
      <c r="AI538">
        <f t="shared" si="377"/>
        <v>1.5707963267948966</v>
      </c>
      <c r="AJ538" t="str">
        <f t="shared" si="360"/>
        <v>-1534976.71888884+9758.21741370478i</v>
      </c>
      <c r="AK538">
        <f t="shared" si="378"/>
        <v>1535007.736246903</v>
      </c>
      <c r="AL538">
        <f t="shared" si="379"/>
        <v>3.1352354979150969</v>
      </c>
      <c r="AM538" t="str">
        <f t="shared" si="361"/>
        <v>1+1385381.67053901i</v>
      </c>
      <c r="AN538">
        <f t="shared" si="380"/>
        <v>1385381.6705393712</v>
      </c>
      <c r="AO538">
        <f t="shared" si="381"/>
        <v>1.5707956049721519</v>
      </c>
      <c r="AP538" t="str">
        <f t="shared" si="362"/>
        <v>1+9360.68696310141i</v>
      </c>
      <c r="AQ538">
        <f t="shared" si="382"/>
        <v>9360.6870165162927</v>
      </c>
      <c r="AR538">
        <f t="shared" si="383"/>
        <v>1.5706894970290752</v>
      </c>
      <c r="AS538" s="42" t="str">
        <f t="shared" si="384"/>
        <v>-5.19229945557013E-06+0.000830809725597938i</v>
      </c>
      <c r="AT538">
        <f t="shared" si="385"/>
        <v>-61.60979893776932</v>
      </c>
      <c r="AU538" s="44">
        <f t="shared" si="386"/>
        <v>90.358075937762962</v>
      </c>
      <c r="AV538" s="42" t="str">
        <f t="shared" si="363"/>
        <v>-3.49684171995983E-07-4.86805799933191E-08i</v>
      </c>
      <c r="AW538" s="20">
        <f t="shared" si="387"/>
        <v>-129.04311831869924</v>
      </c>
      <c r="AX538" s="44">
        <f t="shared" si="388"/>
        <v>-172.07461977031377</v>
      </c>
    </row>
    <row r="539" spans="14:50" x14ac:dyDescent="0.3">
      <c r="N539" s="8">
        <v>21</v>
      </c>
      <c r="O539" s="35">
        <f t="shared" si="353"/>
        <v>1621810.0973589318</v>
      </c>
      <c r="P539" s="34" t="str">
        <f t="shared" si="354"/>
        <v>545.10556621881</v>
      </c>
      <c r="Q539" s="4" t="str">
        <f t="shared" si="355"/>
        <v>1+217689.413552958i</v>
      </c>
      <c r="R539" s="4">
        <f t="shared" si="364"/>
        <v>217689.41355525487</v>
      </c>
      <c r="S539" s="4">
        <f t="shared" si="365"/>
        <v>1.5707917330942491</v>
      </c>
      <c r="T539" s="4" t="str">
        <f t="shared" si="356"/>
        <v>1+5.09506668738055i</v>
      </c>
      <c r="U539" s="4">
        <f t="shared" si="366"/>
        <v>5.1922735433386995</v>
      </c>
      <c r="V539" s="4">
        <f t="shared" si="367"/>
        <v>1.376991516010619</v>
      </c>
      <c r="W539" t="str">
        <f t="shared" si="357"/>
        <v>1-5.2927552748509i</v>
      </c>
      <c r="X539" s="4">
        <f t="shared" si="368"/>
        <v>5.3863956779521898</v>
      </c>
      <c r="Y539" s="4">
        <f t="shared" si="369"/>
        <v>-1.3840600507640788</v>
      </c>
      <c r="Z539" t="str">
        <f t="shared" si="358"/>
        <v>-167.337151481304+22.9199468238472i</v>
      </c>
      <c r="AA539" s="4">
        <f t="shared" si="370"/>
        <v>168.89951518072769</v>
      </c>
      <c r="AB539" s="4">
        <f t="shared" si="371"/>
        <v>3.0054710008872592</v>
      </c>
      <c r="AC539" s="48" t="str">
        <f t="shared" si="372"/>
        <v>-0.000053364005235037+0.000411191241496853i</v>
      </c>
      <c r="AD539" s="20">
        <f t="shared" si="373"/>
        <v>-67.646585567726888</v>
      </c>
      <c r="AE539" s="44">
        <f t="shared" si="374"/>
        <v>97.394462191145422</v>
      </c>
      <c r="AF539" t="str">
        <f t="shared" si="359"/>
        <v>-0.979317078436135</v>
      </c>
      <c r="AG539" t="str">
        <f t="shared" si="375"/>
        <v>10190133.3747611i</v>
      </c>
      <c r="AH539">
        <f t="shared" si="376"/>
        <v>10190133.374761101</v>
      </c>
      <c r="AI539">
        <f t="shared" si="377"/>
        <v>1.5707963267948966</v>
      </c>
      <c r="AJ539" t="str">
        <f t="shared" si="360"/>
        <v>-1607317.99007054+9985.51549659613i</v>
      </c>
      <c r="AK539">
        <f t="shared" si="378"/>
        <v>1607349.007441798</v>
      </c>
      <c r="AL539">
        <f t="shared" si="379"/>
        <v>3.1353802008606317</v>
      </c>
      <c r="AM539" t="str">
        <f t="shared" si="361"/>
        <v>1+1417651.35509676i</v>
      </c>
      <c r="AN539">
        <f t="shared" si="380"/>
        <v>1417651.3550971125</v>
      </c>
      <c r="AO539">
        <f t="shared" si="381"/>
        <v>1.5707956214028436</v>
      </c>
      <c r="AP539" t="str">
        <f t="shared" si="362"/>
        <v>1+9578.72537227546i</v>
      </c>
      <c r="AQ539">
        <f t="shared" si="382"/>
        <v>9578.725424474469</v>
      </c>
      <c r="AR539">
        <f t="shared" si="383"/>
        <v>1.5706919287714121</v>
      </c>
      <c r="AS539" s="42" t="str">
        <f t="shared" si="384"/>
        <v>-4.95861621033913E-06+0.000811899615348137i</v>
      </c>
      <c r="AT539">
        <f t="shared" si="385"/>
        <v>-61.809791295371369</v>
      </c>
      <c r="AU539" s="44">
        <f t="shared" si="386"/>
        <v>90.349925339682741</v>
      </c>
      <c r="AV539" s="42" t="str">
        <f t="shared" si="363"/>
        <v>-3.33581399184411E-07-4.53651548793983E-08i</v>
      </c>
      <c r="AW539" s="20">
        <f t="shared" si="387"/>
        <v>-129.45637686309826</v>
      </c>
      <c r="AX539" s="44">
        <f t="shared" si="388"/>
        <v>-172.25561246917184</v>
      </c>
    </row>
    <row r="540" spans="14:50" x14ac:dyDescent="0.3">
      <c r="N540" s="8">
        <v>22</v>
      </c>
      <c r="O540" s="35">
        <f t="shared" si="353"/>
        <v>1659586.9074375622</v>
      </c>
      <c r="P540" s="34" t="str">
        <f t="shared" si="354"/>
        <v>545.10556621881</v>
      </c>
      <c r="Q540" s="4" t="str">
        <f t="shared" si="355"/>
        <v>1+222760.05138245i</v>
      </c>
      <c r="R540" s="4">
        <f t="shared" si="364"/>
        <v>222760.05138469458</v>
      </c>
      <c r="S540" s="4">
        <f t="shared" si="365"/>
        <v>1.5707918376596419</v>
      </c>
      <c r="T540" s="4" t="str">
        <f t="shared" si="356"/>
        <v>1+5.21374603639965i</v>
      </c>
      <c r="U540" s="4">
        <f t="shared" si="366"/>
        <v>5.3087802489906339</v>
      </c>
      <c r="V540" s="4">
        <f t="shared" si="367"/>
        <v>1.381297021868279</v>
      </c>
      <c r="W540" t="str">
        <f t="shared" si="357"/>
        <v>1-5.41603938261194i</v>
      </c>
      <c r="X540" s="4">
        <f t="shared" si="368"/>
        <v>5.5075840977695041</v>
      </c>
      <c r="Y540" s="4">
        <f t="shared" si="369"/>
        <v>-1.3882157963875243</v>
      </c>
      <c r="Z540" t="str">
        <f t="shared" si="358"/>
        <v>-175.270637013643+23.4538209682905i</v>
      </c>
      <c r="AA540" s="4">
        <f t="shared" si="370"/>
        <v>176.83290959880975</v>
      </c>
      <c r="AB540" s="4">
        <f t="shared" si="371"/>
        <v>3.0085680062250564</v>
      </c>
      <c r="AC540" s="48" t="str">
        <f t="shared" si="372"/>
        <v>-0.0000508903109682635+0.000401396365801025i</v>
      </c>
      <c r="AD540" s="20">
        <f t="shared" si="373"/>
        <v>-67.859277992078816</v>
      </c>
      <c r="AE540" s="44">
        <f t="shared" si="374"/>
        <v>97.225591494363812</v>
      </c>
      <c r="AF540" t="str">
        <f t="shared" si="359"/>
        <v>-0.979317078436135</v>
      </c>
      <c r="AG540" t="str">
        <f t="shared" si="375"/>
        <v>10427492.0727993i</v>
      </c>
      <c r="AH540">
        <f t="shared" si="376"/>
        <v>10427492.072799301</v>
      </c>
      <c r="AI540">
        <f t="shared" si="377"/>
        <v>1.5707963267948966</v>
      </c>
      <c r="AJ540" t="str">
        <f t="shared" si="360"/>
        <v>-1683068.60032721+10218.1080319777i</v>
      </c>
      <c r="AK540">
        <f t="shared" si="378"/>
        <v>1683099.6177110691</v>
      </c>
      <c r="AL540">
        <f t="shared" si="379"/>
        <v>3.1355216102042296</v>
      </c>
      <c r="AM540" t="str">
        <f t="shared" si="361"/>
        <v>1+1450672.69716784i</v>
      </c>
      <c r="AN540">
        <f t="shared" si="380"/>
        <v>1450672.6971681847</v>
      </c>
      <c r="AO540">
        <f t="shared" si="381"/>
        <v>1.5707956374595269</v>
      </c>
      <c r="AP540" t="str">
        <f t="shared" si="362"/>
        <v>1+9801.84254843137i</v>
      </c>
      <c r="AQ540">
        <f t="shared" si="382"/>
        <v>9801.8425994421868</v>
      </c>
      <c r="AR540">
        <f t="shared" si="383"/>
        <v>1.5706943051605367</v>
      </c>
      <c r="AS540" s="42" t="str">
        <f t="shared" si="384"/>
        <v>-0.0000047354496759118+0.000793419856453941i</v>
      </c>
      <c r="AT540">
        <f t="shared" si="385"/>
        <v>-62.009783996925364</v>
      </c>
      <c r="AU540" s="44">
        <f t="shared" si="386"/>
        <v>90.341960258158394</v>
      </c>
      <c r="AV540" s="42" t="str">
        <f t="shared" si="363"/>
        <v>-3.18234858428401E-07-4.22781755136807E-08i</v>
      </c>
      <c r="AW540" s="20">
        <f t="shared" si="387"/>
        <v>-129.86906198900417</v>
      </c>
      <c r="AX540" s="44">
        <f t="shared" si="388"/>
        <v>-172.43244824747779</v>
      </c>
    </row>
    <row r="541" spans="14:50" x14ac:dyDescent="0.3">
      <c r="N541" s="8">
        <v>23</v>
      </c>
      <c r="O541" s="35">
        <f t="shared" si="353"/>
        <v>1698243.6524617488</v>
      </c>
      <c r="P541" s="34" t="str">
        <f t="shared" si="354"/>
        <v>545.10556621881</v>
      </c>
      <c r="Q541" s="4" t="str">
        <f t="shared" si="355"/>
        <v>1+227948.799539763i</v>
      </c>
      <c r="R541" s="4">
        <f t="shared" si="364"/>
        <v>227948.79954195642</v>
      </c>
      <c r="S541" s="4">
        <f t="shared" si="365"/>
        <v>1.5707919398448358</v>
      </c>
      <c r="T541" s="4" t="str">
        <f t="shared" si="356"/>
        <v>1+5.33518978257935i</v>
      </c>
      <c r="U541" s="4">
        <f t="shared" si="366"/>
        <v>5.4280981951452469</v>
      </c>
      <c r="V541" s="4">
        <f t="shared" si="367"/>
        <v>1.3855114048248327</v>
      </c>
      <c r="W541" t="str">
        <f t="shared" si="357"/>
        <v>1-5.54219514614341i</v>
      </c>
      <c r="X541" s="4">
        <f t="shared" si="368"/>
        <v>5.631689536714144</v>
      </c>
      <c r="Y541" s="4">
        <f t="shared" si="369"/>
        <v>-1.392283117410553</v>
      </c>
      <c r="Z541" t="str">
        <f t="shared" si="358"/>
        <v>-183.578016200105+24.0001306390592i</v>
      </c>
      <c r="AA541" s="4">
        <f t="shared" si="370"/>
        <v>185.14020174629258</v>
      </c>
      <c r="AB541" s="4">
        <f t="shared" si="371"/>
        <v>3.0115946183065527</v>
      </c>
      <c r="AC541" s="48" t="str">
        <f t="shared" si="372"/>
        <v>-0.0000485342342993323+0.000391852876382283i</v>
      </c>
      <c r="AD541" s="20">
        <f t="shared" si="373"/>
        <v>-68.071420494641814</v>
      </c>
      <c r="AE541" s="44">
        <f t="shared" si="374"/>
        <v>97.060599569208478</v>
      </c>
      <c r="AF541" t="str">
        <f t="shared" si="359"/>
        <v>-0.979317078436135</v>
      </c>
      <c r="AG541" t="str">
        <f t="shared" si="375"/>
        <v>10670379.5651587i</v>
      </c>
      <c r="AH541">
        <f t="shared" si="376"/>
        <v>10670379.565158701</v>
      </c>
      <c r="AI541">
        <f t="shared" si="377"/>
        <v>1.5707963267948966</v>
      </c>
      <c r="AJ541" t="str">
        <f t="shared" si="360"/>
        <v>-1762389.22685926+10456.1183434905i</v>
      </c>
      <c r="AK541">
        <f t="shared" si="378"/>
        <v>1762420.244255153</v>
      </c>
      <c r="AL541">
        <f t="shared" si="379"/>
        <v>3.1356598009014558</v>
      </c>
      <c r="AM541" t="str">
        <f t="shared" si="361"/>
        <v>1+1484463.20510488i</v>
      </c>
      <c r="AN541">
        <f t="shared" si="380"/>
        <v>1484463.2051052169</v>
      </c>
      <c r="AO541">
        <f t="shared" si="381"/>
        <v>1.5707956531507157</v>
      </c>
      <c r="AP541" t="str">
        <f t="shared" si="362"/>
        <v>1+10030.1567912492i</v>
      </c>
      <c r="AQ541">
        <f t="shared" si="382"/>
        <v>10030.156841098869</v>
      </c>
      <c r="AR541">
        <f t="shared" si="383"/>
        <v>1.5706966274564418</v>
      </c>
      <c r="AS541" s="42" t="str">
        <f t="shared" si="384"/>
        <v>-4.52232658988175E-06+0.000775360659283257i</v>
      </c>
      <c r="AT541">
        <f t="shared" si="385"/>
        <v>-62.209777026952224</v>
      </c>
      <c r="AU541" s="44">
        <f t="shared" si="386"/>
        <v>90.334176471232396</v>
      </c>
      <c r="AV541" s="42" t="str">
        <f t="shared" si="363"/>
        <v>-3.03607816915516E-07-3.94036225863236E-08i</v>
      </c>
      <c r="AW541" s="20">
        <f t="shared" si="387"/>
        <v>-130.28119752159404</v>
      </c>
      <c r="AX541" s="44">
        <f t="shared" si="388"/>
        <v>-172.60522395955911</v>
      </c>
    </row>
    <row r="542" spans="14:50" x14ac:dyDescent="0.3">
      <c r="N542" s="8">
        <v>24</v>
      </c>
      <c r="O542" s="35">
        <f t="shared" si="353"/>
        <v>1737800.8287493798</v>
      </c>
      <c r="P542" s="34" t="str">
        <f t="shared" si="354"/>
        <v>545.10556621881</v>
      </c>
      <c r="Q542" s="4" t="str">
        <f t="shared" si="355"/>
        <v>1+233258.409167848i</v>
      </c>
      <c r="R542" s="4">
        <f t="shared" si="364"/>
        <v>233258.40916999153</v>
      </c>
      <c r="S542" s="4">
        <f t="shared" si="365"/>
        <v>1.5707920397040107</v>
      </c>
      <c r="T542" s="4" t="str">
        <f t="shared" si="356"/>
        <v>1+5.4594623170013i</v>
      </c>
      <c r="U542" s="4">
        <f t="shared" si="366"/>
        <v>5.550290874427863</v>
      </c>
      <c r="V542" s="4">
        <f t="shared" si="367"/>
        <v>1.3896363002970631</v>
      </c>
      <c r="W542" t="str">
        <f t="shared" si="357"/>
        <v>1-5.67128945490093i</v>
      </c>
      <c r="X542" s="4">
        <f t="shared" si="368"/>
        <v>5.7587780024298985</v>
      </c>
      <c r="Y542" s="4">
        <f t="shared" si="369"/>
        <v>-1.3962636318271233</v>
      </c>
      <c r="Z542" t="str">
        <f t="shared" si="358"/>
        <v>-192.27691010573+24.5591654967717i</v>
      </c>
      <c r="AA542" s="4">
        <f t="shared" si="370"/>
        <v>193.83901250704099</v>
      </c>
      <c r="AB542" s="4">
        <f t="shared" si="371"/>
        <v>3.014552432270698</v>
      </c>
      <c r="AC542" s="48" t="str">
        <f t="shared" si="372"/>
        <v>-0.0000462899345255841+0.000382553219366335i</v>
      </c>
      <c r="AD542" s="20">
        <f t="shared" si="373"/>
        <v>-68.283036008984297</v>
      </c>
      <c r="AE542" s="44">
        <f t="shared" si="374"/>
        <v>96.899396016099757</v>
      </c>
      <c r="AF542" t="str">
        <f t="shared" si="359"/>
        <v>-0.979317078436135</v>
      </c>
      <c r="AG542" t="str">
        <f t="shared" si="375"/>
        <v>10918924.6340026i</v>
      </c>
      <c r="AH542">
        <f t="shared" si="376"/>
        <v>10918924.6340026</v>
      </c>
      <c r="AI542">
        <f t="shared" si="377"/>
        <v>1.5707963267948966</v>
      </c>
      <c r="AJ542" t="str">
        <f t="shared" si="360"/>
        <v>-1845448.11935022+10699.672627352i</v>
      </c>
      <c r="AK542">
        <f t="shared" si="378"/>
        <v>1845479.1367576055</v>
      </c>
      <c r="AL542">
        <f t="shared" si="379"/>
        <v>3.1357948462027445</v>
      </c>
      <c r="AM542" t="str">
        <f t="shared" si="361"/>
        <v>1+1519040.79508244i</v>
      </c>
      <c r="AN542">
        <f t="shared" si="380"/>
        <v>1519040.7950827691</v>
      </c>
      <c r="AO542">
        <f t="shared" si="381"/>
        <v>1.5707956684847293</v>
      </c>
      <c r="AP542" t="str">
        <f t="shared" si="362"/>
        <v>1+10263.7891559625i</v>
      </c>
      <c r="AQ542">
        <f t="shared" si="382"/>
        <v>10263.789204677452</v>
      </c>
      <c r="AR542">
        <f t="shared" si="383"/>
        <v>1.5706988968904392</v>
      </c>
      <c r="AS542" s="42" t="str">
        <f t="shared" si="384"/>
        <v>-4.31879498421666E-06+0.000757712456618777i</v>
      </c>
      <c r="AT542">
        <f t="shared" si="385"/>
        <v>-62.409770370668966</v>
      </c>
      <c r="AU542" s="44">
        <f t="shared" si="386"/>
        <v>90.326569852989678</v>
      </c>
      <c r="AV542" s="42" t="str">
        <f t="shared" si="363"/>
        <v>-2.89665422896439E-07-3.67266289310979E-08i</v>
      </c>
      <c r="AW542" s="20">
        <f t="shared" si="387"/>
        <v>-130.69280637965326</v>
      </c>
      <c r="AX542" s="44">
        <f t="shared" si="388"/>
        <v>-172.77403413091056</v>
      </c>
    </row>
    <row r="543" spans="14:50" x14ac:dyDescent="0.3">
      <c r="N543" s="8">
        <v>25</v>
      </c>
      <c r="O543" s="35">
        <f t="shared" si="353"/>
        <v>1778279.4100389241</v>
      </c>
      <c r="P543" s="34" t="str">
        <f t="shared" si="354"/>
        <v>545.10556621881</v>
      </c>
      <c r="Q543" s="4" t="str">
        <f t="shared" si="355"/>
        <v>1+238691.695492015i</v>
      </c>
      <c r="R543" s="4">
        <f t="shared" si="364"/>
        <v>238691.69549410976</v>
      </c>
      <c r="S543" s="4">
        <f t="shared" si="365"/>
        <v>1.5707921372901132</v>
      </c>
      <c r="T543" s="4" t="str">
        <f t="shared" si="356"/>
        <v>1+5.58662953060825i</v>
      </c>
      <c r="U543" s="4">
        <f t="shared" si="366"/>
        <v>5.6754232892590624</v>
      </c>
      <c r="V543" s="4">
        <f t="shared" si="367"/>
        <v>1.3936733336114511</v>
      </c>
      <c r="W543" t="str">
        <f t="shared" si="357"/>
        <v>1-5.80339075639583i</v>
      </c>
      <c r="X543" s="4">
        <f t="shared" si="368"/>
        <v>5.8889170711957357</v>
      </c>
      <c r="Y543" s="4">
        <f t="shared" si="369"/>
        <v>-1.4001589453548815</v>
      </c>
      <c r="Z543" t="str">
        <f t="shared" si="358"/>
        <v>-201.385770250776+25.1312219491097i</v>
      </c>
      <c r="AA543" s="4">
        <f t="shared" si="370"/>
        <v>202.94779322809538</v>
      </c>
      <c r="AB543" s="4">
        <f t="shared" si="371"/>
        <v>3.0174430074621785</v>
      </c>
      <c r="AC543" s="48" t="str">
        <f t="shared" si="372"/>
        <v>-0.0000441518812064091+0.000373490127971328i</v>
      </c>
      <c r="AD543" s="20">
        <f t="shared" si="373"/>
        <v>-68.494146588871885</v>
      </c>
      <c r="AE543" s="44">
        <f t="shared" si="374"/>
        <v>96.741892611638292</v>
      </c>
      <c r="AF543" t="str">
        <f t="shared" si="359"/>
        <v>-0.979317078436135</v>
      </c>
      <c r="AG543" t="str">
        <f t="shared" si="375"/>
        <v>11173259.0612165i</v>
      </c>
      <c r="AH543">
        <f t="shared" si="376"/>
        <v>11173259.0612165</v>
      </c>
      <c r="AI543">
        <f t="shared" si="377"/>
        <v>1.5707963267948966</v>
      </c>
      <c r="AJ543" t="str">
        <f t="shared" si="360"/>
        <v>-1932421.45684699+10948.9000192675i</v>
      </c>
      <c r="AK543">
        <f t="shared" si="378"/>
        <v>1932452.4742653503</v>
      </c>
      <c r="AL543">
        <f t="shared" si="379"/>
        <v>3.135926817692142</v>
      </c>
      <c r="AM543" t="str">
        <f t="shared" si="361"/>
        <v>1+1554423.80059644i</v>
      </c>
      <c r="AN543">
        <f t="shared" si="380"/>
        <v>1554423.8005967618</v>
      </c>
      <c r="AO543">
        <f t="shared" si="381"/>
        <v>1.5707956834696981</v>
      </c>
      <c r="AP543" t="str">
        <f t="shared" si="362"/>
        <v>1+10502.8635175435i</v>
      </c>
      <c r="AQ543">
        <f t="shared" si="382"/>
        <v>10502.863565149562</v>
      </c>
      <c r="AR543">
        <f t="shared" si="383"/>
        <v>1.5707011146658132</v>
      </c>
      <c r="AS543" s="42" t="str">
        <f t="shared" si="384"/>
        <v>-4.12442322737584E-06+0.000740465898623426i</v>
      </c>
      <c r="AT543">
        <f t="shared" si="385"/>
        <v>-62.609764013958333</v>
      </c>
      <c r="AU543" s="44">
        <f t="shared" si="386"/>
        <v>90.319136371375464</v>
      </c>
      <c r="AV543" s="42" t="str">
        <f t="shared" si="363"/>
        <v>-2.76374602190888E-07-3.4233393752419E-08i</v>
      </c>
      <c r="AW543" s="20">
        <f t="shared" si="387"/>
        <v>-131.10391060283021</v>
      </c>
      <c r="AX543" s="44">
        <f t="shared" si="388"/>
        <v>-172.93897101698624</v>
      </c>
    </row>
    <row r="544" spans="14:50" x14ac:dyDescent="0.3">
      <c r="N544" s="8">
        <v>26</v>
      </c>
      <c r="O544" s="35">
        <f t="shared" si="353"/>
        <v>1819700.8586099846</v>
      </c>
      <c r="P544" s="34" t="str">
        <f t="shared" si="354"/>
        <v>545.10556621881</v>
      </c>
      <c r="Q544" s="4" t="str">
        <f t="shared" si="355"/>
        <v>1+244251.539312591i</v>
      </c>
      <c r="R544" s="4">
        <f t="shared" si="364"/>
        <v>244251.53931463804</v>
      </c>
      <c r="S544" s="4">
        <f t="shared" si="365"/>
        <v>1.5707922326548851</v>
      </c>
      <c r="T544" s="4" t="str">
        <f t="shared" si="356"/>
        <v>1+5.71675884914015i</v>
      </c>
      <c r="U544" s="4">
        <f t="shared" si="366"/>
        <v>5.8035619871956401</v>
      </c>
      <c r="V544" s="4">
        <f t="shared" si="367"/>
        <v>1.3976241186441747</v>
      </c>
      <c r="W544" t="str">
        <f t="shared" si="357"/>
        <v>1-5.93856909248677i</v>
      </c>
      <c r="X544" s="4">
        <f t="shared" si="368"/>
        <v>6.0221759245507878</v>
      </c>
      <c r="Y544" s="4">
        <f t="shared" si="369"/>
        <v>-1.4039706502615705</v>
      </c>
      <c r="Z544" t="str">
        <f t="shared" si="358"/>
        <v>-210.923917748858+25.7166033079762i</v>
      </c>
      <c r="AA544" s="4">
        <f t="shared" si="370"/>
        <v>212.48586485746955</v>
      </c>
      <c r="AB544" s="4">
        <f t="shared" si="371"/>
        <v>3.0202678682080726</v>
      </c>
      <c r="AC544" s="48" t="str">
        <f t="shared" si="372"/>
        <v>-0.0000421148361255923+0.000364656609053193i</v>
      </c>
      <c r="AD544" s="20">
        <f t="shared" si="373"/>
        <v>-68.704773435385519</v>
      </c>
      <c r="AE544" s="44">
        <f t="shared" si="374"/>
        <v>96.588003253423381</v>
      </c>
      <c r="AF544" t="str">
        <f t="shared" si="359"/>
        <v>-0.979317078436135</v>
      </c>
      <c r="AG544" t="str">
        <f t="shared" si="375"/>
        <v>11433517.6982803i</v>
      </c>
      <c r="AH544">
        <f t="shared" si="376"/>
        <v>11433517.698280299</v>
      </c>
      <c r="AI544">
        <f t="shared" si="377"/>
        <v>1.5707963267948966</v>
      </c>
      <c r="AJ544" t="str">
        <f t="shared" si="360"/>
        <v>-2023493.72145915+11203.9326628991i</v>
      </c>
      <c r="AK544">
        <f t="shared" si="378"/>
        <v>2023524.738887992</v>
      </c>
      <c r="AL544">
        <f t="shared" si="379"/>
        <v>3.1360557853251692</v>
      </c>
      <c r="AM544" t="str">
        <f t="shared" si="361"/>
        <v>1+1590630.98218476i</v>
      </c>
      <c r="AN544">
        <f t="shared" si="380"/>
        <v>1590630.9821850744</v>
      </c>
      <c r="AO544">
        <f t="shared" si="381"/>
        <v>1.5707956981135676</v>
      </c>
      <c r="AP544" t="str">
        <f t="shared" si="362"/>
        <v>1+10747.5066363835i</v>
      </c>
      <c r="AQ544">
        <f t="shared" si="382"/>
        <v>10747.506682905918</v>
      </c>
      <c r="AR544">
        <f t="shared" si="383"/>
        <v>1.5707032819584572</v>
      </c>
      <c r="AS544" s="42" t="str">
        <f t="shared" si="384"/>
        <v>-3.93879910949465E-06+0.000723611847918698i</v>
      </c>
      <c r="AT544">
        <f t="shared" si="385"/>
        <v>-62.809757943338134</v>
      </c>
      <c r="AU544" s="44">
        <f t="shared" si="386"/>
        <v>90.311872086062579</v>
      </c>
      <c r="AV544" s="42" t="str">
        <f t="shared" si="363"/>
        <v>-2.63703960853719E-07-3.1911103520643E-08i</v>
      </c>
      <c r="AW544" s="20">
        <f t="shared" si="387"/>
        <v>-131.51453137872366</v>
      </c>
      <c r="AX544" s="44">
        <f t="shared" si="388"/>
        <v>-173.10012466051404</v>
      </c>
    </row>
    <row r="545" spans="14:50" x14ac:dyDescent="0.3">
      <c r="N545" s="8">
        <v>27</v>
      </c>
      <c r="O545" s="35">
        <f t="shared" si="353"/>
        <v>1862087.1366628683</v>
      </c>
      <c r="P545" s="34" t="str">
        <f t="shared" si="354"/>
        <v>545.10556621881</v>
      </c>
      <c r="Q545" s="4" t="str">
        <f t="shared" si="355"/>
        <v>1+249940.888532361i</v>
      </c>
      <c r="R545" s="4">
        <f t="shared" si="364"/>
        <v>249940.88853436147</v>
      </c>
      <c r="S545" s="4">
        <f t="shared" si="365"/>
        <v>1.5707923258488894</v>
      </c>
      <c r="T545" s="4" t="str">
        <f t="shared" si="356"/>
        <v>1+5.8499192688841i</v>
      </c>
      <c r="U545" s="4">
        <f t="shared" si="366"/>
        <v>5.9347750970412916</v>
      </c>
      <c r="V545" s="4">
        <f t="shared" si="367"/>
        <v>1.4014902565758431</v>
      </c>
      <c r="W545" t="str">
        <f t="shared" si="357"/>
        <v>1-6.07689613651679i</v>
      </c>
      <c r="X545" s="4">
        <f t="shared" si="368"/>
        <v>6.1586253867249221</v>
      </c>
      <c r="Y545" s="4">
        <f t="shared" si="369"/>
        <v>-1.4077003242963073</v>
      </c>
      <c r="Z545" t="str">
        <f t="shared" si="358"/>
        <v>-220.911584289619+26.3156199503161i</v>
      </c>
      <c r="AA545" s="4">
        <f t="shared" si="370"/>
        <v>222.47345892649514</v>
      </c>
      <c r="AB545" s="4">
        <f t="shared" si="371"/>
        <v>3.0230285045797696</v>
      </c>
      <c r="AC545" s="48" t="str">
        <f t="shared" si="372"/>
        <v>-0.0000401738364115799+0.000356045930336846i</v>
      </c>
      <c r="AD545" s="20">
        <f t="shared" si="373"/>
        <v>-68.914936923804859</v>
      </c>
      <c r="AE545" s="44">
        <f t="shared" si="374"/>
        <v>96.437643906281764</v>
      </c>
      <c r="AF545" t="str">
        <f t="shared" si="359"/>
        <v>-0.979317078436135</v>
      </c>
      <c r="AG545" t="str">
        <f t="shared" si="375"/>
        <v>11699838.5377682i</v>
      </c>
      <c r="AH545">
        <f t="shared" si="376"/>
        <v>11699838.5377682</v>
      </c>
      <c r="AI545">
        <f t="shared" si="377"/>
        <v>1.5707963267948966</v>
      </c>
      <c r="AJ545" t="str">
        <f t="shared" si="360"/>
        <v>-2118858.08967017+11464.9057799302i</v>
      </c>
      <c r="AK545">
        <f t="shared" si="378"/>
        <v>2118889.1071090209</v>
      </c>
      <c r="AL545">
        <f t="shared" si="379"/>
        <v>3.1361818174658329</v>
      </c>
      <c r="AM545" t="str">
        <f t="shared" si="361"/>
        <v>1+1627681.53737431i</v>
      </c>
      <c r="AN545">
        <f t="shared" si="380"/>
        <v>1627681.5373746171</v>
      </c>
      <c r="AO545">
        <f t="shared" si="381"/>
        <v>1.5707957124241017</v>
      </c>
      <c r="AP545" t="str">
        <f t="shared" si="362"/>
        <v>1+10997.8482255021i</v>
      </c>
      <c r="AQ545">
        <f t="shared" si="382"/>
        <v>10997.848270965538</v>
      </c>
      <c r="AR545">
        <f t="shared" si="383"/>
        <v>1.5707053999174985</v>
      </c>
      <c r="AS545" s="42" t="str">
        <f t="shared" si="384"/>
        <v>-3.76152896870002E-06+0.000707141374773151i</v>
      </c>
      <c r="AT545">
        <f t="shared" si="385"/>
        <v>-63.009752145932922</v>
      </c>
      <c r="AU545" s="44">
        <f t="shared" si="386"/>
        <v>90.304773146367012</v>
      </c>
      <c r="AV545" s="42" t="str">
        <f t="shared" si="363"/>
        <v>-2.51623693611337E-07-2.97478589911461E-08i</v>
      </c>
      <c r="AW545" s="20">
        <f t="shared" si="387"/>
        <v>-131.92468906973778</v>
      </c>
      <c r="AX545" s="44">
        <f t="shared" si="388"/>
        <v>-173.25758294735121</v>
      </c>
    </row>
    <row r="546" spans="14:50" x14ac:dyDescent="0.3">
      <c r="N546" s="8">
        <v>28</v>
      </c>
      <c r="O546" s="35">
        <f t="shared" si="353"/>
        <v>1905460.7179632513</v>
      </c>
      <c r="P546" s="34" t="str">
        <f t="shared" si="354"/>
        <v>545.10556621881</v>
      </c>
      <c r="Q546" s="4" t="str">
        <f t="shared" si="355"/>
        <v>1+255762.759719592i</v>
      </c>
      <c r="R546" s="4">
        <f t="shared" si="364"/>
        <v>255762.75972154696</v>
      </c>
      <c r="S546" s="4">
        <f t="shared" si="365"/>
        <v>1.5707924169215395</v>
      </c>
      <c r="T546" s="4" t="str">
        <f t="shared" si="356"/>
        <v>1+5.9861813932573i</v>
      </c>
      <c r="U546" s="4">
        <f t="shared" si="366"/>
        <v>6.0691323657488239</v>
      </c>
      <c r="V546" s="4">
        <f t="shared" si="367"/>
        <v>1.4052733347549469</v>
      </c>
      <c r="W546" t="str">
        <f t="shared" si="357"/>
        <v>1-6.21844523131567i</v>
      </c>
      <c r="X546" s="4">
        <f t="shared" si="368"/>
        <v>6.2983379628972429</v>
      </c>
      <c r="Y546" s="4">
        <f t="shared" si="369"/>
        <v>-1.4113495297199758</v>
      </c>
      <c r="Z546" t="str">
        <f t="shared" si="358"/>
        <v>-231.369955052868+26.9285894826823i</v>
      </c>
      <c r="AA546" s="4">
        <f t="shared" si="370"/>
        <v>232.93176046364519</v>
      </c>
      <c r="AB546" s="4">
        <f t="shared" si="371"/>
        <v>3.0257263731402571</v>
      </c>
      <c r="AC546" s="48" t="str">
        <f t="shared" si="372"/>
        <v>-0.0000383241787346865+0.000347651608301162i</v>
      </c>
      <c r="AD546" s="20">
        <f t="shared" si="373"/>
        <v>-69.124656630192462</v>
      </c>
      <c r="AE546" s="44">
        <f t="shared" si="374"/>
        <v>96.290732549884567</v>
      </c>
      <c r="AF546" t="str">
        <f t="shared" si="359"/>
        <v>-0.979317078436135</v>
      </c>
      <c r="AG546" t="str">
        <f t="shared" si="375"/>
        <v>11972362.7865146i</v>
      </c>
      <c r="AH546">
        <f t="shared" si="376"/>
        <v>11972362.786514601</v>
      </c>
      <c r="AI546">
        <f t="shared" si="377"/>
        <v>1.5707963267948966</v>
      </c>
      <c r="AJ546" t="str">
        <f t="shared" si="360"/>
        <v>-2218716.84209082+11731.9577417617i</v>
      </c>
      <c r="AK546">
        <f t="shared" si="378"/>
        <v>2218747.8595392304</v>
      </c>
      <c r="AL546">
        <f t="shared" si="379"/>
        <v>3.1363049809227928</v>
      </c>
      <c r="AM546" t="str">
        <f t="shared" si="361"/>
        <v>1+1665595.11085991i</v>
      </c>
      <c r="AN546">
        <f t="shared" si="380"/>
        <v>1665595.1108602104</v>
      </c>
      <c r="AO546">
        <f t="shared" si="381"/>
        <v>1.5707957264088883</v>
      </c>
      <c r="AP546" t="str">
        <f t="shared" si="362"/>
        <v>1+11254.0210193238i</v>
      </c>
      <c r="AQ546">
        <f t="shared" si="382"/>
        <v>11254.021063752365</v>
      </c>
      <c r="AR546">
        <f t="shared" si="383"/>
        <v>1.5707074696659069</v>
      </c>
      <c r="AS546" s="42" t="str">
        <f t="shared" si="384"/>
        <v>-3.59223685670961E-06+0.000691045752398807i</v>
      </c>
      <c r="AT546">
        <f t="shared" si="385"/>
        <v>-63.209746609446746</v>
      </c>
      <c r="AU546" s="44">
        <f t="shared" si="386"/>
        <v>90.297835789210666</v>
      </c>
      <c r="AV546" s="42" t="str">
        <f t="shared" si="363"/>
        <v>-2.40105497703778E-07-2.77326078494116E-08i</v>
      </c>
      <c r="AW546" s="20">
        <f t="shared" si="387"/>
        <v>-132.33440323963922</v>
      </c>
      <c r="AX546" s="44">
        <f t="shared" si="388"/>
        <v>-173.41143166090475</v>
      </c>
    </row>
    <row r="547" spans="14:50" x14ac:dyDescent="0.3">
      <c r="N547" s="8">
        <v>29</v>
      </c>
      <c r="O547" s="35">
        <f t="shared" si="353"/>
        <v>1949844.5997580495</v>
      </c>
      <c r="P547" s="34" t="str">
        <f t="shared" si="354"/>
        <v>545.10556621881</v>
      </c>
      <c r="Q547" s="4" t="str">
        <f t="shared" si="355"/>
        <v>1+261720.239707443i</v>
      </c>
      <c r="R547" s="4">
        <f t="shared" si="364"/>
        <v>261720.23970935342</v>
      </c>
      <c r="S547" s="4">
        <f t="shared" si="365"/>
        <v>1.5707925059211227</v>
      </c>
      <c r="T547" s="4" t="str">
        <f t="shared" si="356"/>
        <v>1+6.1256174702416i</v>
      </c>
      <c r="U547" s="4">
        <f t="shared" si="366"/>
        <v>6.2067051961349913</v>
      </c>
      <c r="V547" s="4">
        <f t="shared" si="367"/>
        <v>1.4089749256641404</v>
      </c>
      <c r="W547" t="str">
        <f t="shared" si="357"/>
        <v>1-6.36329142808696i</v>
      </c>
      <c r="X547" s="4">
        <f t="shared" si="368"/>
        <v>6.4413878783042549</v>
      </c>
      <c r="Y547" s="4">
        <f t="shared" si="369"/>
        <v>-1.4149198124291564</v>
      </c>
      <c r="Z547" t="str">
        <f t="shared" si="358"/>
        <v>-242.321213645158+27.5558369096339i</v>
      </c>
      <c r="AA547" s="4">
        <f t="shared" si="370"/>
        <v>243.882952930812</v>
      </c>
      <c r="AB547" s="4">
        <f t="shared" si="371"/>
        <v>3.028362897676864</v>
      </c>
      <c r="AC547" s="48" t="str">
        <f t="shared" si="372"/>
        <v>-0.0000365614045062451+0.000339467396686447i</v>
      </c>
      <c r="AD547" s="20">
        <f t="shared" si="373"/>
        <v>-69.333951357624301</v>
      </c>
      <c r="AE547" s="44">
        <f t="shared" si="374"/>
        <v>96.147189127730016</v>
      </c>
      <c r="AF547" t="str">
        <f t="shared" si="359"/>
        <v>-0.979317078436135</v>
      </c>
      <c r="AG547" t="str">
        <f t="shared" si="375"/>
        <v>12251234.9404832i</v>
      </c>
      <c r="AH547">
        <f t="shared" si="376"/>
        <v>12251234.940483199</v>
      </c>
      <c r="AI547">
        <f t="shared" si="377"/>
        <v>1.5707963267948966</v>
      </c>
      <c r="AJ547" t="str">
        <f t="shared" si="360"/>
        <v>-2323281.79252314+12005.2301428786i</v>
      </c>
      <c r="AK547">
        <f t="shared" si="378"/>
        <v>2323312.8099806793</v>
      </c>
      <c r="AL547">
        <f t="shared" si="379"/>
        <v>3.136425340984712</v>
      </c>
      <c r="AM547" t="str">
        <f t="shared" si="361"/>
        <v>1+1704391.80492002i</v>
      </c>
      <c r="AN547">
        <f t="shared" si="380"/>
        <v>1704391.8049203134</v>
      </c>
      <c r="AO547">
        <f t="shared" si="381"/>
        <v>1.5707957400753425</v>
      </c>
      <c r="AP547" t="str">
        <f t="shared" si="362"/>
        <v>1+11516.1608440542i</v>
      </c>
      <c r="AQ547">
        <f t="shared" si="382"/>
        <v>11516.160887471447</v>
      </c>
      <c r="AR547">
        <f t="shared" si="383"/>
        <v>1.5707094923010902</v>
      </c>
      <c r="AS547" s="42" t="str">
        <f t="shared" si="384"/>
        <v>-3.43056374195136E-06+0.000675316452353112i</v>
      </c>
      <c r="AT547">
        <f t="shared" si="385"/>
        <v>-63.409741322136767</v>
      </c>
      <c r="AU547" s="44">
        <f t="shared" si="386"/>
        <v>90.291056337130414</v>
      </c>
      <c r="AV547" s="42" t="str">
        <f t="shared" si="363"/>
        <v>-2.29122491791184E-07-2.58550825268517E-08i</v>
      </c>
      <c r="AW547" s="20">
        <f t="shared" si="387"/>
        <v>-132.74369267976107</v>
      </c>
      <c r="AX547" s="44">
        <f t="shared" si="388"/>
        <v>-173.56175453513956</v>
      </c>
    </row>
    <row r="548" spans="14:50" x14ac:dyDescent="0.3">
      <c r="N548" s="8">
        <v>30</v>
      </c>
      <c r="O548" s="35">
        <f t="shared" si="353"/>
        <v>1995262.31496888</v>
      </c>
      <c r="P548" s="34" t="str">
        <f t="shared" si="354"/>
        <v>545.10556621881</v>
      </c>
      <c r="Q548" s="4" t="str">
        <f t="shared" si="355"/>
        <v>1+267816.487230666i</v>
      </c>
      <c r="R548" s="4">
        <f t="shared" si="364"/>
        <v>267816.48723253288</v>
      </c>
      <c r="S548" s="4">
        <f t="shared" si="365"/>
        <v>1.5707925928948281</v>
      </c>
      <c r="T548" s="4" t="str">
        <f t="shared" si="356"/>
        <v>1+6.2683014306908i</v>
      </c>
      <c r="U548" s="4">
        <f t="shared" si="366"/>
        <v>6.3475666854315378</v>
      </c>
      <c r="V548" s="4">
        <f t="shared" si="367"/>
        <v>1.4125965859837082</v>
      </c>
      <c r="W548" t="str">
        <f t="shared" si="357"/>
        <v>1-6.51151152620158i</v>
      </c>
      <c r="X548" s="4">
        <f t="shared" si="368"/>
        <v>6.5878511182217858</v>
      </c>
      <c r="Y548" s="4">
        <f t="shared" si="369"/>
        <v>-1.418412701168237</v>
      </c>
      <c r="Z548" t="str">
        <f t="shared" si="358"/>
        <v>-253.788589154238+28.1976948060597i</v>
      </c>
      <c r="AA548" s="4">
        <f t="shared" si="370"/>
        <v>255.35026527747002</v>
      </c>
      <c r="AB548" s="4">
        <f t="shared" si="371"/>
        <v>3.0309394699196379</v>
      </c>
      <c r="AC548" s="48" t="str">
        <f t="shared" si="372"/>
        <v>-0.0000348812860102083+0.00033148727559401i</v>
      </c>
      <c r="AD548" s="20">
        <f t="shared" si="373"/>
        <v>-69.542839162021266</v>
      </c>
      <c r="AE548" s="44">
        <f t="shared" si="374"/>
        <v>96.006935497465392</v>
      </c>
      <c r="AF548" t="str">
        <f t="shared" si="359"/>
        <v>-0.979317078436135</v>
      </c>
      <c r="AG548" t="str">
        <f t="shared" si="375"/>
        <v>12536602.8613816i</v>
      </c>
      <c r="AH548">
        <f t="shared" si="376"/>
        <v>12536602.8613816</v>
      </c>
      <c r="AI548">
        <f t="shared" si="377"/>
        <v>1.5707963267948966</v>
      </c>
      <c r="AJ548" t="str">
        <f t="shared" si="360"/>
        <v>-2432774.73724641+12284.8678759254i</v>
      </c>
      <c r="AK548">
        <f t="shared" si="378"/>
        <v>2432805.7547126673</v>
      </c>
      <c r="AL548">
        <f t="shared" si="379"/>
        <v>3.1365429614548068</v>
      </c>
      <c r="AM548" t="str">
        <f t="shared" si="361"/>
        <v>1+1744092.19007541i</v>
      </c>
      <c r="AN548">
        <f t="shared" si="380"/>
        <v>1744092.1900756967</v>
      </c>
      <c r="AO548">
        <f t="shared" si="381"/>
        <v>1.57079575343071</v>
      </c>
      <c r="AP548" t="str">
        <f t="shared" si="362"/>
        <v>1+11784.4066896987i</v>
      </c>
      <c r="AQ548">
        <f t="shared" si="382"/>
        <v>11784.406732127649</v>
      </c>
      <c r="AR548">
        <f t="shared" si="383"/>
        <v>1.5707114688954766</v>
      </c>
      <c r="AS548" s="42" t="str">
        <f t="shared" si="384"/>
        <v>-3.27616674851516E-06+0.000659945140044045i</v>
      </c>
      <c r="AT548">
        <f t="shared" si="385"/>
        <v>-63.609736272789036</v>
      </c>
      <c r="AU548" s="44">
        <f t="shared" si="386"/>
        <v>90.28443119633198</v>
      </c>
      <c r="AV548" s="42" t="str">
        <f t="shared" si="363"/>
        <v>-2.18649139605336E-07-2.41057427707803E-08i</v>
      </c>
      <c r="AW548" s="20">
        <f t="shared" si="387"/>
        <v>-133.15257543481027</v>
      </c>
      <c r="AX548" s="44">
        <f t="shared" si="388"/>
        <v>-173.70863330620264</v>
      </c>
    </row>
    <row r="549" spans="14:50" x14ac:dyDescent="0.3">
      <c r="N549" s="8">
        <v>31</v>
      </c>
      <c r="O549" s="35">
        <f t="shared" si="353"/>
        <v>2041737.9446695296</v>
      </c>
      <c r="P549" s="34" t="str">
        <f t="shared" si="354"/>
        <v>545.10556621881</v>
      </c>
      <c r="Q549" s="4" t="str">
        <f t="shared" si="355"/>
        <v>1+274054.734600388i</v>
      </c>
      <c r="R549" s="4">
        <f t="shared" si="364"/>
        <v>274054.73460221244</v>
      </c>
      <c r="S549" s="4">
        <f t="shared" si="365"/>
        <v>1.5707926778887704</v>
      </c>
      <c r="T549" s="4" t="str">
        <f t="shared" si="356"/>
        <v>1+6.4143089275293i</v>
      </c>
      <c r="U549" s="4">
        <f t="shared" si="366"/>
        <v>6.4917916646933511</v>
      </c>
      <c r="V549" s="4">
        <f t="shared" si="367"/>
        <v>1.416139855746664</v>
      </c>
      <c r="W549" t="str">
        <f t="shared" si="357"/>
        <v>1-6.66318411391742i</v>
      </c>
      <c r="X549" s="4">
        <f t="shared" si="368"/>
        <v>6.7378054688423195</v>
      </c>
      <c r="Y549" s="4">
        <f t="shared" si="369"/>
        <v>-1.4218297068244843</v>
      </c>
      <c r="Z549" t="str">
        <f t="shared" si="358"/>
        <v>-265.796405421013+28.8545034935122i</v>
      </c>
      <c r="AA549" s="4">
        <f t="shared" si="370"/>
        <v>267.35802121235974</v>
      </c>
      <c r="AB549" s="4">
        <f t="shared" si="371"/>
        <v>3.0334574502454412</v>
      </c>
      <c r="AC549" s="48" t="str">
        <f t="shared" si="372"/>
        <v>-0.0000332798134028862+0.000323705441148759i</v>
      </c>
      <c r="AD549" s="20">
        <f t="shared" si="373"/>
        <v>-69.751337377535918</v>
      </c>
      <c r="AE549" s="44">
        <f t="shared" si="374"/>
        <v>95.86989538252412</v>
      </c>
      <c r="AF549" t="str">
        <f t="shared" si="359"/>
        <v>-0.979317078436135</v>
      </c>
      <c r="AG549" t="str">
        <f t="shared" si="375"/>
        <v>12828617.8550586i</v>
      </c>
      <c r="AH549">
        <f t="shared" si="376"/>
        <v>12828617.855058599</v>
      </c>
      <c r="AI549">
        <f t="shared" si="377"/>
        <v>1.5707963267948966</v>
      </c>
      <c r="AJ549" t="str">
        <f t="shared" si="360"/>
        <v>-2547427.92547627+12571.0192085294i</v>
      </c>
      <c r="AK549">
        <f t="shared" si="378"/>
        <v>2547458.9429508522</v>
      </c>
      <c r="AL549">
        <f t="shared" si="379"/>
        <v>3.1366579046846121</v>
      </c>
      <c r="AM549" t="str">
        <f t="shared" si="361"/>
        <v>1+1784717.31599575i</v>
      </c>
      <c r="AN549">
        <f t="shared" si="380"/>
        <v>1784717.3159960301</v>
      </c>
      <c r="AO549">
        <f t="shared" si="381"/>
        <v>1.5707957664820722</v>
      </c>
      <c r="AP549" t="str">
        <f t="shared" si="362"/>
        <v>1+12058.9007837551i</v>
      </c>
      <c r="AQ549">
        <f t="shared" si="382"/>
        <v>12058.900825218248</v>
      </c>
      <c r="AR549">
        <f t="shared" si="383"/>
        <v>1.5707134004970822</v>
      </c>
      <c r="AS549" s="42" t="str">
        <f t="shared" si="384"/>
        <v>-3.12871842932999E-06+0.000644923670336326i</v>
      </c>
      <c r="AT549">
        <f t="shared" si="385"/>
        <v>-63.809731450693874</v>
      </c>
      <c r="AU549" s="44">
        <f t="shared" si="386"/>
        <v>90.277956854788215</v>
      </c>
      <c r="AV549" s="42" t="str">
        <f t="shared" si="363"/>
        <v>-2.08661178047979E-07-2.24757225872939E-08i</v>
      </c>
      <c r="AW549" s="20">
        <f t="shared" si="387"/>
        <v>-133.56106882822979</v>
      </c>
      <c r="AX549" s="44">
        <f t="shared" si="388"/>
        <v>-173.85214776268768</v>
      </c>
    </row>
    <row r="550" spans="14:50" x14ac:dyDescent="0.3">
      <c r="N550" s="8">
        <v>32</v>
      </c>
      <c r="O550" s="35">
        <f t="shared" si="353"/>
        <v>2089296.1308540432</v>
      </c>
      <c r="P550" s="34" t="str">
        <f t="shared" si="354"/>
        <v>545.10556621881</v>
      </c>
      <c r="Q550" s="4" t="str">
        <f t="shared" si="355"/>
        <v>1+280438.289417941i</v>
      </c>
      <c r="R550" s="4">
        <f t="shared" si="364"/>
        <v>280438.28941972391</v>
      </c>
      <c r="S550" s="4">
        <f t="shared" si="365"/>
        <v>1.5707927609480143</v>
      </c>
      <c r="T550" s="4" t="str">
        <f t="shared" si="356"/>
        <v>1+6.56371737586465i</v>
      </c>
      <c r="U550" s="4">
        <f t="shared" si="366"/>
        <v>6.6394567390884882</v>
      </c>
      <c r="V550" s="4">
        <f t="shared" si="367"/>
        <v>1.4196062575802153</v>
      </c>
      <c r="W550" t="str">
        <f t="shared" si="357"/>
        <v>1-6.81838961004818i</v>
      </c>
      <c r="X550" s="4">
        <f t="shared" si="368"/>
        <v>6.8913305590729701</v>
      </c>
      <c r="Y550" s="4">
        <f t="shared" si="369"/>
        <v>-1.4251723218011245</v>
      </c>
      <c r="Z550" t="str">
        <f t="shared" si="358"/>
        <v>-278.370132633708+29.5266112206518i</v>
      </c>
      <c r="AA550" s="4">
        <f t="shared" si="370"/>
        <v>279.93169079738669</v>
      </c>
      <c r="AB550" s="4">
        <f t="shared" si="371"/>
        <v>3.0359181683679766</v>
      </c>
      <c r="AC550" s="48" t="str">
        <f t="shared" si="372"/>
        <v>-0.0000317531825211582+0.000316116295696378i</v>
      </c>
      <c r="AD550" s="20">
        <f t="shared" si="373"/>
        <v>-69.959462641464512</v>
      </c>
      <c r="AE550" s="44">
        <f t="shared" si="374"/>
        <v>95.735994325047557</v>
      </c>
      <c r="AF550" t="str">
        <f t="shared" si="359"/>
        <v>-0.979317078436135</v>
      </c>
      <c r="AG550" t="str">
        <f t="shared" si="375"/>
        <v>13127434.7517293i</v>
      </c>
      <c r="AH550">
        <f t="shared" si="376"/>
        <v>13127434.7517293</v>
      </c>
      <c r="AI550">
        <f t="shared" si="377"/>
        <v>1.5707963267948966</v>
      </c>
      <c r="AJ550" t="str">
        <f t="shared" si="360"/>
        <v>-2667484.55199686+12863.8358619149i</v>
      </c>
      <c r="AK550">
        <f t="shared" si="378"/>
        <v>2667515.5694793933</v>
      </c>
      <c r="AL550">
        <f t="shared" si="379"/>
        <v>3.1367702316069814</v>
      </c>
      <c r="AM550" t="str">
        <f t="shared" si="361"/>
        <v>1+1826288.72266058i</v>
      </c>
      <c r="AN550">
        <f t="shared" si="380"/>
        <v>1826288.7226608538</v>
      </c>
      <c r="AO550">
        <f t="shared" si="381"/>
        <v>1.5707957792363494</v>
      </c>
      <c r="AP550" t="str">
        <f t="shared" si="362"/>
        <v>1+12339.7886666256i</v>
      </c>
      <c r="AQ550">
        <f t="shared" si="382"/>
        <v>12339.788707144931</v>
      </c>
      <c r="AR550">
        <f t="shared" si="383"/>
        <v>1.5707152881300679</v>
      </c>
      <c r="AS550" s="42" t="str">
        <f t="shared" si="384"/>
        <v>-2.98790607202563E-06+0.000630244083256275i</v>
      </c>
      <c r="AT550">
        <f t="shared" si="385"/>
        <v>-64.009726845623774</v>
      </c>
      <c r="AU550" s="44">
        <f t="shared" si="386"/>
        <v>90.27162988038036</v>
      </c>
      <c r="AV550" s="42" t="str">
        <f t="shared" si="363"/>
        <v>-1.99135549456672E-07-2.0956781207894E-08i</v>
      </c>
      <c r="AW550" s="20">
        <f t="shared" si="387"/>
        <v>-133.96918948708827</v>
      </c>
      <c r="AX550" s="44">
        <f t="shared" si="388"/>
        <v>-173.99237579457204</v>
      </c>
    </row>
    <row r="551" spans="14:50" x14ac:dyDescent="0.3">
      <c r="N551" s="8">
        <v>33</v>
      </c>
      <c r="O551" s="35">
        <f t="shared" si="353"/>
        <v>2137962.0895022359</v>
      </c>
      <c r="P551" s="34" t="str">
        <f t="shared" si="354"/>
        <v>545.10556621881</v>
      </c>
      <c r="Q551" s="4" t="str">
        <f t="shared" si="355"/>
        <v>1+286970.53632858i</v>
      </c>
      <c r="R551" s="4">
        <f t="shared" si="364"/>
        <v>286970.53633032239</v>
      </c>
      <c r="S551" s="4">
        <f t="shared" si="365"/>
        <v>1.5707928421165991</v>
      </c>
      <c r="T551" s="4" t="str">
        <f t="shared" si="356"/>
        <v>1+6.7166059940337i</v>
      </c>
      <c r="U551" s="4">
        <f t="shared" si="366"/>
        <v>6.7906403290919064</v>
      </c>
      <c r="V551" s="4">
        <f t="shared" si="367"/>
        <v>1.4229972960284401</v>
      </c>
      <c r="W551" t="str">
        <f t="shared" si="357"/>
        <v>1-6.97721030660219i</v>
      </c>
      <c r="X551" s="4">
        <f t="shared" si="368"/>
        <v>7.048507903276823</v>
      </c>
      <c r="Y551" s="4">
        <f t="shared" si="369"/>
        <v>-1.4284420194636185</v>
      </c>
      <c r="Z551" t="str">
        <f t="shared" si="358"/>
        <v>-291.536441353521+30.2143743478912i</v>
      </c>
      <c r="AA551" s="4">
        <f t="shared" si="370"/>
        <v>293.09794447301999</v>
      </c>
      <c r="AB551" s="4">
        <f t="shared" si="371"/>
        <v>3.0383229240138774</v>
      </c>
      <c r="AC551" s="48" t="str">
        <f t="shared" si="372"/>
        <v>-0.0000302977834439446+0.000308714438508127i</v>
      </c>
      <c r="AD551" s="20">
        <f t="shared" si="373"/>
        <v>-70.167230918649722</v>
      </c>
      <c r="AE551" s="44">
        <f t="shared" si="374"/>
        <v>95.605159640065011</v>
      </c>
      <c r="AF551" t="str">
        <f t="shared" si="359"/>
        <v>-0.979317078436135</v>
      </c>
      <c r="AG551" t="str">
        <f t="shared" si="375"/>
        <v>13433211.9880674i</v>
      </c>
      <c r="AH551">
        <f t="shared" si="376"/>
        <v>13433211.9880674</v>
      </c>
      <c r="AI551">
        <f t="shared" si="377"/>
        <v>1.5707963267948966</v>
      </c>
      <c r="AJ551" t="str">
        <f t="shared" si="360"/>
        <v>-2793199.27300922+13163.4730913473i</v>
      </c>
      <c r="AK551">
        <f t="shared" si="378"/>
        <v>2793230.2904993463</v>
      </c>
      <c r="AL551">
        <f t="shared" si="379"/>
        <v>3.1368800017683398</v>
      </c>
      <c r="AM551" t="str">
        <f t="shared" si="361"/>
        <v>1+1868828.45177994i</v>
      </c>
      <c r="AN551">
        <f t="shared" si="380"/>
        <v>1868828.4517802072</v>
      </c>
      <c r="AO551">
        <f t="shared" si="381"/>
        <v>1.5707957917003035</v>
      </c>
      <c r="AP551" t="str">
        <f t="shared" si="362"/>
        <v>1+12627.2192687834i</v>
      </c>
      <c r="AQ551">
        <f t="shared" si="382"/>
        <v>12627.219308380398</v>
      </c>
      <c r="AR551">
        <f t="shared" si="383"/>
        <v>1.5707171327952818</v>
      </c>
      <c r="AS551" s="42" t="str">
        <f t="shared" si="384"/>
        <v>-2.85343103601263E-06+0.000615898599793346i</v>
      </c>
      <c r="AT551">
        <f t="shared" si="385"/>
        <v>-64.209722447811401</v>
      </c>
      <c r="AU551" s="44">
        <f t="shared" si="386"/>
        <v>90.265446919081398</v>
      </c>
      <c r="AV551" s="42" t="str">
        <f t="shared" si="363"/>
        <v>-1.90050337777543E-07-1.95412577600718E-08i</v>
      </c>
      <c r="AW551" s="20">
        <f t="shared" si="387"/>
        <v>-134.37695336646112</v>
      </c>
      <c r="AX551" s="44">
        <f t="shared" si="388"/>
        <v>-174.12939344085359</v>
      </c>
    </row>
    <row r="552" spans="14:50" x14ac:dyDescent="0.3">
      <c r="N552" s="8">
        <v>34</v>
      </c>
      <c r="O552" s="35">
        <f t="shared" si="353"/>
        <v>2187761.6239495561</v>
      </c>
      <c r="P552" s="34" t="str">
        <f t="shared" si="354"/>
        <v>545.10556621881</v>
      </c>
      <c r="Q552" s="4" t="str">
        <f t="shared" si="355"/>
        <v>1+293654.938816086i</v>
      </c>
      <c r="R552" s="4">
        <f t="shared" si="364"/>
        <v>293654.93881778867</v>
      </c>
      <c r="S552" s="4">
        <f t="shared" si="365"/>
        <v>1.5707929214375611</v>
      </c>
      <c r="T552" s="4" t="str">
        <f t="shared" si="356"/>
        <v>1+6.8730558456056i</v>
      </c>
      <c r="U552" s="4">
        <f t="shared" si="366"/>
        <v>6.9454227126081607</v>
      </c>
      <c r="V552" s="4">
        <f t="shared" si="367"/>
        <v>1.4263144569512911</v>
      </c>
      <c r="W552" t="str">
        <f t="shared" si="357"/>
        <v>1-7.13973041241508i</v>
      </c>
      <c r="X552" s="4">
        <f t="shared" si="368"/>
        <v>7.2094209449833633</v>
      </c>
      <c r="Y552" s="4">
        <f t="shared" si="369"/>
        <v>-1.4316402536545685</v>
      </c>
      <c r="Z552" t="str">
        <f t="shared" si="358"/>
        <v>-305.323259086489+30.9181575363445i</v>
      </c>
      <c r="AA552" s="4">
        <f t="shared" si="370"/>
        <v>306.88470962991539</v>
      </c>
      <c r="AB552" s="4">
        <f t="shared" si="371"/>
        <v>3.0406729875850549</v>
      </c>
      <c r="AC552" s="48" t="str">
        <f t="shared" si="372"/>
        <v>-0.0000289101897557138+0.000301494656967051i</v>
      </c>
      <c r="AD552" s="20">
        <f t="shared" si="373"/>
        <v>-70.374657525353385</v>
      </c>
      <c r="AE552" s="44">
        <f t="shared" si="374"/>
        <v>95.477320370901936</v>
      </c>
      <c r="AF552" t="str">
        <f t="shared" si="359"/>
        <v>-0.979317078436135</v>
      </c>
      <c r="AG552" t="str">
        <f t="shared" si="375"/>
        <v>13746111.6912112i</v>
      </c>
      <c r="AH552">
        <f t="shared" si="376"/>
        <v>13746111.691211199</v>
      </c>
      <c r="AI552">
        <f t="shared" si="377"/>
        <v>1.5707963267948966</v>
      </c>
      <c r="AJ552" t="str">
        <f t="shared" si="360"/>
        <v>-2924838.74629152+13470.0897684521i</v>
      </c>
      <c r="AK552">
        <f t="shared" si="378"/>
        <v>2924869.7637888975</v>
      </c>
      <c r="AL552">
        <f t="shared" si="379"/>
        <v>3.1369872733602042</v>
      </c>
      <c r="AM552" t="str">
        <f t="shared" si="361"/>
        <v>1+1912359.0584813i</v>
      </c>
      <c r="AN552">
        <f t="shared" si="380"/>
        <v>1912359.0584815615</v>
      </c>
      <c r="AO552">
        <f t="shared" si="381"/>
        <v>1.5707958038805434</v>
      </c>
      <c r="AP552" t="str">
        <f t="shared" si="362"/>
        <v>1+12921.3449897386i</v>
      </c>
      <c r="AQ552">
        <f t="shared" si="382"/>
        <v>12921.345028434262</v>
      </c>
      <c r="AR552">
        <f t="shared" si="383"/>
        <v>1.5707189354707893</v>
      </c>
      <c r="AS552" s="42" t="str">
        <f t="shared" si="384"/>
        <v>-2.72500811937585E-06+0.00060187961779611i</v>
      </c>
      <c r="AT552">
        <f t="shared" si="385"/>
        <v>-64.409718247929035</v>
      </c>
      <c r="AU552" s="44">
        <f t="shared" si="386"/>
        <v>90.25940469318067</v>
      </c>
      <c r="AV552" s="42" t="str">
        <f t="shared" si="363"/>
        <v>-1.81384708401081E-07-1.82220293487657E-08i</v>
      </c>
      <c r="AW552" s="20">
        <f t="shared" si="387"/>
        <v>-134.78437577328242</v>
      </c>
      <c r="AX552" s="44">
        <f t="shared" si="388"/>
        <v>-174.26327493591739</v>
      </c>
    </row>
    <row r="553" spans="14:50" x14ac:dyDescent="0.3">
      <c r="N553" s="8">
        <v>35</v>
      </c>
      <c r="O553" s="35">
        <f t="shared" si="353"/>
        <v>2238721.1385683389</v>
      </c>
      <c r="P553" s="34" t="str">
        <f t="shared" si="354"/>
        <v>545.10556621881</v>
      </c>
      <c r="Q553" s="4" t="str">
        <f t="shared" si="355"/>
        <v>1+300495.041039133i</v>
      </c>
      <c r="R553" s="4">
        <f t="shared" si="364"/>
        <v>300495.0410407969</v>
      </c>
      <c r="S553" s="4">
        <f t="shared" si="365"/>
        <v>1.5707929989529577</v>
      </c>
      <c r="T553" s="4" t="str">
        <f t="shared" si="356"/>
        <v>1+7.03314988236245i</v>
      </c>
      <c r="U553" s="4">
        <f t="shared" si="366"/>
        <v>7.1038860680457807</v>
      </c>
      <c r="V553" s="4">
        <f t="shared" si="367"/>
        <v>1.4295592069951746</v>
      </c>
      <c r="W553" t="str">
        <f t="shared" si="357"/>
        <v>1-7.30603609779809i</v>
      </c>
      <c r="X553" s="4">
        <f t="shared" si="368"/>
        <v>7.3741551015915547</v>
      </c>
      <c r="Y553" s="4">
        <f t="shared" si="369"/>
        <v>-1.4347684582728442</v>
      </c>
      <c r="Z553" t="str">
        <f t="shared" si="358"/>
        <v>-319.759829521453+31.6383339411735i</v>
      </c>
      <c r="AA553" s="4">
        <f t="shared" si="370"/>
        <v>321.32122984664727</v>
      </c>
      <c r="AB553" s="4">
        <f t="shared" si="371"/>
        <v>3.042969600807476</v>
      </c>
      <c r="AC553" s="48" t="str">
        <f t="shared" si="372"/>
        <v>-0.000027587148464573+0.000294451918210732i</v>
      </c>
      <c r="AD553" s="20">
        <f t="shared" si="373"/>
        <v>-70.581757152575889</v>
      </c>
      <c r="AE553" s="44">
        <f t="shared" si="374"/>
        <v>95.352407245787134</v>
      </c>
      <c r="AF553" t="str">
        <f t="shared" si="359"/>
        <v>-0.979317078436135</v>
      </c>
      <c r="AG553" t="str">
        <f t="shared" si="375"/>
        <v>14066299.7647249i</v>
      </c>
      <c r="AH553">
        <f t="shared" si="376"/>
        <v>14066299.764724899</v>
      </c>
      <c r="AI553">
        <f t="shared" si="377"/>
        <v>1.5707963267948966</v>
      </c>
      <c r="AJ553" t="str">
        <f t="shared" si="360"/>
        <v>-3062682.19681578+13783.8484654497i</v>
      </c>
      <c r="AK553">
        <f t="shared" si="378"/>
        <v>3062713.2143200822</v>
      </c>
      <c r="AL553">
        <f t="shared" si="379"/>
        <v>3.1370921032499899</v>
      </c>
      <c r="AM553" t="str">
        <f t="shared" si="361"/>
        <v>1+1956903.62326853i</v>
      </c>
      <c r="AN553">
        <f t="shared" si="380"/>
        <v>1956903.6232687854</v>
      </c>
      <c r="AO553">
        <f t="shared" si="381"/>
        <v>1.5707958157835273</v>
      </c>
      <c r="AP553" t="str">
        <f t="shared" si="362"/>
        <v>1+13222.3217788414i</v>
      </c>
      <c r="AQ553">
        <f t="shared" si="382"/>
        <v>13222.32181665624</v>
      </c>
      <c r="AR553">
        <f t="shared" si="383"/>
        <v>1.570720697112393</v>
      </c>
      <c r="AS553" s="42" t="str">
        <f t="shared" si="384"/>
        <v>-2.60236495424267E-06+0.000588179707960652i</v>
      </c>
      <c r="AT553">
        <f t="shared" si="385"/>
        <v>-64.609714237068729</v>
      </c>
      <c r="AU553" s="44">
        <f t="shared" si="386"/>
        <v>90.253499999548779</v>
      </c>
      <c r="AV553" s="42" t="str">
        <f t="shared" si="363"/>
        <v>-1.7311885143329E-07-1.69924722800208E-08i</v>
      </c>
      <c r="AW553" s="20">
        <f t="shared" si="387"/>
        <v>-135.19147138964462</v>
      </c>
      <c r="AX553" s="44">
        <f t="shared" si="388"/>
        <v>-174.39409275466409</v>
      </c>
    </row>
    <row r="554" spans="14:50" x14ac:dyDescent="0.3">
      <c r="N554" s="8">
        <v>36</v>
      </c>
      <c r="O554" s="35">
        <f t="shared" si="353"/>
        <v>2290867.6527677765</v>
      </c>
      <c r="P554" s="34" t="str">
        <f t="shared" si="354"/>
        <v>545.10556621881</v>
      </c>
      <c r="Q554" s="4" t="str">
        <f t="shared" si="355"/>
        <v>1+307494.469710464i</v>
      </c>
      <c r="R554" s="4">
        <f t="shared" si="364"/>
        <v>307494.4697120901</v>
      </c>
      <c r="S554" s="4">
        <f t="shared" si="365"/>
        <v>1.5707930747038885</v>
      </c>
      <c r="T554" s="4" t="str">
        <f t="shared" si="356"/>
        <v>1+7.19697298828175i</v>
      </c>
      <c r="U554" s="4">
        <f t="shared" si="366"/>
        <v>7.2661145183693003</v>
      </c>
      <c r="V554" s="4">
        <f t="shared" si="367"/>
        <v>1.4327329931306212</v>
      </c>
      <c r="W554" t="str">
        <f t="shared" si="357"/>
        <v>1-7.47621554022706i</v>
      </c>
      <c r="X554" s="4">
        <f t="shared" si="368"/>
        <v>7.5427978100922601</v>
      </c>
      <c r="Y554" s="4">
        <f t="shared" si="369"/>
        <v>-1.4378280469127667</v>
      </c>
      <c r="Z554" t="str">
        <f t="shared" si="358"/>
        <v>-334.876774559858+32.3752854094414i</v>
      </c>
      <c r="AA554" s="4">
        <f t="shared" si="370"/>
        <v>336.43812691928468</v>
      </c>
      <c r="AB554" s="4">
        <f t="shared" si="371"/>
        <v>3.0452139773665685</v>
      </c>
      <c r="AC554" s="48" t="str">
        <f t="shared" si="372"/>
        <v>-0.0000263255705309255+0.000287581361206629i</v>
      </c>
      <c r="AD554" s="20">
        <f t="shared" si="373"/>
        <v>-70.788543888807354</v>
      </c>
      <c r="AE554" s="44">
        <f t="shared" si="374"/>
        <v>95.23035263562889</v>
      </c>
      <c r="AF554" t="str">
        <f t="shared" si="359"/>
        <v>-0.979317078436135</v>
      </c>
      <c r="AG554" t="str">
        <f t="shared" si="375"/>
        <v>14393945.9765635i</v>
      </c>
      <c r="AH554">
        <f t="shared" si="376"/>
        <v>14393945.9765635</v>
      </c>
      <c r="AI554">
        <f t="shared" si="377"/>
        <v>1.5707963267948966</v>
      </c>
      <c r="AJ554" t="str">
        <f t="shared" si="360"/>
        <v>-3207022.00902163+14104.9155413545i</v>
      </c>
      <c r="AK554">
        <f t="shared" si="378"/>
        <v>3207053.0265325457</v>
      </c>
      <c r="AL554">
        <f t="shared" si="379"/>
        <v>3.1371945470111169</v>
      </c>
      <c r="AM554" t="str">
        <f t="shared" si="361"/>
        <v>1+2002485.76425951i</v>
      </c>
      <c r="AN554">
        <f t="shared" si="380"/>
        <v>2002485.7642597598</v>
      </c>
      <c r="AO554">
        <f t="shared" si="381"/>
        <v>1.5707958274155662</v>
      </c>
      <c r="AP554" t="str">
        <f t="shared" si="362"/>
        <v>1+13530.3092179697i</v>
      </c>
      <c r="AQ554">
        <f t="shared" si="382"/>
        <v>13530.30925492377</v>
      </c>
      <c r="AR554">
        <f t="shared" si="383"/>
        <v>1.5707224186541386</v>
      </c>
      <c r="AS554" s="42" t="str">
        <f t="shared" si="384"/>
        <v>-2.48524142934586E-06+0.000574791609909331i</v>
      </c>
      <c r="AT554">
        <f t="shared" si="385"/>
        <v>-64.809710406723468</v>
      </c>
      <c r="AU554" s="44">
        <f t="shared" si="386"/>
        <v>90.247729707941787</v>
      </c>
      <c r="AV554" s="42" t="str">
        <f t="shared" si="363"/>
        <v>-1.6523392818934E-07-1.58464261804307E-08i</v>
      </c>
      <c r="AW554" s="20">
        <f t="shared" si="387"/>
        <v>-135.59825429553084</v>
      </c>
      <c r="AX554" s="44">
        <f t="shared" si="388"/>
        <v>-174.52191765642928</v>
      </c>
    </row>
    <row r="555" spans="14:50" x14ac:dyDescent="0.3">
      <c r="N555" s="8">
        <v>37</v>
      </c>
      <c r="O555" s="35">
        <f t="shared" si="353"/>
        <v>2344228.8153199251</v>
      </c>
      <c r="P555" s="34" t="str">
        <f t="shared" si="354"/>
        <v>545.10556621881</v>
      </c>
      <c r="Q555" s="4" t="str">
        <f t="shared" si="355"/>
        <v>1+314656.936019805i</v>
      </c>
      <c r="R555" s="4">
        <f t="shared" si="364"/>
        <v>314656.9360213941</v>
      </c>
      <c r="S555" s="4">
        <f t="shared" si="365"/>
        <v>1.5707931487305176</v>
      </c>
      <c r="T555" s="4" t="str">
        <f t="shared" si="356"/>
        <v>1+7.3646120245426i</v>
      </c>
      <c r="U555" s="4">
        <f t="shared" si="366"/>
        <v>7.432194176152656</v>
      </c>
      <c r="V555" s="4">
        <f t="shared" si="367"/>
        <v>1.4358372422526975</v>
      </c>
      <c r="W555" t="str">
        <f t="shared" si="357"/>
        <v>1-7.65035897109483i</v>
      </c>
      <c r="X555" s="4">
        <f t="shared" si="368"/>
        <v>7.7154385738343585</v>
      </c>
      <c r="Y555" s="4">
        <f t="shared" si="369"/>
        <v>-1.4408204125593311</v>
      </c>
      <c r="Z555" t="str">
        <f t="shared" si="358"/>
        <v>-350.706159268883+33.1294026825708i</v>
      </c>
      <c r="AA555" s="4">
        <f t="shared" si="370"/>
        <v>352.26746581430859</v>
      </c>
      <c r="AB555" s="4">
        <f t="shared" si="371"/>
        <v>3.047407303529448</v>
      </c>
      <c r="AC555" s="48" t="str">
        <f t="shared" si="372"/>
        <v>-0.0000251225219658807+0.000280878289237177i</v>
      </c>
      <c r="AD555" s="20">
        <f t="shared" si="373"/>
        <v>-70.995031242198209</v>
      </c>
      <c r="AE555" s="44">
        <f t="shared" si="374"/>
        <v>95.111090512930943</v>
      </c>
      <c r="AF555" t="str">
        <f t="shared" si="359"/>
        <v>-0.979317078436135</v>
      </c>
      <c r="AG555" t="str">
        <f t="shared" si="375"/>
        <v>14729224.0490852i</v>
      </c>
      <c r="AH555">
        <f t="shared" si="376"/>
        <v>14729224.0490852</v>
      </c>
      <c r="AI555">
        <f t="shared" si="377"/>
        <v>1.5707963267948966</v>
      </c>
      <c r="AJ555" t="str">
        <f t="shared" si="360"/>
        <v>-3358164.34700265+14433.4612301799i</v>
      </c>
      <c r="AK555">
        <f t="shared" si="378"/>
        <v>3358195.3645198811</v>
      </c>
      <c r="AL555">
        <f t="shared" si="379"/>
        <v>3.1372946589524329</v>
      </c>
      <c r="AM555" t="str">
        <f t="shared" si="361"/>
        <v>1+2049129.64970873i</v>
      </c>
      <c r="AN555">
        <f t="shared" si="380"/>
        <v>2049129.6497089737</v>
      </c>
      <c r="AO555">
        <f t="shared" si="381"/>
        <v>1.5707958387828276</v>
      </c>
      <c r="AP555" t="str">
        <f t="shared" si="362"/>
        <v>1+13845.4706061401i</v>
      </c>
      <c r="AQ555">
        <f t="shared" si="382"/>
        <v>13845.470642252991</v>
      </c>
      <c r="AR555">
        <f t="shared" si="383"/>
        <v>1.5707241010088104</v>
      </c>
      <c r="AS555" s="42" t="str">
        <f t="shared" si="384"/>
        <v>-2.37338913855881E-06+0.000561708228357934i</v>
      </c>
      <c r="AT555">
        <f t="shared" si="385"/>
        <v>-65.009706748768906</v>
      </c>
      <c r="AU555" s="44">
        <f t="shared" si="386"/>
        <v>90.242090759343952</v>
      </c>
      <c r="AV555" s="42" t="str">
        <f t="shared" si="363"/>
        <v>-1.57712020710855E-07-1.47781607862706E-08i</v>
      </c>
      <c r="AW555" s="20">
        <f t="shared" si="387"/>
        <v>-136.0047379909671</v>
      </c>
      <c r="AX555" s="44">
        <f t="shared" si="388"/>
        <v>-174.64681872772513</v>
      </c>
    </row>
    <row r="556" spans="14:50" x14ac:dyDescent="0.3">
      <c r="N556" s="8">
        <v>38</v>
      </c>
      <c r="O556" s="35">
        <f t="shared" si="353"/>
        <v>2398832.9190194933</v>
      </c>
      <c r="P556" s="34" t="str">
        <f t="shared" si="354"/>
        <v>545.10556621881</v>
      </c>
      <c r="Q556" s="4" t="str">
        <f t="shared" si="355"/>
        <v>1+321986.237601599i</v>
      </c>
      <c r="R556" s="4">
        <f t="shared" si="364"/>
        <v>321986.23760315188</v>
      </c>
      <c r="S556" s="4">
        <f t="shared" si="365"/>
        <v>1.5707932210720947</v>
      </c>
      <c r="T556" s="4" t="str">
        <f t="shared" si="356"/>
        <v>1+7.536155875581i</v>
      </c>
      <c r="U556" s="4">
        <f t="shared" si="366"/>
        <v>7.6022131896608913</v>
      </c>
      <c r="V556" s="4">
        <f t="shared" si="367"/>
        <v>1.4388733608400732</v>
      </c>
      <c r="W556" t="str">
        <f t="shared" si="357"/>
        <v>1-7.82855872355352i</v>
      </c>
      <c r="X556" s="4">
        <f t="shared" si="368"/>
        <v>7.8921690103624815</v>
      </c>
      <c r="Y556" s="4">
        <f t="shared" si="369"/>
        <v>-1.443746927335698</v>
      </c>
      <c r="Z556" t="str">
        <f t="shared" si="358"/>
        <v>-367.281559895782+33.9010856035218i</v>
      </c>
      <c r="AA556" s="4">
        <f t="shared" si="370"/>
        <v>368.84282268274677</v>
      </c>
      <c r="AB556" s="4">
        <f t="shared" si="371"/>
        <v>3.0495507387541712</v>
      </c>
      <c r="AC556" s="48" t="str">
        <f t="shared" si="372"/>
        <v>-0.0000239752154615433+0.000274338162772836i</v>
      </c>
      <c r="AD556" s="20">
        <f t="shared" si="373"/>
        <v>-71.201232162140599</v>
      </c>
      <c r="AE556" s="44">
        <f t="shared" si="374"/>
        <v>94.994556411816887</v>
      </c>
      <c r="AF556" t="str">
        <f t="shared" si="359"/>
        <v>-0.979317078436135</v>
      </c>
      <c r="AG556" t="str">
        <f t="shared" si="375"/>
        <v>15072311.751162i</v>
      </c>
      <c r="AH556">
        <f t="shared" si="376"/>
        <v>15072311.751162</v>
      </c>
      <c r="AI556">
        <f t="shared" si="377"/>
        <v>1.5707963267948966</v>
      </c>
      <c r="AJ556" t="str">
        <f t="shared" si="360"/>
        <v>-3516429.80392171+14769.6597311991i</v>
      </c>
      <c r="AK556">
        <f t="shared" si="378"/>
        <v>3516460.8214449724</v>
      </c>
      <c r="AL556">
        <f t="shared" si="379"/>
        <v>3.1373924921469714</v>
      </c>
      <c r="AM556" t="str">
        <f t="shared" si="361"/>
        <v>1+2096860.01082166i</v>
      </c>
      <c r="AN556">
        <f t="shared" si="380"/>
        <v>2096860.0108218985</v>
      </c>
      <c r="AO556">
        <f t="shared" si="381"/>
        <v>1.5707958498913386</v>
      </c>
      <c r="AP556" t="str">
        <f t="shared" si="362"/>
        <v>1+14167.9730460923i</v>
      </c>
      <c r="AQ556">
        <f t="shared" si="382"/>
        <v>14167.973081383161</v>
      </c>
      <c r="AR556">
        <f t="shared" si="383"/>
        <v>1.5707257450684149</v>
      </c>
      <c r="AS556" s="42" t="str">
        <f t="shared" si="384"/>
        <v>-2.26657085423507E-06+0.000548922629369204i</v>
      </c>
      <c r="AT556">
        <f t="shared" si="385"/>
        <v>-65.209703255446513</v>
      </c>
      <c r="AU556" s="44">
        <f t="shared" si="386"/>
        <v>90.236580164347998</v>
      </c>
      <c r="AV556" s="42" t="str">
        <f t="shared" si="363"/>
        <v>-1.50536084120993E-07-1.37823451947888E-08i</v>
      </c>
      <c r="AW556" s="20">
        <f t="shared" si="387"/>
        <v>-136.4109354175871</v>
      </c>
      <c r="AX556" s="44">
        <f t="shared" si="388"/>
        <v>-174.76886342383511</v>
      </c>
    </row>
    <row r="557" spans="14:50" x14ac:dyDescent="0.3">
      <c r="N557" s="8">
        <v>39</v>
      </c>
      <c r="O557" s="35">
        <f t="shared" si="353"/>
        <v>2454708.915685033</v>
      </c>
      <c r="P557" s="34" t="str">
        <f t="shared" si="354"/>
        <v>545.10556621881</v>
      </c>
      <c r="Q557" s="4" t="str">
        <f t="shared" si="355"/>
        <v>1+329486.260548561i</v>
      </c>
      <c r="R557" s="4">
        <f t="shared" si="364"/>
        <v>329486.26055007847</v>
      </c>
      <c r="S557" s="4">
        <f t="shared" si="365"/>
        <v>1.5707932917669767</v>
      </c>
      <c r="T557" s="4" t="str">
        <f t="shared" si="356"/>
        <v>1+7.71169549621745i</v>
      </c>
      <c r="U557" s="4">
        <f t="shared" si="366"/>
        <v>7.7762617899849857</v>
      </c>
      <c r="V557" s="4">
        <f t="shared" si="367"/>
        <v>1.4418427346687916</v>
      </c>
      <c r="W557" t="str">
        <f t="shared" si="357"/>
        <v>1-8.01090928147066i</v>
      </c>
      <c r="X557" s="4">
        <f t="shared" si="368"/>
        <v>8.0730829003518068</v>
      </c>
      <c r="Y557" s="4">
        <f t="shared" si="369"/>
        <v>-1.4466089422993151</v>
      </c>
      <c r="Z557" t="str">
        <f t="shared" si="358"/>
        <v>-384.638135087589+34.6907433287938i</v>
      </c>
      <c r="AA557" s="4">
        <f t="shared" si="370"/>
        <v>386.19935607968404</v>
      </c>
      <c r="AB557" s="4">
        <f t="shared" si="371"/>
        <v>3.0516454162862088</v>
      </c>
      <c r="AC557" s="48" t="str">
        <f t="shared" si="372"/>
        <v>-0.0000228810025180577+0.000267956592712373i</v>
      </c>
      <c r="AD557" s="20">
        <f t="shared" si="373"/>
        <v>-71.40715906025298</v>
      </c>
      <c r="AE557" s="44">
        <f t="shared" si="374"/>
        <v>94.880687389135531</v>
      </c>
      <c r="AF557" t="str">
        <f t="shared" si="359"/>
        <v>-0.979317078436135</v>
      </c>
      <c r="AG557" t="str">
        <f t="shared" si="375"/>
        <v>15423390.9924349i</v>
      </c>
      <c r="AH557">
        <f t="shared" si="376"/>
        <v>15423390.9924349</v>
      </c>
      <c r="AI557">
        <f t="shared" si="377"/>
        <v>1.5707963267948966</v>
      </c>
      <c r="AJ557" t="str">
        <f t="shared" si="360"/>
        <v>-3682154.08203198+15113.6893013073i</v>
      </c>
      <c r="AK557">
        <f t="shared" si="378"/>
        <v>3682185.0995610021</v>
      </c>
      <c r="AL557">
        <f t="shared" si="379"/>
        <v>3.1374880984600546</v>
      </c>
      <c r="AM557" t="str">
        <f t="shared" si="361"/>
        <v>1+2145702.15486754i</v>
      </c>
      <c r="AN557">
        <f t="shared" si="380"/>
        <v>2145702.1548677729</v>
      </c>
      <c r="AO557">
        <f t="shared" si="381"/>
        <v>1.5707958607469887</v>
      </c>
      <c r="AP557" t="str">
        <f t="shared" si="362"/>
        <v>1+14497.9875328888i</v>
      </c>
      <c r="AQ557">
        <f t="shared" si="382"/>
        <v>14497.987567376342</v>
      </c>
      <c r="AR557">
        <f t="shared" si="383"/>
        <v>1.5707273517046543</v>
      </c>
      <c r="AS557" s="42" t="str">
        <f t="shared" si="384"/>
        <v>-2.16456002423799E-06+0.000536428036690924i</v>
      </c>
      <c r="AT557">
        <f t="shared" si="385"/>
        <v>-65.409699919346949</v>
      </c>
      <c r="AU557" s="44">
        <f t="shared" si="386"/>
        <v>90.231195001572203</v>
      </c>
      <c r="AV557" s="42" t="str">
        <f t="shared" si="363"/>
        <v>-1.43689901643723E-07-1.2854019387098E-08i</v>
      </c>
      <c r="AW557" s="20">
        <f t="shared" si="387"/>
        <v>-136.81685897959991</v>
      </c>
      <c r="AX557" s="44">
        <f t="shared" si="388"/>
        <v>-174.88811760929227</v>
      </c>
    </row>
    <row r="558" spans="14:50" x14ac:dyDescent="0.3">
      <c r="N558" s="8">
        <v>40</v>
      </c>
      <c r="O558" s="35">
        <f t="shared" si="353"/>
        <v>2511886.431509587</v>
      </c>
      <c r="P558" s="34" t="str">
        <f t="shared" si="354"/>
        <v>545.10556621881</v>
      </c>
      <c r="Q558" s="4" t="str">
        <f t="shared" si="355"/>
        <v>1+337160.981472135i</v>
      </c>
      <c r="R558" s="4">
        <f t="shared" si="364"/>
        <v>337160.9814736179</v>
      </c>
      <c r="S558" s="4">
        <f t="shared" si="365"/>
        <v>1.5707933608526465</v>
      </c>
      <c r="T558" s="4" t="str">
        <f t="shared" si="356"/>
        <v>1+7.8913239598824i</v>
      </c>
      <c r="U558" s="4">
        <f t="shared" si="366"/>
        <v>7.9544323392567771</v>
      </c>
      <c r="V558" s="4">
        <f t="shared" si="367"/>
        <v>1.4447467285770232</v>
      </c>
      <c r="W558" t="str">
        <f t="shared" si="357"/>
        <v>1-8.19750732952581i</v>
      </c>
      <c r="X558" s="4">
        <f t="shared" si="368"/>
        <v>8.2582762376678431</v>
      </c>
      <c r="Y558" s="4">
        <f t="shared" si="369"/>
        <v>-1.449407787283258</v>
      </c>
      <c r="Z558" t="str">
        <f t="shared" si="358"/>
        <v>-402.812700467326+35.4987945453652i</v>
      </c>
      <c r="AA558" s="4">
        <f t="shared" si="370"/>
        <v>404.37388154028162</v>
      </c>
      <c r="AB558" s="4">
        <f t="shared" si="371"/>
        <v>3.0536924437423569</v>
      </c>
      <c r="AC558" s="48" t="str">
        <f t="shared" si="372"/>
        <v>-0.0000218373660347782+0.000261729333970554i</v>
      </c>
      <c r="AD558" s="20">
        <f t="shared" si="373"/>
        <v>-71.612823830766359</v>
      </c>
      <c r="AE558" s="44">
        <f t="shared" si="374"/>
        <v>94.769421986615626</v>
      </c>
      <c r="AF558" t="str">
        <f t="shared" si="359"/>
        <v>-0.979317078436135</v>
      </c>
      <c r="AG558" t="str">
        <f t="shared" si="375"/>
        <v>15782647.9197648i</v>
      </c>
      <c r="AH558">
        <f t="shared" si="376"/>
        <v>15782647.9197648</v>
      </c>
      <c r="AI558">
        <f t="shared" si="377"/>
        <v>1.5707963267948966</v>
      </c>
      <c r="AJ558" t="str">
        <f t="shared" si="360"/>
        <v>-3855688.70474642+15465.7323495364i</v>
      </c>
      <c r="AK558">
        <f t="shared" si="378"/>
        <v>3855719.7222809428</v>
      </c>
      <c r="AL558">
        <f t="shared" si="379"/>
        <v>3.1375815285767579</v>
      </c>
      <c r="AM558" t="str">
        <f t="shared" si="361"/>
        <v>1+2195681.97859768i</v>
      </c>
      <c r="AN558">
        <f t="shared" si="380"/>
        <v>2195681.9785979078</v>
      </c>
      <c r="AO558">
        <f t="shared" si="381"/>
        <v>1.5707958713555343</v>
      </c>
      <c r="AP558" t="str">
        <f t="shared" si="362"/>
        <v>1+14835.6890445789i</v>
      </c>
      <c r="AQ558">
        <f t="shared" si="382"/>
        <v>14835.68907828141</v>
      </c>
      <c r="AR558">
        <f t="shared" si="383"/>
        <v>1.5707289217693881</v>
      </c>
      <c r="AS558" s="42" t="str">
        <f t="shared" si="384"/>
        <v>-2.06714029159503E-06+0.000524217828176625i</v>
      </c>
      <c r="AT558">
        <f t="shared" si="385"/>
        <v>-65.609696733394259</v>
      </c>
      <c r="AU558" s="44">
        <f t="shared" si="386"/>
        <v>90.225932416113395</v>
      </c>
      <c r="AV558" s="42" t="str">
        <f t="shared" si="363"/>
        <v>-1.37158042124966E-07-1.19885678475923E-08i</v>
      </c>
      <c r="AW558" s="20">
        <f t="shared" si="387"/>
        <v>-137.22252056416059</v>
      </c>
      <c r="AX558" s="44">
        <f t="shared" si="388"/>
        <v>-175.00464559727098</v>
      </c>
    </row>
    <row r="559" spans="14:50" x14ac:dyDescent="0.3">
      <c r="N559" s="8">
        <v>41</v>
      </c>
      <c r="O559" s="35">
        <f t="shared" si="353"/>
        <v>2570395.782768866</v>
      </c>
      <c r="P559" s="34" t="str">
        <f t="shared" si="354"/>
        <v>545.10556621881</v>
      </c>
      <c r="Q559" s="4" t="str">
        <f t="shared" si="355"/>
        <v>1+345014.469610936i</v>
      </c>
      <c r="R559" s="4">
        <f t="shared" si="364"/>
        <v>345014.4696123852</v>
      </c>
      <c r="S559" s="4">
        <f t="shared" si="365"/>
        <v>1.5707934283657348</v>
      </c>
      <c r="T559" s="4" t="str">
        <f t="shared" si="356"/>
        <v>1+8.07513650796485i</v>
      </c>
      <c r="U559" s="4">
        <f t="shared" si="366"/>
        <v>8.1368193799706976</v>
      </c>
      <c r="V559" s="4">
        <f t="shared" si="367"/>
        <v>1.4475866862772462</v>
      </c>
      <c r="W559" t="str">
        <f t="shared" si="357"/>
        <v>1-8.38845180447386i</v>
      </c>
      <c r="X559" s="4">
        <f t="shared" si="368"/>
        <v>8.4478472805786886</v>
      </c>
      <c r="Y559" s="4">
        <f t="shared" si="369"/>
        <v>-1.4521447707795301</v>
      </c>
      <c r="Z559" t="str">
        <f t="shared" si="358"/>
        <v>-421.843806724862+36.3256676926863i</v>
      </c>
      <c r="AA559" s="4">
        <f t="shared" si="370"/>
        <v>423.40494967045697</v>
      </c>
      <c r="AB559" s="4">
        <f t="shared" si="371"/>
        <v>3.0556929036822864</v>
      </c>
      <c r="AC559" s="48" t="str">
        <f t="shared" si="372"/>
        <v>-0.0000208419133352897+0.000255652279394468i</v>
      </c>
      <c r="AD559" s="20">
        <f t="shared" si="373"/>
        <v>-71.818237870310497</v>
      </c>
      <c r="AE559" s="44">
        <f t="shared" si="374"/>
        <v>94.660700194042732</v>
      </c>
      <c r="AF559" t="str">
        <f t="shared" si="359"/>
        <v>-0.979317078436135</v>
      </c>
      <c r="AG559" t="str">
        <f t="shared" si="375"/>
        <v>16150273.0159297i</v>
      </c>
      <c r="AH559">
        <f t="shared" si="376"/>
        <v>16150273.015929701</v>
      </c>
      <c r="AI559">
        <f t="shared" si="377"/>
        <v>1.5707963267948966</v>
      </c>
      <c r="AJ559" t="str">
        <f t="shared" si="360"/>
        <v>-4037401.7622659+15825.9755337703i</v>
      </c>
      <c r="AK559">
        <f t="shared" si="378"/>
        <v>4037432.7798056765</v>
      </c>
      <c r="AL559">
        <f t="shared" si="379"/>
        <v>3.1376728320287532</v>
      </c>
      <c r="AM559" t="str">
        <f t="shared" si="361"/>
        <v>1+2246825.98197614i</v>
      </c>
      <c r="AN559">
        <f t="shared" si="380"/>
        <v>2246825.9819763624</v>
      </c>
      <c r="AO559">
        <f t="shared" si="381"/>
        <v>1.5707958817226</v>
      </c>
      <c r="AP559" t="str">
        <f t="shared" si="362"/>
        <v>1+15181.256634974i</v>
      </c>
      <c r="AQ559">
        <f t="shared" si="382"/>
        <v>15181.256667909351</v>
      </c>
      <c r="AR559">
        <f t="shared" si="383"/>
        <v>1.5707304560950859</v>
      </c>
      <c r="AS559" s="42" t="str">
        <f t="shared" si="384"/>
        <v>-1.97410503575973E-06+0.000512285532287098i</v>
      </c>
      <c r="AT559">
        <f t="shared" si="385"/>
        <v>-65.809693690830755</v>
      </c>
      <c r="AU559" s="44">
        <f t="shared" si="386"/>
        <v>90.220789618035056</v>
      </c>
      <c r="AV559" s="42" t="str">
        <f t="shared" si="363"/>
        <v>-1.30925819903935E-07-1.11816951190065E-08i</v>
      </c>
      <c r="AW559" s="20">
        <f t="shared" si="387"/>
        <v>-137.62793156114125</v>
      </c>
      <c r="AX559" s="44">
        <f t="shared" si="388"/>
        <v>-175.11851018792223</v>
      </c>
    </row>
    <row r="560" spans="14:50" ht="15" thickBot="1" x14ac:dyDescent="0.35">
      <c r="N560" s="8">
        <v>42</v>
      </c>
      <c r="O560" s="35">
        <f t="shared" si="353"/>
        <v>2630267.9918953842</v>
      </c>
      <c r="P560" s="34" t="str">
        <f t="shared" si="354"/>
        <v>545.10556621881</v>
      </c>
      <c r="Q560" s="4" t="str">
        <f t="shared" si="355"/>
        <v>1+353050.888988331i</v>
      </c>
      <c r="R560" s="4">
        <f t="shared" si="364"/>
        <v>353050.88898974727</v>
      </c>
      <c r="S560" s="4">
        <f t="shared" si="365"/>
        <v>1.5707934943420374</v>
      </c>
      <c r="T560" s="4" t="str">
        <f t="shared" si="356"/>
        <v>1+8.2632306003109i</v>
      </c>
      <c r="U560" s="4">
        <f t="shared" si="366"/>
        <v>8.3235196854404343</v>
      </c>
      <c r="V560" s="4">
        <f t="shared" si="367"/>
        <v>1.4503639302125046</v>
      </c>
      <c r="W560" t="str">
        <f t="shared" si="357"/>
        <v>1-8.58384394760294i</v>
      </c>
      <c r="X560" s="4">
        <f t="shared" si="368"/>
        <v>8.6418966041488616</v>
      </c>
      <c r="Y560" s="4">
        <f t="shared" si="369"/>
        <v>-1.454821179861258</v>
      </c>
      <c r="Z560" t="str">
        <f t="shared" si="358"/>
        <v>-441.771821388119+37.1718011898453i</v>
      </c>
      <c r="AA560" s="4">
        <f t="shared" si="370"/>
        <v>443.33292791791763</v>
      </c>
      <c r="AB560" s="4">
        <f t="shared" si="371"/>
        <v>3.0576478541679459</v>
      </c>
      <c r="AC560" s="43" t="str">
        <f t="shared" si="372"/>
        <v>-0.0000198923695981485+0.000249721453990623i</v>
      </c>
      <c r="AD560" s="47">
        <f t="shared" si="373"/>
        <v>-72.023412097101257</v>
      </c>
      <c r="AE560" s="46">
        <f t="shared" si="374"/>
        <v>94.554463413428877</v>
      </c>
      <c r="AF560" t="str">
        <f t="shared" si="359"/>
        <v>-0.979317078436135</v>
      </c>
      <c r="AG560" t="str">
        <f t="shared" si="375"/>
        <v>16526461.2006218i</v>
      </c>
      <c r="AH560">
        <f t="shared" si="376"/>
        <v>16526461.2006218</v>
      </c>
      <c r="AI560">
        <f t="shared" si="377"/>
        <v>1.5707963267948966</v>
      </c>
      <c r="AJ560" t="str">
        <f t="shared" si="360"/>
        <v>-4227678.69234817+16194.6098597139i</v>
      </c>
      <c r="AK560">
        <f t="shared" si="378"/>
        <v>4227709.7098929631</v>
      </c>
      <c r="AL560">
        <f t="shared" si="379"/>
        <v>3.1377620572205416</v>
      </c>
      <c r="AM560" t="str">
        <f t="shared" si="361"/>
        <v>1+2299161.2822305i</v>
      </c>
      <c r="AN560">
        <f t="shared" si="380"/>
        <v>2299161.2822307176</v>
      </c>
      <c r="AO560">
        <f t="shared" si="381"/>
        <v>1.5707958918536824</v>
      </c>
      <c r="AP560" t="str">
        <f t="shared" si="362"/>
        <v>1+15534.8735285845i</v>
      </c>
      <c r="AQ560">
        <f t="shared" si="382"/>
        <v>15534.873560770147</v>
      </c>
      <c r="AR560">
        <f t="shared" si="383"/>
        <v>1.5707319554952668</v>
      </c>
      <c r="AS560" s="42" t="str">
        <f t="shared" si="384"/>
        <v>-1.88525693450934E-06+0.000500624824670877i</v>
      </c>
      <c r="AT560" s="40">
        <f t="shared" si="385"/>
        <v>-66.009690785203304</v>
      </c>
      <c r="AU560" s="46">
        <f t="shared" si="386"/>
        <v>90.215763880889753</v>
      </c>
      <c r="AV560" s="45" t="str">
        <f t="shared" si="363"/>
        <v>-1.24979256892883E-07-1.0429403145193E-08i</v>
      </c>
      <c r="AW560" s="47">
        <f t="shared" si="387"/>
        <v>-138.0331028823046</v>
      </c>
      <c r="AX560" s="46">
        <f t="shared" si="388"/>
        <v>-175.22977270568131</v>
      </c>
    </row>
    <row r="561" spans="14:30" x14ac:dyDescent="0.3">
      <c r="N561" s="8"/>
      <c r="P561" s="34"/>
      <c r="Q561" s="4"/>
      <c r="R561" s="4"/>
      <c r="S561" s="4"/>
      <c r="T561" s="4"/>
      <c r="U561" s="4"/>
      <c r="V561" s="4"/>
      <c r="X561" s="4"/>
      <c r="Y561" s="4"/>
      <c r="AA561" s="4"/>
      <c r="AB561" s="4"/>
      <c r="AC561" s="4"/>
      <c r="AD561" s="20"/>
    </row>
    <row r="562" spans="14:30" x14ac:dyDescent="0.3">
      <c r="N562" s="8"/>
      <c r="P562" s="34"/>
      <c r="Q562" s="4"/>
      <c r="R562" s="4"/>
      <c r="S562" s="4"/>
      <c r="T562" s="4"/>
      <c r="U562" s="4"/>
      <c r="V562" s="4"/>
      <c r="X562" s="4"/>
      <c r="Y562" s="4"/>
      <c r="AA562" s="4"/>
      <c r="AB562" s="4"/>
      <c r="AC562" s="4"/>
      <c r="AD562" s="20"/>
    </row>
    <row r="563" spans="14:30" x14ac:dyDescent="0.3">
      <c r="N563" s="8"/>
      <c r="P563" s="34"/>
      <c r="Q563" s="4"/>
      <c r="R563" s="4"/>
      <c r="S563" s="4"/>
      <c r="T563" s="4"/>
      <c r="U563" s="4"/>
      <c r="V563" s="4"/>
      <c r="X563" s="4"/>
      <c r="Y563" s="4"/>
      <c r="AA563" s="4"/>
      <c r="AB563" s="4"/>
      <c r="AC563" s="4"/>
      <c r="AD563" s="20"/>
    </row>
    <row r="564" spans="14:30" x14ac:dyDescent="0.3">
      <c r="N564" s="8"/>
      <c r="P564" s="34"/>
      <c r="Q564" s="4"/>
      <c r="R564" s="4"/>
      <c r="S564" s="4"/>
      <c r="T564" s="4"/>
      <c r="U564" s="4"/>
      <c r="V564" s="4"/>
      <c r="X564" s="4"/>
      <c r="Y564" s="4"/>
      <c r="AA564" s="4"/>
      <c r="AB564" s="4"/>
      <c r="AC564" s="4"/>
      <c r="AD564" s="20"/>
    </row>
    <row r="565" spans="14:30" x14ac:dyDescent="0.3">
      <c r="N565" s="8"/>
      <c r="P565" s="34"/>
      <c r="Q565" s="4"/>
      <c r="R565" s="4"/>
      <c r="S565" s="4"/>
      <c r="T565" s="4"/>
      <c r="U565" s="4"/>
      <c r="V565" s="4"/>
      <c r="X565" s="4"/>
      <c r="Y565" s="4"/>
      <c r="AA565" s="4"/>
      <c r="AB565" s="4"/>
      <c r="AC565" s="4"/>
      <c r="AD565" s="20"/>
    </row>
    <row r="566" spans="14:30" x14ac:dyDescent="0.3">
      <c r="N566" s="8"/>
      <c r="P566" s="34"/>
      <c r="Q566" s="4"/>
      <c r="R566" s="4"/>
      <c r="S566" s="4"/>
      <c r="T566" s="4"/>
      <c r="U566" s="4"/>
      <c r="V566" s="4"/>
      <c r="X566" s="4"/>
      <c r="Y566" s="4"/>
      <c r="AA566" s="4"/>
      <c r="AB566" s="4"/>
      <c r="AC566" s="4"/>
      <c r="AD566" s="20"/>
    </row>
    <row r="567" spans="14:30" x14ac:dyDescent="0.3">
      <c r="N567" s="8"/>
      <c r="P567" s="34"/>
      <c r="Q567" s="4"/>
      <c r="R567" s="4"/>
      <c r="S567" s="4"/>
      <c r="T567" s="4"/>
      <c r="U567" s="4"/>
      <c r="V567" s="4"/>
      <c r="X567" s="4"/>
      <c r="Y567" s="4"/>
      <c r="AA567" s="4"/>
      <c r="AB567" s="4"/>
      <c r="AC567" s="4"/>
      <c r="AD567" s="20"/>
    </row>
    <row r="568" spans="14:30" x14ac:dyDescent="0.3">
      <c r="N568" s="8"/>
      <c r="P568" s="34"/>
      <c r="Q568" s="4"/>
      <c r="R568" s="4"/>
      <c r="S568" s="4"/>
      <c r="T568" s="4"/>
      <c r="U568" s="4"/>
      <c r="V568" s="4"/>
      <c r="X568" s="4"/>
      <c r="Y568" s="4"/>
      <c r="AA568" s="4"/>
      <c r="AB568" s="4"/>
      <c r="AC568" s="4"/>
      <c r="AD568" s="20"/>
    </row>
    <row r="569" spans="14:30" x14ac:dyDescent="0.3">
      <c r="N569" s="8"/>
      <c r="P569" s="34"/>
      <c r="Q569" s="4"/>
      <c r="R569" s="4"/>
      <c r="S569" s="4"/>
      <c r="T569" s="4"/>
      <c r="U569" s="4"/>
      <c r="V569" s="4"/>
      <c r="X569" s="4"/>
      <c r="Y569" s="4"/>
      <c r="AA569" s="4"/>
      <c r="AB569" s="4"/>
      <c r="AC569" s="4"/>
      <c r="AD569" s="20"/>
    </row>
    <row r="570" spans="14:30" x14ac:dyDescent="0.3">
      <c r="N570" s="8"/>
      <c r="P570" s="34"/>
      <c r="Q570" s="4"/>
      <c r="R570" s="4"/>
      <c r="S570" s="4"/>
      <c r="T570" s="4"/>
      <c r="U570" s="4"/>
      <c r="V570" s="4"/>
      <c r="X570" s="4"/>
      <c r="Y570" s="4"/>
      <c r="AA570" s="4"/>
      <c r="AB570" s="4"/>
      <c r="AC570" s="4"/>
      <c r="AD570" s="20"/>
    </row>
    <row r="571" spans="14:30" x14ac:dyDescent="0.3">
      <c r="N571" s="8"/>
      <c r="P571" s="34"/>
      <c r="Q571" s="4"/>
      <c r="R571" s="4"/>
      <c r="S571" s="4"/>
      <c r="T571" s="4"/>
      <c r="U571" s="4"/>
      <c r="V571" s="4"/>
      <c r="X571" s="4"/>
      <c r="Y571" s="4"/>
      <c r="AA571" s="4"/>
      <c r="AB571" s="4"/>
      <c r="AC571" s="4"/>
      <c r="AD571" s="20"/>
    </row>
    <row r="572" spans="14:30" x14ac:dyDescent="0.3">
      <c r="N572" s="8"/>
      <c r="P572" s="34"/>
      <c r="Q572" s="4"/>
      <c r="R572" s="4"/>
      <c r="S572" s="4"/>
      <c r="T572" s="4"/>
      <c r="U572" s="4"/>
      <c r="V572" s="4"/>
      <c r="X572" s="4"/>
      <c r="Y572" s="4"/>
      <c r="AA572" s="4"/>
      <c r="AB572" s="4"/>
      <c r="AC572" s="4"/>
      <c r="AD572" s="20"/>
    </row>
    <row r="573" spans="14:30" x14ac:dyDescent="0.3">
      <c r="N573" s="8"/>
      <c r="P573" s="34"/>
      <c r="Q573" s="4"/>
      <c r="R573" s="4"/>
      <c r="S573" s="4"/>
      <c r="T573" s="4"/>
      <c r="U573" s="4"/>
      <c r="V573" s="4"/>
      <c r="X573" s="4"/>
      <c r="Y573" s="4"/>
      <c r="AA573" s="4"/>
      <c r="AB573" s="4"/>
      <c r="AC573" s="4"/>
      <c r="AD573" s="20"/>
    </row>
    <row r="574" spans="14:30" x14ac:dyDescent="0.3">
      <c r="N574" s="8"/>
      <c r="P574" s="34"/>
      <c r="Q574" s="4"/>
      <c r="R574" s="4"/>
      <c r="S574" s="4"/>
      <c r="T574" s="4"/>
      <c r="U574" s="4"/>
      <c r="V574" s="4"/>
      <c r="X574" s="4"/>
      <c r="Y574" s="4"/>
      <c r="AA574" s="4"/>
      <c r="AB574" s="4"/>
      <c r="AC574" s="4"/>
      <c r="AD574" s="20"/>
    </row>
    <row r="575" spans="14:30" x14ac:dyDescent="0.3">
      <c r="N575" s="8"/>
      <c r="P575" s="34"/>
      <c r="Q575" s="4"/>
      <c r="R575" s="4"/>
      <c r="S575" s="4"/>
      <c r="T575" s="4"/>
      <c r="U575" s="4"/>
      <c r="V575" s="4"/>
      <c r="X575" s="4"/>
      <c r="Y575" s="4"/>
      <c r="AA575" s="4"/>
      <c r="AB575" s="4"/>
      <c r="AC575" s="4"/>
      <c r="AD575" s="20"/>
    </row>
    <row r="576" spans="14:30" x14ac:dyDescent="0.3">
      <c r="N576" s="8"/>
      <c r="P576" s="34"/>
      <c r="Q576" s="4"/>
      <c r="R576" s="4"/>
      <c r="S576" s="4"/>
      <c r="T576" s="4"/>
      <c r="U576" s="4"/>
      <c r="V576" s="4"/>
      <c r="X576" s="4"/>
      <c r="Y576" s="4"/>
      <c r="AA576" s="4"/>
      <c r="AB576" s="4"/>
      <c r="AC576" s="4"/>
      <c r="AD576" s="20"/>
    </row>
    <row r="577" spans="14:30" x14ac:dyDescent="0.3">
      <c r="N577" s="8"/>
      <c r="P577" s="34"/>
      <c r="Q577" s="4"/>
      <c r="R577" s="4"/>
      <c r="S577" s="4"/>
      <c r="T577" s="4"/>
      <c r="U577" s="4"/>
      <c r="V577" s="4"/>
      <c r="X577" s="4"/>
      <c r="Y577" s="4"/>
      <c r="AA577" s="4"/>
      <c r="AB577" s="4"/>
      <c r="AC577" s="4"/>
      <c r="AD577" s="20"/>
    </row>
    <row r="578" spans="14:30" x14ac:dyDescent="0.3">
      <c r="N578" s="8"/>
      <c r="P578" s="34"/>
      <c r="Q578" s="4"/>
      <c r="R578" s="4"/>
      <c r="S578" s="4"/>
      <c r="T578" s="4"/>
      <c r="U578" s="4"/>
      <c r="V578" s="4"/>
      <c r="X578" s="4"/>
      <c r="Y578" s="4"/>
      <c r="AA578" s="4"/>
      <c r="AB578" s="4"/>
      <c r="AC578" s="4"/>
      <c r="AD578" s="20"/>
    </row>
    <row r="579" spans="14:30" x14ac:dyDescent="0.3">
      <c r="N579" s="8"/>
      <c r="P579" s="34"/>
      <c r="Q579" s="4"/>
      <c r="R579" s="4"/>
      <c r="S579" s="4"/>
      <c r="T579" s="4"/>
      <c r="U579" s="4"/>
      <c r="V579" s="4"/>
      <c r="X579" s="4"/>
      <c r="Y579" s="4"/>
      <c r="AA579" s="4"/>
      <c r="AB579" s="4"/>
      <c r="AC579" s="4"/>
      <c r="AD579" s="20"/>
    </row>
    <row r="580" spans="14:30" x14ac:dyDescent="0.3">
      <c r="N580" s="8"/>
      <c r="P580" s="34"/>
      <c r="Q580" s="4"/>
      <c r="R580" s="4"/>
      <c r="S580" s="4"/>
      <c r="T580" s="4"/>
      <c r="U580" s="4"/>
      <c r="V580" s="4"/>
      <c r="X580" s="4"/>
      <c r="Y580" s="4"/>
      <c r="AA580" s="4"/>
      <c r="AB580" s="4"/>
      <c r="AC580" s="4"/>
      <c r="AD580" s="20"/>
    </row>
    <row r="581" spans="14:30" x14ac:dyDescent="0.3">
      <c r="N581" s="8"/>
      <c r="P581" s="34"/>
      <c r="Q581" s="4"/>
      <c r="R581" s="4"/>
      <c r="S581" s="4"/>
      <c r="T581" s="4"/>
      <c r="U581" s="4"/>
      <c r="V581" s="4"/>
      <c r="X581" s="4"/>
      <c r="Y581" s="4"/>
      <c r="AA581" s="4"/>
      <c r="AB581" s="4"/>
      <c r="AC581" s="4"/>
      <c r="AD581" s="20"/>
    </row>
    <row r="582" spans="14:30" x14ac:dyDescent="0.3">
      <c r="N582" s="8"/>
      <c r="P582" s="34"/>
      <c r="Q582" s="4"/>
      <c r="R582" s="4"/>
      <c r="S582" s="4"/>
      <c r="T582" s="4"/>
      <c r="U582" s="4"/>
      <c r="V582" s="4"/>
      <c r="X582" s="4"/>
      <c r="Y582" s="4"/>
      <c r="AA582" s="4"/>
      <c r="AB582" s="4"/>
      <c r="AC582" s="4"/>
      <c r="AD582" s="20"/>
    </row>
    <row r="583" spans="14:30" x14ac:dyDescent="0.3">
      <c r="N583" s="8"/>
      <c r="P583" s="34"/>
      <c r="Q583" s="4"/>
      <c r="R583" s="4"/>
      <c r="S583" s="4"/>
      <c r="T583" s="4"/>
      <c r="U583" s="4"/>
      <c r="V583" s="4"/>
      <c r="X583" s="4"/>
      <c r="Y583" s="4"/>
      <c r="AA583" s="4"/>
      <c r="AB583" s="4"/>
      <c r="AC583" s="4"/>
      <c r="AD583" s="20"/>
    </row>
    <row r="584" spans="14:30" x14ac:dyDescent="0.3">
      <c r="N584" s="8"/>
      <c r="P584" s="34"/>
      <c r="Q584" s="4"/>
      <c r="R584" s="4"/>
      <c r="S584" s="4"/>
      <c r="T584" s="4"/>
      <c r="U584" s="4"/>
      <c r="V584" s="4"/>
      <c r="X584" s="4"/>
      <c r="Y584" s="4"/>
      <c r="AA584" s="4"/>
      <c r="AB584" s="4"/>
      <c r="AC584" s="4"/>
      <c r="AD584" s="20"/>
    </row>
    <row r="585" spans="14:30" x14ac:dyDescent="0.3">
      <c r="N585" s="8"/>
      <c r="P585" s="34"/>
      <c r="Q585" s="4"/>
      <c r="R585" s="4"/>
      <c r="S585" s="4"/>
      <c r="T585" s="4"/>
      <c r="U585" s="4"/>
      <c r="V585" s="4"/>
      <c r="X585" s="4"/>
      <c r="Y585" s="4"/>
      <c r="AA585" s="4"/>
      <c r="AB585" s="4"/>
      <c r="AC585" s="4"/>
      <c r="AD585" s="20"/>
    </row>
    <row r="586" spans="14:30" x14ac:dyDescent="0.3">
      <c r="N586" s="8"/>
      <c r="P586" s="34"/>
      <c r="Q586" s="4"/>
      <c r="R586" s="4"/>
      <c r="S586" s="4"/>
      <c r="T586" s="4"/>
      <c r="U586" s="4"/>
      <c r="V586" s="4"/>
      <c r="X586" s="4"/>
      <c r="Y586" s="4"/>
      <c r="AA586" s="4"/>
      <c r="AB586" s="4"/>
      <c r="AC586" s="4"/>
      <c r="AD586" s="20"/>
    </row>
    <row r="587" spans="14:30" x14ac:dyDescent="0.3">
      <c r="N587" s="8"/>
      <c r="P587" s="34"/>
      <c r="Q587" s="4"/>
      <c r="R587" s="4"/>
      <c r="S587" s="4"/>
      <c r="T587" s="4"/>
      <c r="U587" s="4"/>
      <c r="V587" s="4"/>
      <c r="X587" s="4"/>
      <c r="Y587" s="4"/>
      <c r="AA587" s="4"/>
      <c r="AB587" s="4"/>
      <c r="AC587" s="4"/>
      <c r="AD587" s="20"/>
    </row>
    <row r="588" spans="14:30" x14ac:dyDescent="0.3">
      <c r="N588" s="8"/>
      <c r="P588" s="34"/>
      <c r="Q588" s="4"/>
      <c r="R588" s="4"/>
      <c r="S588" s="4"/>
      <c r="T588" s="4"/>
      <c r="U588" s="4"/>
      <c r="V588" s="4"/>
      <c r="X588" s="4"/>
      <c r="Y588" s="4"/>
      <c r="AA588" s="4"/>
      <c r="AB588" s="4"/>
      <c r="AC588" s="4"/>
      <c r="AD588" s="20"/>
    </row>
    <row r="589" spans="14:30" x14ac:dyDescent="0.3">
      <c r="N589" s="8"/>
      <c r="P589" s="34"/>
      <c r="Q589" s="4"/>
      <c r="R589" s="4"/>
      <c r="S589" s="4"/>
      <c r="T589" s="4"/>
      <c r="U589" s="4"/>
      <c r="V589" s="4"/>
      <c r="X589" s="4"/>
      <c r="Y589" s="4"/>
      <c r="AA589" s="4"/>
      <c r="AB589" s="4"/>
      <c r="AC589" s="4"/>
      <c r="AD589" s="20"/>
    </row>
    <row r="590" spans="14:30" x14ac:dyDescent="0.3">
      <c r="N590" s="8"/>
      <c r="P590" s="34"/>
      <c r="Q590" s="4"/>
      <c r="R590" s="4"/>
      <c r="S590" s="4"/>
      <c r="T590" s="4"/>
      <c r="U590" s="4"/>
      <c r="V590" s="4"/>
      <c r="X590" s="4"/>
      <c r="Y590" s="4"/>
      <c r="AA590" s="4"/>
      <c r="AB590" s="4"/>
      <c r="AC590" s="4"/>
      <c r="AD590" s="20"/>
    </row>
    <row r="591" spans="14:30" x14ac:dyDescent="0.3">
      <c r="N591" s="8"/>
      <c r="P591" s="34"/>
      <c r="Q591" s="4"/>
      <c r="R591" s="4"/>
      <c r="S591" s="4"/>
      <c r="T591" s="4"/>
      <c r="U591" s="4"/>
      <c r="V591" s="4"/>
      <c r="X591" s="4"/>
      <c r="Y591" s="4"/>
      <c r="AA591" s="4"/>
      <c r="AB591" s="4"/>
      <c r="AC591" s="4"/>
      <c r="AD591" s="20"/>
    </row>
    <row r="592" spans="14:30" x14ac:dyDescent="0.3">
      <c r="N592" s="8"/>
      <c r="P592" s="34"/>
      <c r="Q592" s="4"/>
      <c r="R592" s="4"/>
      <c r="S592" s="4"/>
      <c r="T592" s="4"/>
      <c r="U592" s="4"/>
      <c r="V592" s="4"/>
      <c r="X592" s="4"/>
      <c r="Y592" s="4"/>
      <c r="AA592" s="4"/>
      <c r="AB592" s="4"/>
      <c r="AC592" s="4"/>
      <c r="AD592" s="20"/>
    </row>
    <row r="593" spans="14:30" x14ac:dyDescent="0.3">
      <c r="N593" s="8"/>
      <c r="P593" s="34"/>
      <c r="Q593" s="4"/>
      <c r="R593" s="4"/>
      <c r="S593" s="4"/>
      <c r="T593" s="4"/>
      <c r="U593" s="4"/>
      <c r="V593" s="4"/>
      <c r="X593" s="4"/>
      <c r="Y593" s="4"/>
      <c r="AA593" s="4"/>
      <c r="AB593" s="4"/>
      <c r="AC593" s="4"/>
      <c r="AD593" s="20"/>
    </row>
    <row r="594" spans="14:30" x14ac:dyDescent="0.3">
      <c r="N594" s="8"/>
      <c r="P594" s="34"/>
      <c r="Q594" s="4"/>
      <c r="R594" s="4"/>
      <c r="S594" s="4"/>
      <c r="T594" s="4"/>
      <c r="U594" s="4"/>
      <c r="V594" s="4"/>
      <c r="X594" s="4"/>
      <c r="Y594" s="4"/>
      <c r="AA594" s="4"/>
      <c r="AB594" s="4"/>
      <c r="AC594" s="4"/>
      <c r="AD594" s="20"/>
    </row>
    <row r="595" spans="14:30" x14ac:dyDescent="0.3">
      <c r="N595" s="8"/>
      <c r="P595" s="34"/>
      <c r="Q595" s="4"/>
      <c r="R595" s="4"/>
      <c r="S595" s="4"/>
      <c r="T595" s="4"/>
      <c r="U595" s="4"/>
      <c r="V595" s="4"/>
      <c r="X595" s="4"/>
      <c r="Y595" s="4"/>
      <c r="AA595" s="4"/>
      <c r="AB595" s="4"/>
      <c r="AC595" s="4"/>
      <c r="AD595" s="20"/>
    </row>
    <row r="596" spans="14:30" x14ac:dyDescent="0.3">
      <c r="N596" s="8"/>
      <c r="P596" s="34"/>
      <c r="Q596" s="4"/>
      <c r="R596" s="4"/>
      <c r="S596" s="4"/>
      <c r="T596" s="4"/>
      <c r="U596" s="4"/>
      <c r="V596" s="4"/>
      <c r="X596" s="4"/>
      <c r="Y596" s="4"/>
      <c r="AA596" s="4"/>
      <c r="AB596" s="4"/>
      <c r="AC596" s="4"/>
      <c r="AD596" s="20"/>
    </row>
    <row r="597" spans="14:30" x14ac:dyDescent="0.3">
      <c r="N597" s="8"/>
      <c r="P597" s="34"/>
      <c r="Q597" s="4"/>
      <c r="R597" s="4"/>
      <c r="S597" s="4"/>
      <c r="T597" s="4"/>
      <c r="U597" s="4"/>
      <c r="V597" s="4"/>
      <c r="X597" s="4"/>
      <c r="Y597" s="4"/>
      <c r="AA597" s="4"/>
      <c r="AB597" s="4"/>
      <c r="AC597" s="4"/>
      <c r="AD597" s="20"/>
    </row>
    <row r="598" spans="14:30" x14ac:dyDescent="0.3">
      <c r="N598" s="8"/>
      <c r="P598" s="34"/>
      <c r="Q598" s="4"/>
      <c r="R598" s="4"/>
      <c r="S598" s="4"/>
      <c r="T598" s="4"/>
      <c r="U598" s="4"/>
      <c r="V598" s="4"/>
      <c r="X598" s="4"/>
      <c r="Y598" s="4"/>
      <c r="AA598" s="4"/>
      <c r="AB598" s="4"/>
      <c r="AC598" s="4"/>
      <c r="AD598" s="20"/>
    </row>
    <row r="599" spans="14:30" x14ac:dyDescent="0.3">
      <c r="N599" s="8"/>
      <c r="P599" s="34"/>
      <c r="Q599" s="4"/>
      <c r="R599" s="4"/>
      <c r="S599" s="4"/>
      <c r="T599" s="4"/>
      <c r="U599" s="4"/>
      <c r="V599" s="4"/>
      <c r="X599" s="4"/>
      <c r="Y599" s="4"/>
      <c r="AA599" s="4"/>
      <c r="AB599" s="4"/>
      <c r="AC599" s="4"/>
      <c r="AD599" s="20"/>
    </row>
    <row r="600" spans="14:30" x14ac:dyDescent="0.3">
      <c r="N600" s="8"/>
      <c r="P600" s="34"/>
      <c r="Q600" s="4"/>
      <c r="R600" s="4"/>
      <c r="S600" s="4"/>
      <c r="T600" s="4"/>
      <c r="U600" s="4"/>
      <c r="V600" s="4"/>
      <c r="X600" s="4"/>
      <c r="Y600" s="4"/>
      <c r="AA600" s="4"/>
      <c r="AB600" s="4"/>
      <c r="AC600" s="4"/>
      <c r="AD600" s="20"/>
    </row>
    <row r="601" spans="14:30" x14ac:dyDescent="0.3">
      <c r="N601" s="8"/>
      <c r="P601" s="34"/>
      <c r="Q601" s="4"/>
      <c r="R601" s="4"/>
      <c r="S601" s="4"/>
      <c r="T601" s="4"/>
      <c r="U601" s="4"/>
      <c r="V601" s="4"/>
      <c r="X601" s="4"/>
      <c r="Y601" s="4"/>
      <c r="AA601" s="4"/>
      <c r="AB601" s="4"/>
      <c r="AC601" s="4"/>
      <c r="AD601" s="20"/>
    </row>
    <row r="602" spans="14:30" x14ac:dyDescent="0.3">
      <c r="N602" s="8"/>
      <c r="P602" s="34"/>
      <c r="Q602" s="4"/>
      <c r="R602" s="4"/>
      <c r="S602" s="4"/>
      <c r="T602" s="4"/>
      <c r="U602" s="4"/>
      <c r="V602" s="4"/>
      <c r="X602" s="4"/>
      <c r="Y602" s="4"/>
      <c r="AA602" s="4"/>
      <c r="AB602" s="4"/>
      <c r="AC602" s="4"/>
      <c r="AD602" s="20"/>
    </row>
    <row r="603" spans="14:30" x14ac:dyDescent="0.3">
      <c r="N603" s="8"/>
      <c r="P603" s="34"/>
      <c r="Q603" s="4"/>
      <c r="R603" s="4"/>
      <c r="S603" s="4"/>
      <c r="T603" s="4"/>
      <c r="U603" s="4"/>
      <c r="V603" s="4"/>
      <c r="X603" s="4"/>
      <c r="Y603" s="4"/>
      <c r="AA603" s="4"/>
      <c r="AB603" s="4"/>
      <c r="AC603" s="4"/>
      <c r="AD603" s="20"/>
    </row>
    <row r="604" spans="14:30" x14ac:dyDescent="0.3">
      <c r="N604" s="8"/>
      <c r="P604" s="34"/>
      <c r="Q604" s="4"/>
      <c r="R604" s="4"/>
      <c r="S604" s="4"/>
      <c r="T604" s="4"/>
      <c r="U604" s="4"/>
      <c r="V604" s="4"/>
      <c r="X604" s="4"/>
      <c r="Y604" s="4"/>
      <c r="AA604" s="4"/>
      <c r="AB604" s="4"/>
      <c r="AC604" s="4"/>
      <c r="AD604" s="20"/>
    </row>
    <row r="605" spans="14:30" x14ac:dyDescent="0.3">
      <c r="N605" s="8"/>
      <c r="P605" s="34"/>
      <c r="Q605" s="4"/>
      <c r="R605" s="4"/>
      <c r="S605" s="4"/>
      <c r="T605" s="4"/>
      <c r="U605" s="4"/>
      <c r="V605" s="4"/>
      <c r="X605" s="4"/>
      <c r="Y605" s="4"/>
      <c r="AA605" s="4"/>
      <c r="AB605" s="4"/>
      <c r="AC605" s="4"/>
      <c r="AD605" s="20"/>
    </row>
    <row r="606" spans="14:30" x14ac:dyDescent="0.3">
      <c r="N606" s="8"/>
      <c r="P606" s="34"/>
      <c r="Q606" s="4"/>
      <c r="R606" s="4"/>
      <c r="S606" s="4"/>
      <c r="T606" s="4"/>
      <c r="U606" s="4"/>
      <c r="V606" s="4"/>
      <c r="X606" s="4"/>
      <c r="Y606" s="4"/>
      <c r="AA606" s="4"/>
      <c r="AB606" s="4"/>
      <c r="AC606" s="4"/>
      <c r="AD606" s="20"/>
    </row>
    <row r="607" spans="14:30" x14ac:dyDescent="0.3">
      <c r="N607" s="8"/>
      <c r="P607" s="34"/>
      <c r="Q607" s="4"/>
      <c r="R607" s="4"/>
      <c r="S607" s="4"/>
      <c r="T607" s="4"/>
      <c r="U607" s="4"/>
      <c r="V607" s="4"/>
      <c r="X607" s="4"/>
      <c r="Y607" s="4"/>
      <c r="AA607" s="4"/>
      <c r="AB607" s="4"/>
      <c r="AC607" s="4"/>
      <c r="AD607" s="20"/>
    </row>
    <row r="608" spans="14:30" x14ac:dyDescent="0.3">
      <c r="N608" s="8"/>
      <c r="P608" s="34"/>
      <c r="Q608" s="4"/>
      <c r="R608" s="4"/>
      <c r="S608" s="4"/>
      <c r="T608" s="4"/>
      <c r="U608" s="4"/>
      <c r="V608" s="4"/>
      <c r="X608" s="4"/>
      <c r="Y608" s="4"/>
      <c r="AA608" s="4"/>
      <c r="AB608" s="4"/>
      <c r="AC608" s="4"/>
      <c r="AD608" s="20"/>
    </row>
    <row r="609" spans="14:30" x14ac:dyDescent="0.3">
      <c r="N609" s="8"/>
      <c r="P609" s="34"/>
      <c r="Q609" s="4"/>
      <c r="R609" s="4"/>
      <c r="S609" s="4"/>
      <c r="T609" s="4"/>
      <c r="U609" s="4"/>
      <c r="V609" s="4"/>
      <c r="X609" s="4"/>
      <c r="Y609" s="4"/>
      <c r="AA609" s="4"/>
      <c r="AB609" s="4"/>
      <c r="AC609" s="4"/>
      <c r="AD609" s="20"/>
    </row>
    <row r="610" spans="14:30" x14ac:dyDescent="0.3">
      <c r="N610" s="8"/>
      <c r="P610" s="34"/>
      <c r="Q610" s="4"/>
      <c r="R610" s="4"/>
      <c r="S610" s="4"/>
      <c r="T610" s="4"/>
      <c r="U610" s="4"/>
      <c r="V610" s="4"/>
      <c r="X610" s="4"/>
      <c r="Y610" s="4"/>
      <c r="AA610" s="4"/>
      <c r="AB610" s="4"/>
      <c r="AC610" s="4"/>
      <c r="AD610" s="20"/>
    </row>
    <row r="611" spans="14:30" x14ac:dyDescent="0.3">
      <c r="N611" s="8"/>
      <c r="P611" s="34"/>
      <c r="Q611" s="4"/>
      <c r="R611" s="4"/>
      <c r="S611" s="4"/>
      <c r="T611" s="4"/>
      <c r="U611" s="4"/>
      <c r="V611" s="4"/>
      <c r="X611" s="4"/>
      <c r="Y611" s="4"/>
      <c r="AA611" s="4"/>
      <c r="AB611" s="4"/>
      <c r="AC611" s="4"/>
      <c r="AD611" s="20"/>
    </row>
    <row r="612" spans="14:30" x14ac:dyDescent="0.3">
      <c r="N612" s="8"/>
      <c r="P612" s="34"/>
      <c r="Q612" s="4"/>
      <c r="R612" s="4"/>
      <c r="S612" s="4"/>
      <c r="T612" s="4"/>
      <c r="U612" s="4"/>
      <c r="V612" s="4"/>
      <c r="X612" s="4"/>
      <c r="Y612" s="4"/>
      <c r="AA612" s="4"/>
      <c r="AB612" s="4"/>
      <c r="AC612" s="4"/>
      <c r="AD612" s="20"/>
    </row>
    <row r="613" spans="14:30" x14ac:dyDescent="0.3">
      <c r="N613" s="8"/>
      <c r="P613" s="34"/>
      <c r="Q613" s="4"/>
      <c r="R613" s="4"/>
      <c r="S613" s="4"/>
      <c r="T613" s="4"/>
      <c r="U613" s="4"/>
      <c r="V613" s="4"/>
      <c r="X613" s="4"/>
      <c r="Y613" s="4"/>
      <c r="AA613" s="4"/>
      <c r="AB613" s="4"/>
      <c r="AC613" s="4"/>
      <c r="AD613" s="20"/>
    </row>
    <row r="614" spans="14:30" x14ac:dyDescent="0.3">
      <c r="N614" s="8"/>
      <c r="P614" s="34"/>
      <c r="Q614" s="4"/>
      <c r="R614" s="4"/>
      <c r="S614" s="4"/>
      <c r="T614" s="4"/>
      <c r="U614" s="4"/>
      <c r="V614" s="4"/>
      <c r="X614" s="4"/>
      <c r="Y614" s="4"/>
      <c r="AA614" s="4"/>
      <c r="AB614" s="4"/>
      <c r="AC614" s="4"/>
      <c r="AD614" s="20"/>
    </row>
    <row r="615" spans="14:30" x14ac:dyDescent="0.3">
      <c r="N615" s="8"/>
      <c r="P615" s="34"/>
      <c r="Q615" s="4"/>
      <c r="R615" s="4"/>
      <c r="S615" s="4"/>
      <c r="T615" s="4"/>
      <c r="U615" s="4"/>
      <c r="V615" s="4"/>
      <c r="X615" s="4"/>
      <c r="Y615" s="4"/>
      <c r="AA615" s="4"/>
      <c r="AB615" s="4"/>
      <c r="AC615" s="4"/>
      <c r="AD615" s="20"/>
    </row>
    <row r="616" spans="14:30" x14ac:dyDescent="0.3">
      <c r="N616" s="8"/>
      <c r="P616" s="34"/>
      <c r="Q616" s="4"/>
      <c r="R616" s="4"/>
      <c r="S616" s="4"/>
      <c r="T616" s="4"/>
      <c r="U616" s="4"/>
      <c r="V616" s="4"/>
      <c r="X616" s="4"/>
      <c r="Y616" s="4"/>
      <c r="AA616" s="4"/>
      <c r="AB616" s="4"/>
      <c r="AC616" s="4"/>
      <c r="AD616" s="20"/>
    </row>
    <row r="617" spans="14:30" x14ac:dyDescent="0.3">
      <c r="N617" s="8"/>
      <c r="P617" s="34"/>
      <c r="Q617" s="4"/>
      <c r="R617" s="4"/>
      <c r="S617" s="4"/>
      <c r="T617" s="4"/>
      <c r="U617" s="4"/>
      <c r="V617" s="4"/>
      <c r="X617" s="4"/>
      <c r="Y617" s="4"/>
      <c r="AA617" s="4"/>
      <c r="AB617" s="4"/>
      <c r="AC617" s="4"/>
      <c r="AD617" s="20"/>
    </row>
    <row r="618" spans="14:30" x14ac:dyDescent="0.3">
      <c r="N618" s="8"/>
      <c r="P618" s="34"/>
      <c r="Q618" s="4"/>
      <c r="R618" s="4"/>
      <c r="S618" s="4"/>
      <c r="T618" s="4"/>
      <c r="U618" s="4"/>
      <c r="V618" s="4"/>
      <c r="X618" s="4"/>
      <c r="Y618" s="4"/>
      <c r="AA618" s="4"/>
      <c r="AB618" s="4"/>
      <c r="AC618" s="4"/>
      <c r="AD618" s="20"/>
    </row>
    <row r="619" spans="14:30" x14ac:dyDescent="0.3">
      <c r="N619" s="8"/>
      <c r="P619" s="34"/>
      <c r="Q619" s="4"/>
      <c r="R619" s="4"/>
      <c r="S619" s="4"/>
      <c r="T619" s="4"/>
      <c r="U619" s="4"/>
      <c r="V619" s="4"/>
      <c r="X619" s="4"/>
      <c r="Y619" s="4"/>
      <c r="AA619" s="4"/>
      <c r="AB619" s="4"/>
      <c r="AC619" s="4"/>
      <c r="AD619" s="20"/>
    </row>
    <row r="620" spans="14:30" x14ac:dyDescent="0.3">
      <c r="N620" s="8"/>
      <c r="P620" s="34"/>
      <c r="Q620" s="4"/>
      <c r="R620" s="4"/>
      <c r="S620" s="4"/>
      <c r="T620" s="4"/>
      <c r="U620" s="4"/>
      <c r="V620" s="4"/>
      <c r="X620" s="4"/>
      <c r="Y620" s="4"/>
      <c r="AA620" s="4"/>
      <c r="AB620" s="4"/>
      <c r="AC620" s="4"/>
      <c r="AD620" s="20"/>
    </row>
    <row r="621" spans="14:30" x14ac:dyDescent="0.3">
      <c r="N621" s="8"/>
      <c r="P621" s="34"/>
      <c r="Q621" s="4"/>
      <c r="R621" s="4"/>
      <c r="S621" s="4"/>
      <c r="T621" s="4"/>
      <c r="U621" s="4"/>
      <c r="V621" s="4"/>
      <c r="X621" s="4"/>
      <c r="Y621" s="4"/>
      <c r="AA621" s="4"/>
      <c r="AB621" s="4"/>
      <c r="AC621" s="4"/>
      <c r="AD621" s="20"/>
    </row>
    <row r="622" spans="14:30" x14ac:dyDescent="0.3">
      <c r="N622" s="8"/>
      <c r="P622" s="34"/>
      <c r="Q622" s="4"/>
      <c r="R622" s="4"/>
      <c r="S622" s="4"/>
      <c r="T622" s="4"/>
      <c r="U622" s="4"/>
      <c r="V622" s="4"/>
      <c r="X622" s="4"/>
      <c r="Y622" s="4"/>
      <c r="AA622" s="4"/>
      <c r="AB622" s="4"/>
      <c r="AC622" s="4"/>
      <c r="AD622" s="20"/>
    </row>
    <row r="623" spans="14:30" x14ac:dyDescent="0.3">
      <c r="N623" s="8"/>
      <c r="P623" s="34"/>
      <c r="Q623" s="4"/>
      <c r="R623" s="4"/>
      <c r="S623" s="4"/>
      <c r="T623" s="4"/>
      <c r="U623" s="4"/>
      <c r="V623" s="4"/>
      <c r="X623" s="4"/>
      <c r="Y623" s="4"/>
      <c r="AA623" s="4"/>
      <c r="AB623" s="4"/>
      <c r="AC623" s="4"/>
      <c r="AD623" s="20"/>
    </row>
    <row r="624" spans="14:30" x14ac:dyDescent="0.3">
      <c r="N624" s="8"/>
      <c r="P624" s="34"/>
      <c r="Q624" s="4"/>
      <c r="R624" s="4"/>
      <c r="S624" s="4"/>
      <c r="T624" s="4"/>
      <c r="U624" s="4"/>
      <c r="V624" s="4"/>
      <c r="X624" s="4"/>
      <c r="Y624" s="4"/>
      <c r="AA624" s="4"/>
      <c r="AB624" s="4"/>
      <c r="AC624" s="4"/>
      <c r="AD624" s="20"/>
    </row>
    <row r="625" spans="14:30" x14ac:dyDescent="0.3">
      <c r="N625" s="8"/>
      <c r="P625" s="34"/>
      <c r="Q625" s="4"/>
      <c r="R625" s="4"/>
      <c r="S625" s="4"/>
      <c r="T625" s="4"/>
      <c r="U625" s="4"/>
      <c r="V625" s="4"/>
      <c r="X625" s="4"/>
      <c r="Y625" s="4"/>
      <c r="AA625" s="4"/>
      <c r="AB625" s="4"/>
      <c r="AC625" s="4"/>
      <c r="AD625" s="20"/>
    </row>
    <row r="626" spans="14:30" x14ac:dyDescent="0.3">
      <c r="N626" s="8"/>
      <c r="P626" s="34"/>
      <c r="Q626" s="4"/>
      <c r="R626" s="4"/>
      <c r="S626" s="4"/>
      <c r="T626" s="4"/>
      <c r="U626" s="4"/>
      <c r="V626" s="4"/>
      <c r="X626" s="4"/>
      <c r="Y626" s="4"/>
      <c r="AA626" s="4"/>
      <c r="AB626" s="4"/>
      <c r="AC626" s="4"/>
      <c r="AD626" s="20"/>
    </row>
    <row r="627" spans="14:30" x14ac:dyDescent="0.3">
      <c r="N627" s="8"/>
      <c r="P627" s="34"/>
      <c r="Q627" s="4"/>
      <c r="R627" s="4"/>
      <c r="S627" s="4"/>
      <c r="T627" s="4"/>
      <c r="U627" s="4"/>
      <c r="V627" s="4"/>
      <c r="X627" s="4"/>
      <c r="Y627" s="4"/>
      <c r="AA627" s="4"/>
      <c r="AB627" s="4"/>
      <c r="AC627" s="4"/>
      <c r="AD627" s="20"/>
    </row>
    <row r="628" spans="14:30" x14ac:dyDescent="0.3">
      <c r="N628" s="8"/>
      <c r="P628" s="34"/>
      <c r="Q628" s="4"/>
      <c r="R628" s="4"/>
      <c r="S628" s="4"/>
      <c r="T628" s="4"/>
      <c r="U628" s="4"/>
      <c r="V628" s="4"/>
      <c r="X628" s="4"/>
      <c r="Y628" s="4"/>
      <c r="AA628" s="4"/>
      <c r="AB628" s="4"/>
      <c r="AC628" s="4"/>
      <c r="AD628" s="20"/>
    </row>
    <row r="629" spans="14:30" x14ac:dyDescent="0.3">
      <c r="N629" s="8"/>
      <c r="P629" s="34"/>
      <c r="Q629" s="4"/>
      <c r="R629" s="4"/>
      <c r="S629" s="4"/>
      <c r="T629" s="4"/>
      <c r="U629" s="4"/>
      <c r="V629" s="4"/>
      <c r="X629" s="4"/>
      <c r="Y629" s="4"/>
      <c r="AA629" s="4"/>
      <c r="AB629" s="4"/>
      <c r="AC629" s="4"/>
      <c r="AD629" s="20"/>
    </row>
    <row r="630" spans="14:30" x14ac:dyDescent="0.3">
      <c r="N630" s="8"/>
      <c r="P630" s="34"/>
      <c r="Q630" s="4"/>
      <c r="R630" s="4"/>
      <c r="S630" s="4"/>
      <c r="T630" s="4"/>
      <c r="U630" s="4"/>
      <c r="V630" s="4"/>
      <c r="X630" s="4"/>
      <c r="Y630" s="4"/>
      <c r="AA630" s="4"/>
      <c r="AB630" s="4"/>
      <c r="AC630" s="4"/>
      <c r="AD630" s="20"/>
    </row>
    <row r="631" spans="14:30" x14ac:dyDescent="0.3">
      <c r="N631" s="8"/>
      <c r="P631" s="34"/>
      <c r="Q631" s="4"/>
      <c r="R631" s="4"/>
      <c r="S631" s="4"/>
      <c r="T631" s="4"/>
      <c r="U631" s="4"/>
      <c r="V631" s="4"/>
      <c r="X631" s="4"/>
      <c r="Y631" s="4"/>
      <c r="AA631" s="4"/>
      <c r="AB631" s="4"/>
      <c r="AC631" s="4"/>
      <c r="AD631" s="20"/>
    </row>
    <row r="632" spans="14:30" x14ac:dyDescent="0.3">
      <c r="N632" s="8"/>
      <c r="P632" s="34"/>
      <c r="Q632" s="4"/>
      <c r="R632" s="4"/>
      <c r="S632" s="4"/>
      <c r="T632" s="4"/>
      <c r="U632" s="4"/>
      <c r="V632" s="4"/>
      <c r="X632" s="4"/>
      <c r="Y632" s="4"/>
      <c r="AA632" s="4"/>
      <c r="AB632" s="4"/>
      <c r="AC632" s="4"/>
      <c r="AD632" s="20"/>
    </row>
    <row r="633" spans="14:30" x14ac:dyDescent="0.3">
      <c r="N633" s="8"/>
      <c r="P633" s="34"/>
      <c r="Q633" s="4"/>
      <c r="R633" s="4"/>
      <c r="S633" s="4"/>
      <c r="T633" s="4"/>
      <c r="U633" s="4"/>
      <c r="V633" s="4"/>
      <c r="X633" s="4"/>
      <c r="Y633" s="4"/>
      <c r="AA633" s="4"/>
      <c r="AB633" s="4"/>
      <c r="AC633" s="4"/>
      <c r="AD633" s="20"/>
    </row>
    <row r="634" spans="14:30" x14ac:dyDescent="0.3">
      <c r="N634" s="8"/>
      <c r="P634" s="34"/>
      <c r="Q634" s="4"/>
      <c r="R634" s="4"/>
      <c r="S634" s="4"/>
      <c r="T634" s="4"/>
      <c r="U634" s="4"/>
      <c r="V634" s="4"/>
      <c r="X634" s="4"/>
      <c r="Y634" s="4"/>
      <c r="AA634" s="4"/>
      <c r="AB634" s="4"/>
      <c r="AC634" s="4"/>
      <c r="AD634" s="20"/>
    </row>
    <row r="635" spans="14:30" x14ac:dyDescent="0.3">
      <c r="N635" s="8"/>
      <c r="P635" s="34"/>
      <c r="Q635" s="4"/>
      <c r="R635" s="4"/>
      <c r="S635" s="4"/>
      <c r="T635" s="4"/>
      <c r="U635" s="4"/>
      <c r="V635" s="4"/>
      <c r="X635" s="4"/>
      <c r="Y635" s="4"/>
      <c r="AA635" s="4"/>
      <c r="AB635" s="4"/>
      <c r="AC635" s="4"/>
      <c r="AD635" s="20"/>
    </row>
    <row r="636" spans="14:30" x14ac:dyDescent="0.3">
      <c r="N636" s="8"/>
      <c r="P636" s="34"/>
      <c r="Q636" s="4"/>
      <c r="R636" s="4"/>
      <c r="S636" s="4"/>
      <c r="T636" s="4"/>
      <c r="U636" s="4"/>
      <c r="V636" s="4"/>
      <c r="X636" s="4"/>
      <c r="Y636" s="4"/>
      <c r="AA636" s="4"/>
      <c r="AB636" s="4"/>
      <c r="AC636" s="4"/>
      <c r="AD636" s="20"/>
    </row>
    <row r="637" spans="14:30" x14ac:dyDescent="0.3">
      <c r="N637" s="8"/>
      <c r="P637" s="34"/>
      <c r="Q637" s="4"/>
      <c r="R637" s="4"/>
      <c r="S637" s="4"/>
      <c r="T637" s="4"/>
      <c r="U637" s="4"/>
      <c r="V637" s="4"/>
      <c r="X637" s="4"/>
      <c r="Y637" s="4"/>
      <c r="AA637" s="4"/>
      <c r="AB637" s="4"/>
      <c r="AC637" s="4"/>
      <c r="AD637" s="20"/>
    </row>
    <row r="638" spans="14:30" x14ac:dyDescent="0.3">
      <c r="N638" s="8"/>
      <c r="P638" s="34"/>
      <c r="Q638" s="4"/>
      <c r="R638" s="4"/>
      <c r="S638" s="4"/>
      <c r="T638" s="4"/>
      <c r="U638" s="4"/>
      <c r="V638" s="4"/>
      <c r="X638" s="4"/>
      <c r="Y638" s="4"/>
      <c r="AA638" s="4"/>
      <c r="AB638" s="4"/>
      <c r="AC638" s="4"/>
      <c r="AD638" s="20"/>
    </row>
    <row r="639" spans="14:30" x14ac:dyDescent="0.3">
      <c r="N639" s="8"/>
      <c r="P639" s="34"/>
      <c r="Q639" s="4"/>
      <c r="R639" s="4"/>
      <c r="S639" s="4"/>
      <c r="T639" s="4"/>
      <c r="U639" s="4"/>
      <c r="V639" s="4"/>
      <c r="X639" s="4"/>
      <c r="Y639" s="4"/>
      <c r="AA639" s="4"/>
      <c r="AB639" s="4"/>
      <c r="AC639" s="4"/>
      <c r="AD639" s="20"/>
    </row>
    <row r="640" spans="14:30" x14ac:dyDescent="0.3">
      <c r="N640" s="8"/>
      <c r="P640" s="34"/>
      <c r="Q640" s="4"/>
      <c r="R640" s="4"/>
      <c r="S640" s="4"/>
      <c r="T640" s="4"/>
      <c r="U640" s="4"/>
      <c r="V640" s="4"/>
      <c r="X640" s="4"/>
      <c r="Y640" s="4"/>
      <c r="AA640" s="4"/>
      <c r="AB640" s="4"/>
      <c r="AC640" s="4"/>
      <c r="AD640" s="20"/>
    </row>
    <row r="641" spans="14:30" x14ac:dyDescent="0.3">
      <c r="N641" s="8"/>
      <c r="P641" s="34"/>
      <c r="Q641" s="4"/>
      <c r="R641" s="4"/>
      <c r="S641" s="4"/>
      <c r="T641" s="4"/>
      <c r="U641" s="4"/>
      <c r="V641" s="4"/>
      <c r="X641" s="4"/>
      <c r="Y641" s="4"/>
      <c r="AA641" s="4"/>
      <c r="AB641" s="4"/>
      <c r="AC641" s="4"/>
      <c r="AD641" s="20"/>
    </row>
    <row r="642" spans="14:30" x14ac:dyDescent="0.3">
      <c r="N642" s="8"/>
      <c r="P642" s="34"/>
      <c r="Q642" s="4"/>
      <c r="R642" s="4"/>
      <c r="S642" s="4"/>
      <c r="T642" s="4"/>
      <c r="U642" s="4"/>
      <c r="V642" s="4"/>
      <c r="X642" s="4"/>
      <c r="Y642" s="4"/>
      <c r="AA642" s="4"/>
      <c r="AB642" s="4"/>
      <c r="AC642" s="4"/>
      <c r="AD642" s="20"/>
    </row>
    <row r="643" spans="14:30" x14ac:dyDescent="0.3">
      <c r="N643" s="8"/>
      <c r="P643" s="34"/>
      <c r="Q643" s="4"/>
      <c r="R643" s="4"/>
      <c r="S643" s="4"/>
      <c r="T643" s="4"/>
      <c r="U643" s="4"/>
      <c r="V643" s="4"/>
      <c r="X643" s="4"/>
      <c r="Y643" s="4"/>
      <c r="AA643" s="4"/>
      <c r="AB643" s="4"/>
      <c r="AC643" s="4"/>
      <c r="AD643" s="20"/>
    </row>
    <row r="644" spans="14:30" x14ac:dyDescent="0.3">
      <c r="N644" s="8"/>
      <c r="P644" s="34"/>
      <c r="Q644" s="4"/>
      <c r="R644" s="4"/>
      <c r="S644" s="4"/>
      <c r="T644" s="4"/>
      <c r="U644" s="4"/>
      <c r="V644" s="4"/>
      <c r="X644" s="4"/>
      <c r="Y644" s="4"/>
      <c r="AA644" s="4"/>
      <c r="AB644" s="4"/>
      <c r="AC644" s="4"/>
      <c r="AD644" s="20"/>
    </row>
    <row r="645" spans="14:30" x14ac:dyDescent="0.3">
      <c r="N645" s="8"/>
      <c r="P645" s="34"/>
      <c r="Q645" s="4"/>
      <c r="R645" s="4"/>
      <c r="S645" s="4"/>
      <c r="T645" s="4"/>
      <c r="U645" s="4"/>
      <c r="V645" s="4"/>
      <c r="X645" s="4"/>
      <c r="Y645" s="4"/>
      <c r="AA645" s="4"/>
      <c r="AB645" s="4"/>
      <c r="AC645" s="4"/>
      <c r="AD645" s="20"/>
    </row>
    <row r="646" spans="14:30" x14ac:dyDescent="0.3">
      <c r="N646" s="8"/>
      <c r="P646" s="34"/>
      <c r="Q646" s="4"/>
      <c r="R646" s="4"/>
      <c r="S646" s="4"/>
      <c r="T646" s="4"/>
      <c r="U646" s="4"/>
      <c r="V646" s="4"/>
      <c r="X646" s="4"/>
      <c r="Y646" s="4"/>
      <c r="AA646" s="4"/>
      <c r="AB646" s="4"/>
      <c r="AC646" s="4"/>
      <c r="AD646" s="20"/>
    </row>
    <row r="647" spans="14:30" x14ac:dyDescent="0.3">
      <c r="N647" s="8"/>
      <c r="P647" s="34"/>
      <c r="Q647" s="4"/>
      <c r="R647" s="4"/>
      <c r="S647" s="4"/>
      <c r="T647" s="4"/>
      <c r="U647" s="4"/>
      <c r="V647" s="4"/>
      <c r="X647" s="4"/>
      <c r="Y647" s="4"/>
      <c r="AA647" s="4"/>
      <c r="AB647" s="4"/>
      <c r="AC647" s="4"/>
      <c r="AD647" s="20"/>
    </row>
    <row r="648" spans="14:30" x14ac:dyDescent="0.3">
      <c r="N648" s="8"/>
      <c r="P648" s="34"/>
      <c r="Q648" s="4"/>
      <c r="R648" s="4"/>
      <c r="S648" s="4"/>
      <c r="T648" s="4"/>
      <c r="U648" s="4"/>
      <c r="V648" s="4"/>
      <c r="X648" s="4"/>
      <c r="Y648" s="4"/>
      <c r="AA648" s="4"/>
      <c r="AB648" s="4"/>
      <c r="AC648" s="4"/>
      <c r="AD648" s="20"/>
    </row>
    <row r="649" spans="14:30" x14ac:dyDescent="0.3">
      <c r="N649" s="8"/>
      <c r="P649" s="34"/>
      <c r="Q649" s="4"/>
      <c r="R649" s="4"/>
      <c r="S649" s="4"/>
      <c r="T649" s="4"/>
      <c r="U649" s="4"/>
      <c r="V649" s="4"/>
      <c r="X649" s="4"/>
      <c r="Y649" s="4"/>
      <c r="AA649" s="4"/>
      <c r="AB649" s="4"/>
      <c r="AC649" s="4"/>
      <c r="AD649" s="20"/>
    </row>
    <row r="650" spans="14:30" x14ac:dyDescent="0.3">
      <c r="N650" s="8"/>
      <c r="P650" s="34"/>
      <c r="Q650" s="4"/>
      <c r="R650" s="4"/>
      <c r="S650" s="4"/>
      <c r="T650" s="4"/>
      <c r="U650" s="4"/>
      <c r="V650" s="4"/>
      <c r="X650" s="4"/>
      <c r="Y650" s="4"/>
      <c r="AA650" s="4"/>
      <c r="AB650" s="4"/>
      <c r="AC650" s="4"/>
      <c r="AD650" s="20"/>
    </row>
    <row r="651" spans="14:30" x14ac:dyDescent="0.3">
      <c r="N651" s="8"/>
      <c r="P651" s="34"/>
      <c r="Q651" s="4"/>
      <c r="R651" s="4"/>
      <c r="S651" s="4"/>
      <c r="T651" s="4"/>
      <c r="U651" s="4"/>
      <c r="V651" s="4"/>
      <c r="X651" s="4"/>
      <c r="Y651" s="4"/>
      <c r="AA651" s="4"/>
      <c r="AB651" s="4"/>
      <c r="AC651" s="4"/>
      <c r="AD651" s="20"/>
    </row>
    <row r="652" spans="14:30" x14ac:dyDescent="0.3">
      <c r="N652" s="8"/>
      <c r="P652" s="34"/>
      <c r="Q652" s="4"/>
      <c r="R652" s="4"/>
      <c r="S652" s="4"/>
      <c r="T652" s="4"/>
      <c r="U652" s="4"/>
      <c r="V652" s="4"/>
      <c r="X652" s="4"/>
      <c r="Y652" s="4"/>
      <c r="AA652" s="4"/>
      <c r="AB652" s="4"/>
      <c r="AC652" s="4"/>
      <c r="AD652" s="20"/>
    </row>
    <row r="653" spans="14:30" x14ac:dyDescent="0.3">
      <c r="N653" s="8"/>
      <c r="P653" s="34"/>
      <c r="Q653" s="4"/>
      <c r="R653" s="4"/>
      <c r="S653" s="4"/>
      <c r="T653" s="4"/>
      <c r="U653" s="4"/>
      <c r="V653" s="4"/>
      <c r="X653" s="4"/>
      <c r="Y653" s="4"/>
      <c r="AA653" s="4"/>
      <c r="AB653" s="4"/>
      <c r="AC653" s="4"/>
      <c r="AD653" s="20"/>
    </row>
    <row r="654" spans="14:30" x14ac:dyDescent="0.3">
      <c r="N654" s="8"/>
      <c r="P654" s="34"/>
      <c r="Q654" s="4"/>
      <c r="R654" s="4"/>
      <c r="S654" s="4"/>
      <c r="T654" s="4"/>
      <c r="U654" s="4"/>
      <c r="V654" s="4"/>
      <c r="X654" s="4"/>
      <c r="Y654" s="4"/>
      <c r="AA654" s="4"/>
      <c r="AB654" s="4"/>
      <c r="AC654" s="4"/>
      <c r="AD654" s="20"/>
    </row>
    <row r="655" spans="14:30" x14ac:dyDescent="0.3">
      <c r="N655" s="8"/>
      <c r="P655" s="34"/>
      <c r="Q655" s="4"/>
      <c r="R655" s="4"/>
      <c r="S655" s="4"/>
      <c r="T655" s="4"/>
      <c r="U655" s="4"/>
      <c r="V655" s="4"/>
      <c r="X655" s="4"/>
      <c r="Y655" s="4"/>
      <c r="AA655" s="4"/>
      <c r="AB655" s="4"/>
      <c r="AC655" s="4"/>
      <c r="AD655" s="20"/>
    </row>
    <row r="656" spans="14:30" x14ac:dyDescent="0.3">
      <c r="N656" s="8"/>
      <c r="P656" s="34"/>
      <c r="Q656" s="4"/>
      <c r="R656" s="4"/>
      <c r="S656" s="4"/>
      <c r="T656" s="4"/>
      <c r="U656" s="4"/>
      <c r="V656" s="4"/>
      <c r="X656" s="4"/>
      <c r="Y656" s="4"/>
      <c r="AA656" s="4"/>
      <c r="AB656" s="4"/>
      <c r="AC656" s="4"/>
      <c r="AD656" s="20"/>
    </row>
    <row r="657" spans="14:30" x14ac:dyDescent="0.3">
      <c r="N657" s="8"/>
      <c r="P657" s="34"/>
      <c r="Q657" s="4"/>
      <c r="R657" s="4"/>
      <c r="S657" s="4"/>
      <c r="T657" s="4"/>
      <c r="U657" s="4"/>
      <c r="V657" s="4"/>
      <c r="X657" s="4"/>
      <c r="Y657" s="4"/>
      <c r="AA657" s="4"/>
      <c r="AB657" s="4"/>
      <c r="AC657" s="4"/>
      <c r="AD657" s="20"/>
    </row>
    <row r="658" spans="14:30" x14ac:dyDescent="0.3">
      <c r="N658" s="8"/>
      <c r="P658" s="34"/>
      <c r="Q658" s="4"/>
      <c r="R658" s="4"/>
      <c r="S658" s="4"/>
      <c r="T658" s="4"/>
      <c r="U658" s="4"/>
      <c r="V658" s="4"/>
      <c r="X658" s="4"/>
      <c r="Y658" s="4"/>
      <c r="AA658" s="4"/>
      <c r="AB658" s="4"/>
      <c r="AC658" s="4"/>
      <c r="AD658" s="20"/>
    </row>
    <row r="659" spans="14:30" x14ac:dyDescent="0.3">
      <c r="N659" s="8"/>
      <c r="P659" s="34"/>
      <c r="Q659" s="4"/>
      <c r="R659" s="4"/>
      <c r="S659" s="4"/>
      <c r="T659" s="4"/>
      <c r="U659" s="4"/>
      <c r="V659" s="4"/>
      <c r="X659" s="4"/>
      <c r="Y659" s="4"/>
      <c r="AA659" s="4"/>
      <c r="AB659" s="4"/>
      <c r="AC659" s="4"/>
      <c r="AD659" s="20"/>
    </row>
    <row r="660" spans="14:30" x14ac:dyDescent="0.3">
      <c r="N660" s="8"/>
      <c r="P660" s="34"/>
      <c r="Q660" s="4"/>
      <c r="R660" s="4"/>
      <c r="S660" s="4"/>
      <c r="T660" s="4"/>
      <c r="U660" s="4"/>
      <c r="V660" s="4"/>
      <c r="X660" s="4"/>
      <c r="Y660" s="4"/>
      <c r="AA660" s="4"/>
      <c r="AB660" s="4"/>
      <c r="AC660" s="4"/>
      <c r="AD660" s="20"/>
    </row>
    <row r="661" spans="14:30" x14ac:dyDescent="0.3">
      <c r="N661" s="8"/>
      <c r="P661" s="34"/>
      <c r="Q661" s="4"/>
      <c r="R661" s="4"/>
      <c r="S661" s="4"/>
      <c r="T661" s="4"/>
      <c r="U661" s="4"/>
      <c r="V661" s="4"/>
      <c r="X661" s="4"/>
      <c r="Y661" s="4"/>
      <c r="AA661" s="4"/>
      <c r="AB661" s="4"/>
      <c r="AC661" s="4"/>
      <c r="AD661" s="20"/>
    </row>
    <row r="662" spans="14:30" x14ac:dyDescent="0.3">
      <c r="N662" s="8"/>
      <c r="P662" s="34"/>
      <c r="Q662" s="4"/>
      <c r="R662" s="4"/>
      <c r="S662" s="4"/>
      <c r="T662" s="4"/>
      <c r="U662" s="4"/>
      <c r="V662" s="4"/>
      <c r="X662" s="4"/>
      <c r="Y662" s="4"/>
      <c r="AA662" s="4"/>
      <c r="AB662" s="4"/>
      <c r="AC662" s="4"/>
      <c r="AD662" s="20"/>
    </row>
    <row r="663" spans="14:30" x14ac:dyDescent="0.3">
      <c r="N663" s="8"/>
      <c r="P663" s="34"/>
      <c r="Q663" s="4"/>
      <c r="R663" s="4"/>
      <c r="S663" s="4"/>
      <c r="T663" s="4"/>
      <c r="U663" s="4"/>
      <c r="V663" s="4"/>
      <c r="X663" s="4"/>
      <c r="Y663" s="4"/>
      <c r="AA663" s="4"/>
      <c r="AB663" s="4"/>
      <c r="AC663" s="4"/>
      <c r="AD663" s="20"/>
    </row>
    <row r="664" spans="14:30" x14ac:dyDescent="0.3">
      <c r="N664" s="8"/>
      <c r="P664" s="34"/>
      <c r="Q664" s="4"/>
      <c r="R664" s="4"/>
      <c r="S664" s="4"/>
      <c r="T664" s="4"/>
      <c r="U664" s="4"/>
      <c r="V664" s="4"/>
      <c r="X664" s="4"/>
      <c r="Y664" s="4"/>
      <c r="AA664" s="4"/>
      <c r="AB664" s="4"/>
      <c r="AC664" s="4"/>
      <c r="AD664" s="20"/>
    </row>
    <row r="665" spans="14:30" x14ac:dyDescent="0.3">
      <c r="N665" s="8"/>
      <c r="P665" s="34"/>
      <c r="Q665" s="4"/>
      <c r="R665" s="4"/>
      <c r="S665" s="4"/>
      <c r="T665" s="4"/>
      <c r="U665" s="4"/>
      <c r="V665" s="4"/>
      <c r="X665" s="4"/>
      <c r="Y665" s="4"/>
      <c r="AA665" s="4"/>
      <c r="AB665" s="4"/>
      <c r="AC665" s="4"/>
      <c r="AD665" s="20"/>
    </row>
    <row r="666" spans="14:30" x14ac:dyDescent="0.3">
      <c r="N666" s="8"/>
      <c r="P666" s="34"/>
      <c r="Q666" s="4"/>
      <c r="R666" s="4"/>
      <c r="S666" s="4"/>
      <c r="T666" s="4"/>
      <c r="U666" s="4"/>
      <c r="V666" s="4"/>
      <c r="X666" s="4"/>
      <c r="Y666" s="4"/>
      <c r="AA666" s="4"/>
      <c r="AB666" s="4"/>
      <c r="AC666" s="4"/>
      <c r="AD666" s="20"/>
    </row>
    <row r="667" spans="14:30" x14ac:dyDescent="0.3">
      <c r="N667" s="8"/>
      <c r="P667" s="34"/>
      <c r="Q667" s="4"/>
      <c r="R667" s="4"/>
      <c r="S667" s="4"/>
      <c r="T667" s="4"/>
      <c r="U667" s="4"/>
      <c r="V667" s="4"/>
      <c r="X667" s="4"/>
      <c r="Y667" s="4"/>
      <c r="AA667" s="4"/>
      <c r="AB667" s="4"/>
      <c r="AC667" s="4"/>
      <c r="AD667" s="20"/>
    </row>
    <row r="668" spans="14:30" x14ac:dyDescent="0.3">
      <c r="N668" s="8"/>
      <c r="P668" s="34"/>
      <c r="Q668" s="4"/>
      <c r="R668" s="4"/>
      <c r="S668" s="4"/>
      <c r="T668" s="4"/>
      <c r="U668" s="4"/>
      <c r="V668" s="4"/>
      <c r="X668" s="4"/>
      <c r="Y668" s="4"/>
      <c r="AA668" s="4"/>
      <c r="AB668" s="4"/>
      <c r="AC668" s="4"/>
      <c r="AD668" s="20"/>
    </row>
    <row r="669" spans="14:30" x14ac:dyDescent="0.3">
      <c r="N669" s="8"/>
      <c r="P669" s="34"/>
      <c r="Q669" s="4"/>
      <c r="R669" s="4"/>
      <c r="S669" s="4"/>
      <c r="T669" s="4"/>
      <c r="U669" s="4"/>
      <c r="V669" s="4"/>
      <c r="X669" s="4"/>
      <c r="Y669" s="4"/>
      <c r="AA669" s="4"/>
      <c r="AB669" s="4"/>
      <c r="AC669" s="4"/>
      <c r="AD669" s="20"/>
    </row>
    <row r="670" spans="14:30" x14ac:dyDescent="0.3">
      <c r="N670" s="8"/>
      <c r="P670" s="34"/>
      <c r="Q670" s="4"/>
      <c r="R670" s="4"/>
      <c r="S670" s="4"/>
      <c r="T670" s="4"/>
      <c r="U670" s="4"/>
      <c r="V670" s="4"/>
      <c r="X670" s="4"/>
      <c r="Y670" s="4"/>
      <c r="AA670" s="4"/>
      <c r="AB670" s="4"/>
      <c r="AC670" s="4"/>
      <c r="AD670" s="20"/>
    </row>
    <row r="671" spans="14:30" x14ac:dyDescent="0.3">
      <c r="N671" s="8"/>
      <c r="P671" s="34"/>
      <c r="Q671" s="4"/>
      <c r="R671" s="4"/>
      <c r="S671" s="4"/>
      <c r="T671" s="4"/>
      <c r="U671" s="4"/>
      <c r="V671" s="4"/>
      <c r="X671" s="4"/>
      <c r="Y671" s="4"/>
      <c r="AA671" s="4"/>
      <c r="AB671" s="4"/>
      <c r="AC671" s="4"/>
      <c r="AD671" s="20"/>
    </row>
    <row r="672" spans="14:30" x14ac:dyDescent="0.3">
      <c r="N672" s="8"/>
      <c r="P672" s="34"/>
      <c r="Q672" s="4"/>
      <c r="R672" s="4"/>
      <c r="S672" s="4"/>
      <c r="T672" s="4"/>
      <c r="U672" s="4"/>
      <c r="V672" s="4"/>
      <c r="X672" s="4"/>
      <c r="Y672" s="4"/>
      <c r="AA672" s="4"/>
      <c r="AB672" s="4"/>
      <c r="AC672" s="4"/>
      <c r="AD672" s="20"/>
    </row>
    <row r="673" spans="14:30" x14ac:dyDescent="0.3">
      <c r="N673" s="8"/>
      <c r="P673" s="34"/>
      <c r="Q673" s="4"/>
      <c r="R673" s="4"/>
      <c r="S673" s="4"/>
      <c r="T673" s="4"/>
      <c r="U673" s="4"/>
      <c r="V673" s="4"/>
      <c r="X673" s="4"/>
      <c r="Y673" s="4"/>
      <c r="AA673" s="4"/>
      <c r="AB673" s="4"/>
      <c r="AC673" s="4"/>
      <c r="AD673" s="20"/>
    </row>
    <row r="674" spans="14:30" x14ac:dyDescent="0.3">
      <c r="N674" s="8"/>
      <c r="P674" s="34"/>
      <c r="Q674" s="4"/>
      <c r="R674" s="4"/>
      <c r="S674" s="4"/>
      <c r="T674" s="4"/>
      <c r="U674" s="4"/>
      <c r="V674" s="4"/>
      <c r="X674" s="4"/>
      <c r="Y674" s="4"/>
      <c r="AA674" s="4"/>
      <c r="AB674" s="4"/>
      <c r="AC674" s="4"/>
      <c r="AD674" s="20"/>
    </row>
    <row r="675" spans="14:30" x14ac:dyDescent="0.3">
      <c r="N675" s="8"/>
      <c r="P675" s="34"/>
      <c r="Q675" s="4"/>
      <c r="R675" s="4"/>
      <c r="S675" s="4"/>
      <c r="T675" s="4"/>
      <c r="U675" s="4"/>
      <c r="V675" s="4"/>
      <c r="X675" s="4"/>
      <c r="Y675" s="4"/>
      <c r="AA675" s="4"/>
      <c r="AB675" s="4"/>
      <c r="AC675" s="4"/>
      <c r="AD675" s="20"/>
    </row>
    <row r="676" spans="14:30" x14ac:dyDescent="0.3">
      <c r="N676" s="8"/>
      <c r="P676" s="34"/>
      <c r="Q676" s="4"/>
      <c r="R676" s="4"/>
      <c r="S676" s="4"/>
      <c r="T676" s="4"/>
      <c r="U676" s="4"/>
      <c r="V676" s="4"/>
      <c r="X676" s="4"/>
      <c r="Y676" s="4"/>
      <c r="AA676" s="4"/>
      <c r="AB676" s="4"/>
      <c r="AC676" s="4"/>
      <c r="AD676" s="20"/>
    </row>
    <row r="677" spans="14:30" x14ac:dyDescent="0.3">
      <c r="N677" s="8"/>
      <c r="P677" s="34"/>
      <c r="Q677" s="4"/>
      <c r="R677" s="4"/>
      <c r="S677" s="4"/>
      <c r="T677" s="4"/>
      <c r="U677" s="4"/>
      <c r="V677" s="4"/>
      <c r="X677" s="4"/>
      <c r="Y677" s="4"/>
      <c r="AA677" s="4"/>
      <c r="AB677" s="4"/>
      <c r="AC677" s="4"/>
      <c r="AD677" s="20"/>
    </row>
    <row r="678" spans="14:30" x14ac:dyDescent="0.3">
      <c r="N678" s="8"/>
      <c r="P678" s="34"/>
      <c r="Q678" s="4"/>
      <c r="R678" s="4"/>
      <c r="S678" s="4"/>
      <c r="T678" s="4"/>
      <c r="U678" s="4"/>
      <c r="V678" s="4"/>
      <c r="X678" s="4"/>
      <c r="Y678" s="4"/>
      <c r="AA678" s="4"/>
      <c r="AB678" s="4"/>
      <c r="AC678" s="4"/>
      <c r="AD678" s="20"/>
    </row>
    <row r="679" spans="14:30" x14ac:dyDescent="0.3">
      <c r="N679" s="8"/>
      <c r="P679" s="34"/>
      <c r="Q679" s="4"/>
      <c r="R679" s="4"/>
      <c r="S679" s="4"/>
      <c r="T679" s="4"/>
      <c r="U679" s="4"/>
      <c r="V679" s="4"/>
      <c r="X679" s="4"/>
      <c r="Y679" s="4"/>
      <c r="AA679" s="4"/>
      <c r="AB679" s="4"/>
      <c r="AC679" s="4"/>
      <c r="AD679" s="20"/>
    </row>
    <row r="680" spans="14:30" x14ac:dyDescent="0.3">
      <c r="N680" s="8"/>
      <c r="P680" s="34"/>
      <c r="Q680" s="4"/>
      <c r="R680" s="4"/>
      <c r="S680" s="4"/>
      <c r="T680" s="4"/>
      <c r="U680" s="4"/>
      <c r="V680" s="4"/>
      <c r="X680" s="4"/>
      <c r="Y680" s="4"/>
      <c r="AA680" s="4"/>
      <c r="AB680" s="4"/>
      <c r="AC680" s="4"/>
      <c r="AD680" s="20"/>
    </row>
    <row r="681" spans="14:30" x14ac:dyDescent="0.3">
      <c r="N681" s="8"/>
      <c r="P681" s="34"/>
      <c r="Q681" s="4"/>
      <c r="R681" s="4"/>
      <c r="S681" s="4"/>
      <c r="T681" s="4"/>
      <c r="U681" s="4"/>
      <c r="V681" s="4"/>
      <c r="X681" s="4"/>
      <c r="Y681" s="4"/>
      <c r="AA681" s="4"/>
      <c r="AB681" s="4"/>
      <c r="AC681" s="4"/>
      <c r="AD681" s="20"/>
    </row>
    <row r="682" spans="14:30" x14ac:dyDescent="0.3">
      <c r="N682" s="8"/>
      <c r="P682" s="34"/>
      <c r="Q682" s="4"/>
      <c r="R682" s="4"/>
      <c r="S682" s="4"/>
      <c r="T682" s="4"/>
      <c r="U682" s="4"/>
      <c r="V682" s="4"/>
      <c r="X682" s="4"/>
      <c r="Y682" s="4"/>
      <c r="AA682" s="4"/>
      <c r="AB682" s="4"/>
      <c r="AC682" s="4"/>
      <c r="AD682" s="20"/>
    </row>
    <row r="683" spans="14:30" x14ac:dyDescent="0.3">
      <c r="N683" s="8"/>
      <c r="P683" s="34"/>
      <c r="Q683" s="4"/>
      <c r="R683" s="4"/>
      <c r="S683" s="4"/>
      <c r="T683" s="4"/>
      <c r="U683" s="4"/>
      <c r="V683" s="4"/>
      <c r="X683" s="4"/>
      <c r="Y683" s="4"/>
      <c r="AA683" s="4"/>
      <c r="AB683" s="4"/>
      <c r="AC683" s="4"/>
      <c r="AD683" s="20"/>
    </row>
    <row r="684" spans="14:30" x14ac:dyDescent="0.3">
      <c r="N684" s="8"/>
      <c r="P684" s="34"/>
      <c r="Q684" s="4"/>
      <c r="R684" s="4"/>
      <c r="S684" s="4"/>
      <c r="T684" s="4"/>
      <c r="U684" s="4"/>
      <c r="V684" s="4"/>
      <c r="X684" s="4"/>
      <c r="Y684" s="4"/>
      <c r="AA684" s="4"/>
      <c r="AB684" s="4"/>
      <c r="AC684" s="4"/>
      <c r="AD684" s="20"/>
    </row>
    <row r="685" spans="14:30" x14ac:dyDescent="0.3">
      <c r="N685" s="8"/>
      <c r="P685" s="34"/>
      <c r="Q685" s="4"/>
      <c r="R685" s="4"/>
      <c r="S685" s="4"/>
      <c r="T685" s="4"/>
      <c r="U685" s="4"/>
      <c r="V685" s="4"/>
      <c r="X685" s="4"/>
      <c r="Y685" s="4"/>
      <c r="AA685" s="4"/>
      <c r="AB685" s="4"/>
      <c r="AC685" s="4"/>
      <c r="AD685" s="20"/>
    </row>
    <row r="686" spans="14:30" x14ac:dyDescent="0.3">
      <c r="N686" s="8"/>
      <c r="P686" s="34"/>
      <c r="Q686" s="4"/>
      <c r="R686" s="4"/>
      <c r="S686" s="4"/>
      <c r="T686" s="4"/>
      <c r="U686" s="4"/>
      <c r="V686" s="4"/>
      <c r="X686" s="4"/>
      <c r="Y686" s="4"/>
      <c r="AA686" s="4"/>
      <c r="AB686" s="4"/>
      <c r="AC686" s="4"/>
      <c r="AD686" s="20"/>
    </row>
    <row r="687" spans="14:30" x14ac:dyDescent="0.3">
      <c r="N687" s="8"/>
      <c r="P687" s="34"/>
      <c r="Q687" s="4"/>
      <c r="R687" s="4"/>
      <c r="S687" s="4"/>
      <c r="T687" s="4"/>
      <c r="U687" s="4"/>
      <c r="V687" s="4"/>
      <c r="X687" s="4"/>
      <c r="Y687" s="4"/>
      <c r="AA687" s="4"/>
      <c r="AB687" s="4"/>
      <c r="AC687" s="4"/>
      <c r="AD687" s="20"/>
    </row>
    <row r="688" spans="14:30" x14ac:dyDescent="0.3">
      <c r="N688" s="8"/>
      <c r="P688" s="34"/>
      <c r="Q688" s="4"/>
      <c r="R688" s="4"/>
      <c r="S688" s="4"/>
      <c r="T688" s="4"/>
      <c r="U688" s="4"/>
      <c r="V688" s="4"/>
      <c r="X688" s="4"/>
      <c r="Y688" s="4"/>
      <c r="AA688" s="4"/>
      <c r="AB688" s="4"/>
      <c r="AC688" s="4"/>
      <c r="AD688" s="20"/>
    </row>
    <row r="689" spans="14:30" x14ac:dyDescent="0.3">
      <c r="N689" s="8"/>
      <c r="P689" s="34"/>
      <c r="Q689" s="4"/>
      <c r="R689" s="4"/>
      <c r="S689" s="4"/>
      <c r="T689" s="4"/>
      <c r="U689" s="4"/>
      <c r="V689" s="4"/>
      <c r="X689" s="4"/>
      <c r="Y689" s="4"/>
      <c r="AA689" s="4"/>
      <c r="AB689" s="4"/>
      <c r="AC689" s="4"/>
      <c r="AD689" s="20"/>
    </row>
    <row r="690" spans="14:30" x14ac:dyDescent="0.3">
      <c r="N690" s="8"/>
      <c r="P690" s="34"/>
      <c r="Q690" s="4"/>
      <c r="R690" s="4"/>
      <c r="S690" s="4"/>
      <c r="T690" s="4"/>
      <c r="U690" s="4"/>
      <c r="V690" s="4"/>
      <c r="X690" s="4"/>
      <c r="Y690" s="4"/>
      <c r="AA690" s="4"/>
      <c r="AB690" s="4"/>
      <c r="AC690" s="4"/>
      <c r="AD690" s="20"/>
    </row>
    <row r="691" spans="14:30" x14ac:dyDescent="0.3">
      <c r="N691" s="8"/>
      <c r="P691" s="34"/>
      <c r="Q691" s="4"/>
      <c r="R691" s="4"/>
      <c r="S691" s="4"/>
      <c r="T691" s="4"/>
      <c r="U691" s="4"/>
      <c r="V691" s="4"/>
      <c r="X691" s="4"/>
      <c r="Y691" s="4"/>
      <c r="AA691" s="4"/>
      <c r="AB691" s="4"/>
      <c r="AC691" s="4"/>
      <c r="AD691" s="20"/>
    </row>
    <row r="692" spans="14:30" x14ac:dyDescent="0.3">
      <c r="N692" s="8"/>
      <c r="P692" s="34"/>
      <c r="Q692" s="4"/>
      <c r="R692" s="4"/>
      <c r="S692" s="4"/>
      <c r="T692" s="4"/>
      <c r="U692" s="4"/>
      <c r="V692" s="4"/>
      <c r="X692" s="4"/>
      <c r="Y692" s="4"/>
      <c r="AA692" s="4"/>
      <c r="AB692" s="4"/>
      <c r="AC692" s="4"/>
      <c r="AD692" s="20"/>
    </row>
    <row r="693" spans="14:30" x14ac:dyDescent="0.3">
      <c r="N693" s="8"/>
      <c r="P693" s="34"/>
      <c r="Q693" s="4"/>
      <c r="R693" s="4"/>
      <c r="S693" s="4"/>
      <c r="T693" s="4"/>
      <c r="U693" s="4"/>
      <c r="V693" s="4"/>
      <c r="X693" s="4"/>
      <c r="Y693" s="4"/>
      <c r="AA693" s="4"/>
      <c r="AB693" s="4"/>
      <c r="AC693" s="4"/>
      <c r="AD693" s="20"/>
    </row>
    <row r="694" spans="14:30" x14ac:dyDescent="0.3">
      <c r="N694" s="8"/>
      <c r="P694" s="34"/>
      <c r="Q694" s="4"/>
      <c r="R694" s="4"/>
      <c r="S694" s="4"/>
      <c r="T694" s="4"/>
      <c r="U694" s="4"/>
      <c r="V694" s="4"/>
      <c r="X694" s="4"/>
      <c r="Y694" s="4"/>
      <c r="AA694" s="4"/>
      <c r="AB694" s="4"/>
      <c r="AC694" s="4"/>
      <c r="AD694" s="20"/>
    </row>
    <row r="695" spans="14:30" x14ac:dyDescent="0.3">
      <c r="N695" s="8"/>
      <c r="P695" s="34"/>
      <c r="Q695" s="4"/>
      <c r="R695" s="4"/>
      <c r="S695" s="4"/>
      <c r="T695" s="4"/>
      <c r="U695" s="4"/>
      <c r="V695" s="4"/>
      <c r="X695" s="4"/>
      <c r="Y695" s="4"/>
      <c r="AA695" s="4"/>
      <c r="AB695" s="4"/>
      <c r="AC695" s="4"/>
      <c r="AD695" s="20"/>
    </row>
    <row r="696" spans="14:30" x14ac:dyDescent="0.3">
      <c r="N696" s="8"/>
      <c r="P696" s="34"/>
      <c r="Q696" s="4"/>
      <c r="R696" s="4"/>
      <c r="S696" s="4"/>
      <c r="T696" s="4"/>
      <c r="U696" s="4"/>
      <c r="V696" s="4"/>
      <c r="X696" s="4"/>
      <c r="Y696" s="4"/>
      <c r="AA696" s="4"/>
      <c r="AB696" s="4"/>
      <c r="AC696" s="4"/>
      <c r="AD696" s="20"/>
    </row>
    <row r="697" spans="14:30" x14ac:dyDescent="0.3">
      <c r="N697" s="8"/>
      <c r="P697" s="34"/>
      <c r="Q697" s="4"/>
      <c r="R697" s="4"/>
      <c r="S697" s="4"/>
      <c r="T697" s="4"/>
      <c r="U697" s="4"/>
      <c r="V697" s="4"/>
      <c r="X697" s="4"/>
      <c r="Y697" s="4"/>
      <c r="AA697" s="4"/>
      <c r="AB697" s="4"/>
      <c r="AC697" s="4"/>
      <c r="AD697" s="20"/>
    </row>
    <row r="698" spans="14:30" x14ac:dyDescent="0.3">
      <c r="N698" s="8"/>
      <c r="P698" s="34"/>
      <c r="Q698" s="4"/>
      <c r="R698" s="4"/>
      <c r="S698" s="4"/>
      <c r="T698" s="4"/>
      <c r="U698" s="4"/>
      <c r="V698" s="4"/>
      <c r="X698" s="4"/>
      <c r="Y698" s="4"/>
      <c r="AA698" s="4"/>
      <c r="AB698" s="4"/>
      <c r="AC698" s="4"/>
      <c r="AD698" s="20"/>
    </row>
    <row r="699" spans="14:30" x14ac:dyDescent="0.3">
      <c r="N699" s="8"/>
      <c r="P699" s="34"/>
      <c r="Q699" s="4"/>
      <c r="R699" s="4"/>
      <c r="S699" s="4"/>
      <c r="T699" s="4"/>
      <c r="U699" s="4"/>
      <c r="V699" s="4"/>
      <c r="X699" s="4"/>
      <c r="Y699" s="4"/>
      <c r="AA699" s="4"/>
      <c r="AB699" s="4"/>
      <c r="AC699" s="4"/>
      <c r="AD699" s="20"/>
    </row>
    <row r="700" spans="14:30" x14ac:dyDescent="0.3">
      <c r="N700" s="8"/>
      <c r="P700" s="34"/>
      <c r="Q700" s="4"/>
      <c r="R700" s="4"/>
      <c r="S700" s="4"/>
      <c r="T700" s="4"/>
      <c r="U700" s="4"/>
      <c r="V700" s="4"/>
      <c r="X700" s="4"/>
      <c r="Y700" s="4"/>
      <c r="AA700" s="4"/>
      <c r="AB700" s="4"/>
      <c r="AC700" s="4"/>
      <c r="AD700" s="20"/>
    </row>
    <row r="701" spans="14:30" x14ac:dyDescent="0.3">
      <c r="N701" s="8"/>
      <c r="P701" s="34"/>
      <c r="Q701" s="4"/>
      <c r="R701" s="4"/>
      <c r="S701" s="4"/>
      <c r="T701" s="4"/>
      <c r="U701" s="4"/>
      <c r="V701" s="4"/>
      <c r="X701" s="4"/>
      <c r="Y701" s="4"/>
      <c r="AA701" s="4"/>
      <c r="AB701" s="4"/>
      <c r="AC701" s="4"/>
      <c r="AD701" s="20"/>
    </row>
    <row r="702" spans="14:30" x14ac:dyDescent="0.3">
      <c r="N702" s="8"/>
      <c r="P702" s="34"/>
      <c r="Q702" s="4"/>
      <c r="R702" s="4"/>
      <c r="S702" s="4"/>
      <c r="T702" s="4"/>
      <c r="U702" s="4"/>
      <c r="V702" s="4"/>
      <c r="X702" s="4"/>
      <c r="Y702" s="4"/>
      <c r="AA702" s="4"/>
      <c r="AB702" s="4"/>
      <c r="AC702" s="4"/>
      <c r="AD702" s="20"/>
    </row>
    <row r="703" spans="14:30" x14ac:dyDescent="0.3">
      <c r="N703" s="8"/>
      <c r="P703" s="34"/>
      <c r="Q703" s="4"/>
      <c r="R703" s="4"/>
      <c r="S703" s="4"/>
      <c r="T703" s="4"/>
      <c r="U703" s="4"/>
      <c r="V703" s="4"/>
      <c r="X703" s="4"/>
      <c r="Y703" s="4"/>
      <c r="AA703" s="4"/>
      <c r="AB703" s="4"/>
      <c r="AC703" s="4"/>
      <c r="AD703" s="20"/>
    </row>
    <row r="704" spans="14:30" x14ac:dyDescent="0.3">
      <c r="N704" s="8"/>
      <c r="P704" s="34"/>
      <c r="Q704" s="4"/>
      <c r="R704" s="4"/>
      <c r="S704" s="4"/>
      <c r="T704" s="4"/>
      <c r="U704" s="4"/>
      <c r="V704" s="4"/>
      <c r="X704" s="4"/>
      <c r="Y704" s="4"/>
      <c r="AA704" s="4"/>
      <c r="AB704" s="4"/>
      <c r="AC704" s="4"/>
      <c r="AD704" s="20"/>
    </row>
    <row r="705" spans="14:30" x14ac:dyDescent="0.3">
      <c r="N705" s="8"/>
      <c r="P705" s="34"/>
      <c r="Q705" s="4"/>
      <c r="R705" s="4"/>
      <c r="S705" s="4"/>
      <c r="T705" s="4"/>
      <c r="U705" s="4"/>
      <c r="V705" s="4"/>
      <c r="X705" s="4"/>
      <c r="Y705" s="4"/>
      <c r="AA705" s="4"/>
      <c r="AB705" s="4"/>
      <c r="AC705" s="4"/>
      <c r="AD705" s="20"/>
    </row>
    <row r="706" spans="14:30" x14ac:dyDescent="0.3">
      <c r="N706" s="8"/>
      <c r="P706" s="34"/>
      <c r="Q706" s="4"/>
      <c r="R706" s="4"/>
      <c r="S706" s="4"/>
      <c r="T706" s="4"/>
      <c r="U706" s="4"/>
      <c r="V706" s="4"/>
      <c r="X706" s="4"/>
      <c r="Y706" s="4"/>
      <c r="AA706" s="4"/>
      <c r="AB706" s="4"/>
      <c r="AC706" s="4"/>
      <c r="AD706" s="20"/>
    </row>
    <row r="707" spans="14:30" x14ac:dyDescent="0.3">
      <c r="N707" s="8"/>
      <c r="P707" s="34"/>
      <c r="Q707" s="4"/>
      <c r="R707" s="4"/>
      <c r="S707" s="4"/>
      <c r="T707" s="4"/>
      <c r="U707" s="4"/>
      <c r="V707" s="4"/>
      <c r="X707" s="4"/>
      <c r="Y707" s="4"/>
      <c r="AA707" s="4"/>
      <c r="AB707" s="4"/>
      <c r="AC707" s="4"/>
      <c r="AD707" s="20"/>
    </row>
    <row r="708" spans="14:30" x14ac:dyDescent="0.3">
      <c r="N708" s="8"/>
      <c r="P708" s="34"/>
      <c r="Q708" s="4"/>
      <c r="R708" s="4"/>
      <c r="S708" s="4"/>
      <c r="T708" s="4"/>
      <c r="U708" s="4"/>
      <c r="V708" s="4"/>
      <c r="X708" s="4"/>
      <c r="Y708" s="4"/>
      <c r="AA708" s="4"/>
      <c r="AB708" s="4"/>
      <c r="AC708" s="4"/>
      <c r="AD708" s="20"/>
    </row>
  </sheetData>
  <mergeCells count="31">
    <mergeCell ref="AV4:AX4"/>
    <mergeCell ref="Q5:S5"/>
    <mergeCell ref="T5:V5"/>
    <mergeCell ref="W5:Y5"/>
    <mergeCell ref="Z5:AB5"/>
    <mergeCell ref="AC5:AE5"/>
    <mergeCell ref="AM5:AO5"/>
    <mergeCell ref="AV5:AX5"/>
    <mergeCell ref="E6:K6"/>
    <mergeCell ref="A1:M1"/>
    <mergeCell ref="N1:X1"/>
    <mergeCell ref="P4:AE4"/>
    <mergeCell ref="AF4:AU4"/>
    <mergeCell ref="AG5:AI5"/>
    <mergeCell ref="AJ5:AL5"/>
    <mergeCell ref="AP5:AR5"/>
    <mergeCell ref="AS5:AU5"/>
    <mergeCell ref="P16:AE16"/>
    <mergeCell ref="AF16:AU16"/>
    <mergeCell ref="AV16:AX16"/>
    <mergeCell ref="Q17:S17"/>
    <mergeCell ref="T17:V17"/>
    <mergeCell ref="W17:Y17"/>
    <mergeCell ref="Z17:AB17"/>
    <mergeCell ref="AC17:AE17"/>
    <mergeCell ref="AG17:AI17"/>
    <mergeCell ref="AJ17:AL17"/>
    <mergeCell ref="AM17:AO17"/>
    <mergeCell ref="AP17:AR17"/>
    <mergeCell ref="AS17:AU17"/>
    <mergeCell ref="AV17:AX17"/>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708"/>
  <sheetViews>
    <sheetView zoomScale="85" zoomScaleNormal="85" workbookViewId="0">
      <selection activeCell="K35" sqref="K35"/>
    </sheetView>
  </sheetViews>
  <sheetFormatPr defaultRowHeight="14.4" x14ac:dyDescent="0.3"/>
  <cols>
    <col min="1" max="1" width="13.109375" customWidth="1"/>
    <col min="2" max="2" width="25" customWidth="1"/>
    <col min="15" max="15" width="16.6640625" style="35" bestFit="1" customWidth="1"/>
    <col min="16" max="16" width="16.6640625" customWidth="1"/>
    <col min="33" max="33" width="10.109375" customWidth="1"/>
    <col min="34" max="34" width="12" bestFit="1" customWidth="1"/>
  </cols>
  <sheetData>
    <row r="1" spans="1:47" ht="28.2" x14ac:dyDescent="0.5">
      <c r="A1" s="225" t="s">
        <v>16</v>
      </c>
      <c r="B1" s="225"/>
      <c r="C1" s="225"/>
      <c r="D1" s="225"/>
      <c r="E1" s="225"/>
      <c r="F1" s="225"/>
      <c r="G1" s="225"/>
      <c r="H1" s="225"/>
      <c r="I1" s="225"/>
      <c r="J1" s="225"/>
      <c r="K1" s="225"/>
      <c r="L1" s="225"/>
      <c r="M1" s="225"/>
      <c r="N1" s="225" t="s">
        <v>183</v>
      </c>
      <c r="O1" s="225"/>
      <c r="P1" s="225"/>
      <c r="Q1" s="225"/>
      <c r="R1" s="225"/>
      <c r="S1" s="225"/>
      <c r="T1" s="225"/>
      <c r="U1" s="225"/>
      <c r="V1" s="225"/>
      <c r="W1" s="225"/>
      <c r="X1" s="225"/>
    </row>
    <row r="2" spans="1:47" x14ac:dyDescent="0.3">
      <c r="A2" s="5"/>
      <c r="B2" s="5" t="s">
        <v>17</v>
      </c>
      <c r="C2" s="6"/>
      <c r="D2" s="4"/>
      <c r="E2" s="5"/>
      <c r="F2" s="5"/>
      <c r="G2" s="5"/>
      <c r="H2" s="5"/>
      <c r="I2" s="5"/>
      <c r="J2" s="5"/>
      <c r="K2" s="5"/>
      <c r="L2" s="5"/>
      <c r="M2" s="5"/>
      <c r="O2"/>
    </row>
    <row r="3" spans="1:47" ht="15" thickBot="1" x14ac:dyDescent="0.35">
      <c r="A3" s="5"/>
      <c r="B3" s="5" t="s">
        <v>18</v>
      </c>
      <c r="C3" s="9"/>
      <c r="D3" s="4"/>
      <c r="E3" s="5"/>
      <c r="F3" s="14"/>
      <c r="G3" s="15"/>
      <c r="H3" s="15"/>
      <c r="I3" s="15"/>
      <c r="J3" s="15"/>
      <c r="K3" s="25"/>
      <c r="L3" s="5"/>
      <c r="M3" s="5"/>
      <c r="O3"/>
    </row>
    <row r="4" spans="1:47" ht="15" thickBot="1" x14ac:dyDescent="0.35">
      <c r="A4" s="5"/>
      <c r="B4" s="5" t="s">
        <v>19</v>
      </c>
      <c r="C4" s="7"/>
      <c r="D4" s="4"/>
      <c r="E4" s="5"/>
      <c r="F4" s="14"/>
      <c r="G4" s="15"/>
      <c r="H4" s="15"/>
      <c r="I4" s="15"/>
      <c r="J4" s="15"/>
      <c r="K4" s="25"/>
      <c r="L4" s="5"/>
      <c r="M4" s="5"/>
      <c r="N4" s="62"/>
      <c r="O4" s="68"/>
      <c r="P4" s="227" t="s">
        <v>214</v>
      </c>
      <c r="Q4" s="227"/>
      <c r="R4" s="227"/>
      <c r="S4" s="227"/>
      <c r="T4" s="227"/>
      <c r="U4" s="227"/>
      <c r="V4" s="227"/>
      <c r="W4" s="227"/>
      <c r="X4" s="227"/>
      <c r="Y4" s="227"/>
      <c r="Z4" s="227"/>
      <c r="AA4" s="227"/>
      <c r="AB4" s="227"/>
      <c r="AC4" s="227"/>
      <c r="AD4" s="227"/>
      <c r="AE4" s="228"/>
      <c r="AF4" s="229" t="s">
        <v>215</v>
      </c>
      <c r="AG4" s="227"/>
      <c r="AH4" s="227"/>
      <c r="AI4" s="227"/>
      <c r="AJ4" s="227"/>
      <c r="AK4" s="227"/>
      <c r="AL4" s="227"/>
      <c r="AM4" s="227"/>
      <c r="AN4" s="227"/>
      <c r="AO4" s="227"/>
      <c r="AP4" s="227"/>
      <c r="AQ4" s="227"/>
      <c r="AR4" s="228"/>
      <c r="AS4" s="229" t="s">
        <v>226</v>
      </c>
      <c r="AT4" s="227"/>
      <c r="AU4" s="228"/>
    </row>
    <row r="5" spans="1:47" x14ac:dyDescent="0.3">
      <c r="A5" s="5"/>
      <c r="D5" s="4"/>
      <c r="E5" s="5"/>
      <c r="F5" s="5"/>
      <c r="G5" s="5"/>
      <c r="H5" s="5"/>
      <c r="I5" s="5"/>
      <c r="J5" s="5"/>
      <c r="K5" s="5"/>
      <c r="L5" s="5"/>
      <c r="M5" s="5"/>
      <c r="N5" s="42"/>
      <c r="O5" s="44"/>
      <c r="Q5" s="230" t="s">
        <v>206</v>
      </c>
      <c r="R5" s="230"/>
      <c r="S5" s="230"/>
      <c r="T5" s="231" t="s">
        <v>208</v>
      </c>
      <c r="U5" s="231"/>
      <c r="V5" s="231"/>
      <c r="W5" s="231" t="s">
        <v>208</v>
      </c>
      <c r="X5" s="231"/>
      <c r="Y5" s="231"/>
      <c r="Z5" s="231" t="s">
        <v>211</v>
      </c>
      <c r="AA5" s="231"/>
      <c r="AB5" s="231"/>
      <c r="AC5" s="232" t="s">
        <v>213</v>
      </c>
      <c r="AD5" s="231"/>
      <c r="AE5" s="233"/>
      <c r="AG5" s="231" t="s">
        <v>222</v>
      </c>
      <c r="AH5" s="231"/>
      <c r="AI5" s="231"/>
      <c r="AJ5" s="231" t="s">
        <v>223</v>
      </c>
      <c r="AK5" s="231"/>
      <c r="AL5" s="231"/>
      <c r="AM5" s="231" t="s">
        <v>217</v>
      </c>
      <c r="AN5" s="231"/>
      <c r="AO5" s="231"/>
      <c r="AP5" s="232" t="s">
        <v>213</v>
      </c>
      <c r="AQ5" s="231"/>
      <c r="AR5" s="233"/>
      <c r="AS5" s="232" t="s">
        <v>213</v>
      </c>
      <c r="AT5" s="231"/>
      <c r="AU5" s="233"/>
    </row>
    <row r="6" spans="1:47" ht="15" thickBot="1" x14ac:dyDescent="0.35">
      <c r="A6" s="8" t="s">
        <v>20</v>
      </c>
      <c r="B6" s="8" t="s">
        <v>21</v>
      </c>
      <c r="C6" s="8" t="s">
        <v>22</v>
      </c>
      <c r="D6" s="4"/>
      <c r="E6" s="226" t="s">
        <v>23</v>
      </c>
      <c r="F6" s="226"/>
      <c r="G6" s="226"/>
      <c r="H6" s="226"/>
      <c r="I6" s="226"/>
      <c r="J6" s="226"/>
      <c r="K6" s="226"/>
      <c r="L6" s="5"/>
      <c r="M6" s="8"/>
      <c r="N6" s="42"/>
      <c r="O6" s="44"/>
      <c r="P6" s="4" t="s">
        <v>189</v>
      </c>
      <c r="Q6" t="s">
        <v>212</v>
      </c>
      <c r="R6" s="4" t="s">
        <v>209</v>
      </c>
      <c r="S6" s="4" t="s">
        <v>210</v>
      </c>
      <c r="T6" s="4" t="s">
        <v>212</v>
      </c>
      <c r="U6" s="4" t="s">
        <v>209</v>
      </c>
      <c r="V6" s="4" t="s">
        <v>210</v>
      </c>
      <c r="W6" s="4" t="s">
        <v>212</v>
      </c>
      <c r="X6" s="4" t="s">
        <v>209</v>
      </c>
      <c r="Y6" s="4" t="s">
        <v>210</v>
      </c>
      <c r="Z6" s="4" t="s">
        <v>212</v>
      </c>
      <c r="AA6" s="4" t="s">
        <v>209</v>
      </c>
      <c r="AB6" s="4" t="s">
        <v>210</v>
      </c>
      <c r="AC6" s="48" t="s">
        <v>227</v>
      </c>
      <c r="AD6" s="4" t="s">
        <v>209</v>
      </c>
      <c r="AE6" s="61" t="s">
        <v>210</v>
      </c>
      <c r="AF6" s="4" t="s">
        <v>224</v>
      </c>
      <c r="AG6" s="4" t="s">
        <v>212</v>
      </c>
      <c r="AH6" s="4" t="s">
        <v>225</v>
      </c>
      <c r="AI6" s="4" t="s">
        <v>210</v>
      </c>
      <c r="AJ6" s="4" t="s">
        <v>212</v>
      </c>
      <c r="AK6" s="4" t="s">
        <v>225</v>
      </c>
      <c r="AL6" s="4" t="s">
        <v>210</v>
      </c>
      <c r="AM6" s="4" t="s">
        <v>212</v>
      </c>
      <c r="AN6" s="4" t="s">
        <v>225</v>
      </c>
      <c r="AO6" s="4" t="s">
        <v>210</v>
      </c>
      <c r="AP6" s="48" t="s">
        <v>227</v>
      </c>
      <c r="AQ6" s="4" t="s">
        <v>209</v>
      </c>
      <c r="AR6" s="61" t="s">
        <v>210</v>
      </c>
      <c r="AS6" s="48" t="s">
        <v>227</v>
      </c>
      <c r="AT6" s="4" t="s">
        <v>209</v>
      </c>
      <c r="AU6" s="61" t="s">
        <v>210</v>
      </c>
    </row>
    <row r="7" spans="1:47" ht="15" thickBot="1" x14ac:dyDescent="0.35">
      <c r="A7" s="8"/>
      <c r="B7" s="8"/>
      <c r="C7" s="8"/>
      <c r="D7" s="4"/>
      <c r="E7" s="5"/>
      <c r="F7" s="5"/>
      <c r="G7" s="5"/>
      <c r="H7" s="5"/>
      <c r="I7" s="5"/>
      <c r="J7" s="5"/>
      <c r="K7" s="5"/>
      <c r="L7" s="5"/>
      <c r="M7" s="8"/>
      <c r="N7" t="s">
        <v>395</v>
      </c>
      <c r="O7" s="68">
        <f>fcross</f>
        <v>1000</v>
      </c>
      <c r="P7" s="64" t="str">
        <f>COMPLEX(ADC_VINmin,0)</f>
        <v>512.327119663259</v>
      </c>
      <c r="Q7" s="65" t="str">
        <f>IMSUM(COMPLEX(1,0),IMDIV(COMPLEX(0,2*PI()*O7),COMPLEX(wp_lf_VINmin,0)))</f>
        <v>1+131.822210082679i</v>
      </c>
      <c r="R7" s="65">
        <f>IMABS(Q7)</f>
        <v>131.82600301564921</v>
      </c>
      <c r="S7" s="65">
        <f t="shared" ref="S7" si="0">IMARGUMENT(Q7)</f>
        <v>1.5632104972317613</v>
      </c>
      <c r="T7" s="65" t="str">
        <f>IMSUM(COMPLEX(1,0),IMDIV(COMPLEX(0,2*PI()*O7),COMPLEX(wz_esr_VINmin,0)))</f>
        <v>1+0.0031415926535898i</v>
      </c>
      <c r="U7" s="65">
        <f>IMABS(T7)</f>
        <v>1.0000049347900244</v>
      </c>
      <c r="V7" s="65">
        <f t="shared" ref="V7" si="1">IMARGUMENT(T7)</f>
        <v>3.1415823182254434E-3</v>
      </c>
      <c r="W7" s="63" t="str">
        <f>IMSUB(COMPLEX(1,0),IMDIV(COMPLEX(0,2*PI()*O7),COMPLEX(wz_RHP_VINmin,0)))</f>
        <v>1-0.00378899345079622i</v>
      </c>
      <c r="X7" s="65">
        <f>IMABS(W7)</f>
        <v>1.0000071782099218</v>
      </c>
      <c r="Y7" s="65">
        <f t="shared" ref="Y7" si="2">IMARGUMENT(W7)</f>
        <v>-3.7889753187604074E-3</v>
      </c>
      <c r="Z7" s="63" t="str">
        <f>IMSUM(COMPLEX(1,0),IMDIV(COMPLEX(0,2*PI()*O7),COMPLEX(Q_VINmin*(wsl_VINmin/2),0)),IMDIV(IMPOWER(COMPLEX(0,2*PI()*O7),2),IMPOWER(COMPLEX(wsl_VINmin/2,0),2)))</f>
        <v>0.999936-0.00111740167502882i</v>
      </c>
      <c r="AA7" s="65">
        <f>IMABS(Z7)</f>
        <v>0.99993662433301411</v>
      </c>
      <c r="AB7" s="65">
        <f t="shared" ref="AB7" si="3">IMARGUMENT(Z7)</f>
        <v>-1.117472728166688E-3</v>
      </c>
      <c r="AC7" s="66" t="str">
        <f>(IMDIV(IMPRODUCT(P7,T7,W7),IMPRODUCT(Q7,Z7)))</f>
        <v>0.0313104216563116-3.88655621591317i</v>
      </c>
      <c r="AD7" s="67">
        <f>20*LOG(IMABS(AC7))</f>
        <v>11.791580926221856</v>
      </c>
      <c r="AE7" s="68">
        <f t="shared" ref="AE7" si="4">(180/PI())*IMARGUMENT(AC7)</f>
        <v>-89.538430397498814</v>
      </c>
      <c r="AF7" s="63" t="str">
        <f t="shared" ref="AF7:AF13" si="5">COMPLEX(Adc_ea,0)</f>
        <v>-0.0000333790427773504</v>
      </c>
      <c r="AG7" s="63" t="str">
        <f>COMPLEX(0,2*PI()*O7*wp0_ea)</f>
        <v>0.0000340548643649134i</v>
      </c>
      <c r="AH7" s="63">
        <f>IMABS(AG7)</f>
        <v>3.4054864364913401E-5</v>
      </c>
      <c r="AI7" s="63">
        <f>IMARGUMENT(AG7)</f>
        <v>1.5707963267948966</v>
      </c>
      <c r="AJ7" s="63" t="str">
        <f>IMSUM(COMPLEX(1,0),IMDIV(COMPLEX(0,2*PI()*O7),COMPLEX(wp1_ea,0)))</f>
        <v>1+0.784586681900211i</v>
      </c>
      <c r="AK7" s="63">
        <f>IMABS(AJ7)</f>
        <v>1.2710532095137412</v>
      </c>
      <c r="AL7" s="63">
        <f>IMARGUMENT(AJ7)</f>
        <v>0.66527166183844322</v>
      </c>
      <c r="AM7" s="63" t="str">
        <f>IMSUM(COMPLEX(1,0),IMDIV(COMPLEX(0,2*PI()*O7),COMPLEX(wz_ea,0)))</f>
        <v>1+5.90619418874883i</v>
      </c>
      <c r="AN7" s="63">
        <f>IMABS(AM7)</f>
        <v>5.9902528991028792</v>
      </c>
      <c r="AO7" s="63">
        <f>IMARGUMENT(AM7)</f>
        <v>1.4030732009107361</v>
      </c>
      <c r="AP7" s="62" t="str">
        <f>IMPRODUCT(AF7,IMDIV(AM7,IMPRODUCT(AG7,AJ7)))</f>
        <v>-3.10723108777306+3.41804704670823i</v>
      </c>
      <c r="AQ7" s="63">
        <f>20*LOG(IMABS(AP7))</f>
        <v>13.291522992283213</v>
      </c>
      <c r="AR7" s="68">
        <f>(180/PI())*IMARGUMENT(AP7)</f>
        <v>132.27291430709897</v>
      </c>
      <c r="AS7" s="62" t="str">
        <f>IMPRODUCT(AC7,AP7)</f>
        <v>13.1871432801258+12.1834487927366i</v>
      </c>
      <c r="AT7" s="67">
        <f>20*LOG(IMABS(AS7))</f>
        <v>25.083103918505095</v>
      </c>
      <c r="AU7" s="68">
        <f>(180/PI())*IMARGUMENT(AS7)</f>
        <v>42.734483909600115</v>
      </c>
    </row>
    <row r="8" spans="1:47" ht="15" thickBot="1" x14ac:dyDescent="0.35">
      <c r="A8" s="8"/>
      <c r="B8" s="8"/>
      <c r="C8" s="8"/>
      <c r="D8" s="4"/>
      <c r="E8" s="5"/>
      <c r="F8" s="5"/>
      <c r="G8" s="5"/>
      <c r="H8" s="5"/>
      <c r="I8" s="5"/>
      <c r="J8" s="5"/>
      <c r="K8" s="5"/>
      <c r="L8" s="5"/>
      <c r="M8" s="8"/>
      <c r="N8" s="62" t="s">
        <v>254</v>
      </c>
      <c r="O8" s="68">
        <f>fcross</f>
        <v>1000</v>
      </c>
      <c r="P8" s="64" t="str">
        <f t="shared" ref="P8:P13" si="6">COMPLEX(Adc,0)</f>
        <v>545.10556621881</v>
      </c>
      <c r="Q8" s="65" t="str">
        <f>IMSUM(COMPLEX(1,0),IMDIV(COMPLEX(0,2*PI()*O8),COMPLEX(wp_lf,0)))</f>
        <v>1+134.226204354911i</v>
      </c>
      <c r="R8" s="65">
        <f>IMABS(Q8)</f>
        <v>134.22992935827065</v>
      </c>
      <c r="S8" s="65">
        <f t="shared" ref="S8" si="7">IMARGUMENT(Q8)</f>
        <v>1.5633463545332069</v>
      </c>
      <c r="T8" s="65" t="str">
        <f>IMSUM(COMPLEX(1,0),IMDIV(COMPLEX(0,2*PI()*O8),COMPLEX(wz_esr,0)))</f>
        <v>1+0.0031415926535898i</v>
      </c>
      <c r="U8" s="65">
        <f>IMABS(T8)</f>
        <v>1.0000049347900244</v>
      </c>
      <c r="V8" s="65">
        <f t="shared" ref="V8" si="8">IMARGUMENT(T8)</f>
        <v>3.1415823182254434E-3</v>
      </c>
      <c r="W8" s="63" t="str">
        <f>IMSUB(COMPLEX(1,0),IMDIV(COMPLEX(0,2*PI()*O8),COMPLEX(wz_rhp,0)))</f>
        <v>1-0.00326348644854907i</v>
      </c>
      <c r="X8" s="65">
        <f>IMABS(W8)</f>
        <v>1.0000053251577212</v>
      </c>
      <c r="Y8" s="65">
        <f t="shared" ref="Y8" si="9">IMARGUMENT(W8)</f>
        <v>-3.2634748628722174E-3</v>
      </c>
      <c r="Z8" s="63" t="str">
        <f>IMSUM(COMPLEX(1,0),IMDIV(COMPLEX(0,2*PI()*O8),COMPLEX(Q*(wsl/2),0)),IMDIV(IMPOWER(COMPLEX(0,2*PI()*O8),2),IMPOWER(COMPLEX(wsl/2,0),2)))</f>
        <v>0.999936+0.0141323246545152i</v>
      </c>
      <c r="AA8" s="65">
        <f>IMABS(Z8)</f>
        <v>1.0000358627050034</v>
      </c>
      <c r="AB8" s="65">
        <f t="shared" ref="AB8" si="10">IMARGUMENT(Z8)</f>
        <v>1.4132288265073324E-2</v>
      </c>
      <c r="AC8" s="66" t="str">
        <f>(IMDIV(IMPRODUCT(P8,T8,W8),IMPRODUCT(Q8,Z8)))</f>
        <v>-0.0276308599343997-4.06078581029116i</v>
      </c>
      <c r="AD8" s="67">
        <f>20*LOG(IMABS(AC8))</f>
        <v>12.172402724987258</v>
      </c>
      <c r="AE8" s="68">
        <f t="shared" ref="AE8" si="11">(180/PI())*IMARGUMENT(AC8)</f>
        <v>-90.389852432728986</v>
      </c>
      <c r="AF8" s="63" t="str">
        <f t="shared" si="5"/>
        <v>-0.0000333790427773504</v>
      </c>
      <c r="AG8" s="63" t="str">
        <f>COMPLEX(0,2*PI()*O8*wp0_ea)</f>
        <v>0.0000340548643649134i</v>
      </c>
      <c r="AH8" s="63">
        <f>IMABS(AG8)</f>
        <v>3.4054864364913401E-5</v>
      </c>
      <c r="AI8" s="63">
        <f>IMARGUMENT(AG8)</f>
        <v>1.5707963267948966</v>
      </c>
      <c r="AJ8" s="63" t="str">
        <f>IMSUM(COMPLEX(1,0),IMDIV(COMPLEX(0,2*PI()*O8),COMPLEX(wp1_ea,0)))</f>
        <v>1+0.784586681900211i</v>
      </c>
      <c r="AK8" s="63">
        <f>IMABS(AJ8)</f>
        <v>1.2710532095137412</v>
      </c>
      <c r="AL8" s="63">
        <f>IMARGUMENT(AJ8)</f>
        <v>0.66527166183844322</v>
      </c>
      <c r="AM8" s="63" t="str">
        <f>IMSUM(COMPLEX(1,0),IMDIV(COMPLEX(0,2*PI()*O8),COMPLEX(wz_ea,0)))</f>
        <v>1+5.90619418874883i</v>
      </c>
      <c r="AN8" s="63">
        <f>IMABS(AM8)</f>
        <v>5.9902528991028792</v>
      </c>
      <c r="AO8" s="63">
        <f>IMARGUMENT(AM8)</f>
        <v>1.4030732009107361</v>
      </c>
      <c r="AP8" s="62" t="str">
        <f>IMPRODUCT(AF8,IMDIV(AM8,IMPRODUCT(AG8,AJ8)))</f>
        <v>-3.10723108777306+3.41804704670823i</v>
      </c>
      <c r="AQ8" s="63">
        <f>20*LOG(IMABS(AP8))</f>
        <v>13.291522992283213</v>
      </c>
      <c r="AR8" s="68">
        <f>(180/PI())*IMARGUMENT(AP8)</f>
        <v>132.27291430709897</v>
      </c>
      <c r="AS8" s="62" t="str">
        <f>IMPRODUCT(AC8,AP8)</f>
        <v>13.9658124131505+12.5233563313276i</v>
      </c>
      <c r="AT8" s="67">
        <f>20*LOG(IMABS(AS8))</f>
        <v>25.463925717270477</v>
      </c>
      <c r="AU8" s="68">
        <f>(180/PI())*IMARGUMENT(AS8)</f>
        <v>41.883061874369858</v>
      </c>
    </row>
    <row r="9" spans="1:47" x14ac:dyDescent="0.3">
      <c r="A9" s="51" t="s">
        <v>159</v>
      </c>
      <c r="B9" s="8"/>
      <c r="C9" s="8"/>
      <c r="D9" s="4"/>
      <c r="E9" s="5"/>
      <c r="F9" s="5"/>
      <c r="G9" s="5"/>
      <c r="H9" s="5"/>
      <c r="I9" s="5"/>
      <c r="J9" s="5"/>
      <c r="K9" s="5"/>
      <c r="L9" s="5"/>
      <c r="M9" s="8"/>
      <c r="N9" s="53" t="s">
        <v>255</v>
      </c>
      <c r="O9" s="69">
        <f>wz_rhp/(2*PI())</f>
        <v>306420.76066980243</v>
      </c>
      <c r="P9" s="54" t="str">
        <f t="shared" si="6"/>
        <v>545.10556621881</v>
      </c>
      <c r="Q9" s="55" t="str">
        <f>IMSUM(COMPLEX(1,0),IMDIV(COMPLEX(0,2*PI()*O9),COMPLEX(wp_lf,0)))</f>
        <v>1+41129.6956402524i</v>
      </c>
      <c r="R9" s="55">
        <f t="shared" ref="R9:R13" si="12">IMABS(Q9)</f>
        <v>41129.695652409071</v>
      </c>
      <c r="S9" s="55">
        <f t="shared" ref="S9:S11" si="13">IMARGUMENT(Q9)</f>
        <v>1.5707720134615681</v>
      </c>
      <c r="T9" s="55" t="str">
        <f t="shared" ref="T9:T13" si="14">IMSUM(COMPLEX(1,0),IMDIV(COMPLEX(0,2*PI()*O9),COMPLEX(wz_esr,0)))</f>
        <v>1+0.96264921062765i</v>
      </c>
      <c r="U9" s="55">
        <f t="shared" ref="U9:U13" si="15">IMABS(T9)</f>
        <v>1.3880538544026444</v>
      </c>
      <c r="V9" s="55">
        <f t="shared" ref="V9:V11" si="16">IMARGUMENT(T9)</f>
        <v>0.76636965793657652</v>
      </c>
      <c r="W9" s="56" t="str">
        <f t="shared" ref="W9:W13" si="17">IMSUB(COMPLEX(1,0),IMDIV(COMPLEX(0,2*PI()*O9),COMPLEX(wz_rhp,0)))</f>
        <v>1-i</v>
      </c>
      <c r="X9" s="55">
        <f t="shared" ref="X9:X13" si="18">IMABS(W9)</f>
        <v>1.4142135623730951</v>
      </c>
      <c r="Y9" s="55">
        <f t="shared" ref="Y9:Y11" si="19">IMARGUMENT(W9)</f>
        <v>-0.78539816339744828</v>
      </c>
      <c r="Z9" s="56" t="str">
        <f t="shared" ref="Z9:Z13" si="20">IMSUM(COMPLEX(1,0),IMDIV(COMPLEX(0,2*PI()*O9),COMPLEX(Q*(wsl/2),0)),IMDIV(IMPOWER(COMPLEX(0,2*PI()*O9),2),IMPOWER(COMPLEX(wsl/2,0),2)))</f>
        <v>-5.0091956844455+4.33043767066915i</v>
      </c>
      <c r="AA9" s="55">
        <f t="shared" ref="AA9:AA13" si="21">IMABS(Z9)</f>
        <v>6.6215354582315644</v>
      </c>
      <c r="AB9" s="55">
        <f t="shared" ref="AB9:AB11" si="22">IMARGUMENT(Z9)</f>
        <v>2.4287419630367539</v>
      </c>
      <c r="AC9" s="57" t="str">
        <f t="shared" ref="AC9:AC11" si="23">(IMDIV(IMPRODUCT(P9,T9,W9),IMPRODUCT(Q9,Z9)))</f>
        <v>-0.00251262477829659+0.00302062290756846i</v>
      </c>
      <c r="AD9" s="58">
        <f t="shared" ref="AD9:AD13" si="24">20*LOG(IMABS(AC9))</f>
        <v>-48.114245478123422</v>
      </c>
      <c r="AE9" s="59">
        <f t="shared" ref="AE9:AE11" si="25">(180/PI())*IMARGUMENT(AC9)</f>
        <v>129.75447598971144</v>
      </c>
      <c r="AF9" s="56" t="str">
        <f t="shared" si="5"/>
        <v>-0.0000333790427773504</v>
      </c>
      <c r="AG9" s="56" t="str">
        <f t="shared" ref="AG9:AG13" si="26">COMPLEX(0,2*PI()*O9*wp0_ea)</f>
        <v>0.0104351174432037i</v>
      </c>
      <c r="AH9" s="56">
        <f t="shared" ref="AH9:AH13" si="27">IMABS(AG9)</f>
        <v>1.04351174432037E-2</v>
      </c>
      <c r="AI9" s="56">
        <f t="shared" ref="AI9:AI11" si="28">IMARGUMENT(AG9)</f>
        <v>1.5707963267948966</v>
      </c>
      <c r="AJ9" s="56" t="str">
        <f t="shared" ref="AJ9:AJ13" si="29">IMSUM(COMPLEX(1,0),IMDIV(COMPLEX(0,2*PI()*O9),COMPLEX(wp1_ea,0)))</f>
        <v>1+240.41364787926i</v>
      </c>
      <c r="AK9" s="56">
        <f t="shared" ref="AK9:AK13" si="30">IMABS(AJ9)</f>
        <v>240.41572761908236</v>
      </c>
      <c r="AL9" s="56">
        <f t="shared" ref="AL9:AL11" si="31">IMARGUMENT(AJ9)</f>
        <v>1.5666368531471198</v>
      </c>
      <c r="AM9" s="56" t="str">
        <f t="shared" ref="AM9:AM13" si="32">IMSUM(COMPLEX(1,0),IMDIV(COMPLEX(0,2*PI()*O9),COMPLEX(wz_ea,0)))</f>
        <v>1+1809.78051597999i</v>
      </c>
      <c r="AN9" s="56">
        <f t="shared" ref="AN9:AN13" si="33">IMABS(AM9)</f>
        <v>1809.7807922565646</v>
      </c>
      <c r="AO9" s="56">
        <f t="shared" ref="AO9:AO11" si="34">IMARGUMENT(AM9)</f>
        <v>1.5702437736596415</v>
      </c>
      <c r="AP9" s="53" t="str">
        <f t="shared" ref="AP9:AP11" si="35">IMPRODUCT(AF9,IMDIV(AM9,IMPRODUCT(AG9,AJ9)))</f>
        <v>-0.0000868510886023815+0.0240789093244298i</v>
      </c>
      <c r="AQ9" s="56">
        <f t="shared" ref="AQ9:AQ13" si="36">20*LOG(IMABS(AP9))</f>
        <v>-32.367207273160481</v>
      </c>
      <c r="AR9" s="59">
        <f t="shared" ref="AR9:AR11" si="37">(180/PI())*IMARGUMENT(AP9)</f>
        <v>90.206661322406646</v>
      </c>
      <c r="AS9" s="53" t="str">
        <f t="shared" ref="AS9:AS11" si="38">IMPRODUCT(AC9,AP9)</f>
        <v>-0.0000725150808973921-0.0000607636085906987i</v>
      </c>
      <c r="AT9" s="58">
        <f t="shared" ref="AT9:AT13" si="39">20*LOG(IMABS(AS9))</f>
        <v>-80.481452751283896</v>
      </c>
      <c r="AU9" s="59">
        <f t="shared" ref="AU9:AU11" si="40">(180/PI())*IMARGUMENT(AS9)</f>
        <v>-140.03886268788193</v>
      </c>
    </row>
    <row r="10" spans="1:47" x14ac:dyDescent="0.3">
      <c r="A10" t="s">
        <v>26</v>
      </c>
      <c r="B10" s="3">
        <f>VIN_min</f>
        <v>45</v>
      </c>
      <c r="C10" t="s">
        <v>11</v>
      </c>
      <c r="E10" t="s">
        <v>29</v>
      </c>
      <c r="N10" s="42" t="s">
        <v>208</v>
      </c>
      <c r="O10" s="70">
        <f>wz_esr/(2*PI())</f>
        <v>318309.88618379069</v>
      </c>
      <c r="P10" s="34" t="str">
        <f t="shared" si="6"/>
        <v>545.10556621881</v>
      </c>
      <c r="Q10" s="4" t="str">
        <f t="shared" ref="Q10:Q13" si="41">IMSUM(COMPLEX(1,0),IMDIV(COMPLEX(0,2*PI()*O10),COMPLEX(wp_lf,0)))</f>
        <v>1+42725.527831094i</v>
      </c>
      <c r="R10" s="4">
        <f t="shared" si="12"/>
        <v>42725.527842796597</v>
      </c>
      <c r="S10" s="4">
        <f t="shared" si="13"/>
        <v>1.5707729215837598</v>
      </c>
      <c r="T10" s="4" t="str">
        <f t="shared" si="14"/>
        <v>1+i</v>
      </c>
      <c r="U10" s="4">
        <f t="shared" si="15"/>
        <v>1.4142135623730951</v>
      </c>
      <c r="V10" s="4">
        <f t="shared" si="16"/>
        <v>0.78539816339744828</v>
      </c>
      <c r="W10" t="str">
        <f t="shared" si="17"/>
        <v>1-1.0388i</v>
      </c>
      <c r="X10" s="4">
        <f t="shared" si="18"/>
        <v>1.4419103439534651</v>
      </c>
      <c r="Y10" s="4">
        <f t="shared" si="19"/>
        <v>-0.80442666885832148</v>
      </c>
      <c r="Z10" t="str">
        <f t="shared" si="20"/>
        <v>-5.48455575310963+4.4984586522911i</v>
      </c>
      <c r="AA10" s="4">
        <f t="shared" si="21"/>
        <v>7.093411172020172</v>
      </c>
      <c r="AB10" s="4">
        <f t="shared" si="22"/>
        <v>2.4546525903339864</v>
      </c>
      <c r="AC10" s="48" t="str">
        <f t="shared" si="23"/>
        <v>-0.00227163573589285+0.00287950329190704i</v>
      </c>
      <c r="AD10" s="20">
        <f t="shared" si="24"/>
        <v>-48.712173989399645</v>
      </c>
      <c r="AE10" s="44">
        <f t="shared" si="25"/>
        <v>128.2698543694745</v>
      </c>
      <c r="AF10" t="str">
        <f t="shared" si="5"/>
        <v>-0.0000333790427773504</v>
      </c>
      <c r="AG10" t="str">
        <f t="shared" si="26"/>
        <v>0.01084i</v>
      </c>
      <c r="AH10">
        <f t="shared" si="27"/>
        <v>1.0840000000000001E-2</v>
      </c>
      <c r="AI10">
        <f t="shared" si="28"/>
        <v>1.5707963267948966</v>
      </c>
      <c r="AJ10" t="str">
        <f t="shared" si="29"/>
        <v>1+249.741697416974i</v>
      </c>
      <c r="AK10">
        <f t="shared" si="30"/>
        <v>249.74369947750711</v>
      </c>
      <c r="AL10">
        <f t="shared" si="31"/>
        <v>1.5667922110784471</v>
      </c>
      <c r="AM10" t="str">
        <f t="shared" si="32"/>
        <v>1+1880i</v>
      </c>
      <c r="AN10">
        <f t="shared" si="33"/>
        <v>1880.0002659574279</v>
      </c>
      <c r="AO10">
        <f t="shared" si="34"/>
        <v>1.5702644119514451</v>
      </c>
      <c r="AP10" s="42" t="str">
        <f t="shared" si="35"/>
        <v>-0.0000804844415893404+0.0231795685468646i</v>
      </c>
      <c r="AQ10">
        <f t="shared" si="36"/>
        <v>-32.697840681414199</v>
      </c>
      <c r="AR10" s="44">
        <f t="shared" si="37"/>
        <v>90.198942455644428</v>
      </c>
      <c r="AS10" s="42" t="str">
        <f t="shared" si="38"/>
        <v>-0.0000665628126019838-0.0000528872914681393i</v>
      </c>
      <c r="AT10" s="20">
        <f t="shared" si="39"/>
        <v>-81.410014670813837</v>
      </c>
      <c r="AU10" s="44">
        <f t="shared" si="40"/>
        <v>-141.53120317488109</v>
      </c>
    </row>
    <row r="11" spans="1:47" ht="15" thickBot="1" x14ac:dyDescent="0.35">
      <c r="A11" t="s">
        <v>27</v>
      </c>
      <c r="B11" s="3">
        <f>VIN_nom</f>
        <v>50</v>
      </c>
      <c r="C11" t="s">
        <v>11</v>
      </c>
      <c r="E11" t="s">
        <v>30</v>
      </c>
      <c r="N11" s="45" t="s">
        <v>206</v>
      </c>
      <c r="O11" s="71">
        <f>wp_lf/(2*PI())</f>
        <v>7.4501100944184611</v>
      </c>
      <c r="P11" s="60" t="str">
        <f t="shared" si="6"/>
        <v>545.10556621881</v>
      </c>
      <c r="Q11" s="39" t="str">
        <f t="shared" si="41"/>
        <v>1+i</v>
      </c>
      <c r="R11" s="39">
        <f t="shared" si="12"/>
        <v>1.4142135623730951</v>
      </c>
      <c r="S11" s="39">
        <f t="shared" si="13"/>
        <v>0.78539816339744828</v>
      </c>
      <c r="T11" s="39" t="str">
        <f t="shared" si="14"/>
        <v>1+0.0000234052111410602i</v>
      </c>
      <c r="U11" s="39">
        <f t="shared" si="15"/>
        <v>1.0000000002739018</v>
      </c>
      <c r="V11" s="39">
        <f t="shared" si="16"/>
        <v>2.3405211136786376E-5</v>
      </c>
      <c r="W11" s="40" t="str">
        <f t="shared" si="17"/>
        <v>1-0.0000243133333333333i</v>
      </c>
      <c r="X11" s="39">
        <f t="shared" si="18"/>
        <v>1.0000000002955691</v>
      </c>
      <c r="Y11" s="39">
        <f t="shared" si="19"/>
        <v>-2.4313333328542454E-5</v>
      </c>
      <c r="Z11" s="40" t="str">
        <f t="shared" si="20"/>
        <v>0.999999996447735+0.000105287374566202i</v>
      </c>
      <c r="AA11" s="39">
        <f t="shared" si="21"/>
        <v>1.0000000019904505</v>
      </c>
      <c r="AB11" s="39">
        <f t="shared" si="22"/>
        <v>1.0528737455115867E-4</v>
      </c>
      <c r="AC11" s="43" t="str">
        <f t="shared" si="23"/>
        <v>272.523837307163-272.581725063354i</v>
      </c>
      <c r="AD11" s="47">
        <f t="shared" si="24"/>
        <v>51.719312365967987</v>
      </c>
      <c r="AE11" s="46">
        <f t="shared" si="25"/>
        <v>-45.006084553766676</v>
      </c>
      <c r="AF11" s="40" t="str">
        <f t="shared" si="5"/>
        <v>-0.0000333790427773504</v>
      </c>
      <c r="AG11" s="40" t="str">
        <f t="shared" si="26"/>
        <v>2.53712488769093E-07i</v>
      </c>
      <c r="AH11" s="40">
        <f t="shared" si="27"/>
        <v>2.5371248876909298E-7</v>
      </c>
      <c r="AI11" s="40">
        <f t="shared" si="28"/>
        <v>1.5707963267948966</v>
      </c>
      <c r="AJ11" s="40" t="str">
        <f t="shared" si="29"/>
        <v>1+0.00584525715877105i</v>
      </c>
      <c r="AK11" s="40">
        <f t="shared" si="30"/>
        <v>1.0000170833697053</v>
      </c>
      <c r="AL11" s="40">
        <f t="shared" si="31"/>
        <v>5.8451905884410772E-3</v>
      </c>
      <c r="AM11" s="40" t="str">
        <f t="shared" si="32"/>
        <v>1+0.0440017969451933i</v>
      </c>
      <c r="AN11" s="40">
        <f t="shared" si="33"/>
        <v>1.0009676109317454</v>
      </c>
      <c r="AO11" s="40">
        <f t="shared" si="34"/>
        <v>4.3973431743923576E-2</v>
      </c>
      <c r="AP11" s="45" t="str">
        <f t="shared" si="35"/>
        <v>-5.01979727256714+131.5918162826i</v>
      </c>
      <c r="AQ11" s="40">
        <f t="shared" si="36"/>
        <v>42.390892767251309</v>
      </c>
      <c r="AR11" s="46">
        <f t="shared" si="37"/>
        <v>92.18458729846617</v>
      </c>
      <c r="AS11" s="45" t="str">
        <f t="shared" si="38"/>
        <v>34501.509871307+37230.211731578i</v>
      </c>
      <c r="AT11" s="47">
        <f t="shared" si="39"/>
        <v>94.110205133219281</v>
      </c>
      <c r="AU11" s="46">
        <f t="shared" si="40"/>
        <v>47.178502744699493</v>
      </c>
    </row>
    <row r="12" spans="1:47" x14ac:dyDescent="0.3">
      <c r="A12" t="s">
        <v>28</v>
      </c>
      <c r="B12" s="3">
        <f>VIN_max</f>
        <v>55</v>
      </c>
      <c r="C12" t="s">
        <v>11</v>
      </c>
      <c r="E12" t="s">
        <v>31</v>
      </c>
      <c r="N12" s="53" t="s">
        <v>217</v>
      </c>
      <c r="O12" s="59">
        <f>wz_ea/(2*PI())</f>
        <v>169.31376924669715</v>
      </c>
      <c r="P12" s="54" t="str">
        <f t="shared" si="6"/>
        <v>545.10556621881</v>
      </c>
      <c r="Q12" s="55" t="str">
        <f t="shared" si="41"/>
        <v>1+22.7263445910074i</v>
      </c>
      <c r="R12" s="55">
        <f t="shared" si="12"/>
        <v>22.748334850472272</v>
      </c>
      <c r="S12" s="55">
        <f t="shared" ref="S12:S13" si="42">IMARGUMENT(Q12)</f>
        <v>1.526822895050973</v>
      </c>
      <c r="T12" s="55" t="str">
        <f t="shared" si="14"/>
        <v>1+0.00053191489361702i</v>
      </c>
      <c r="U12" s="55">
        <f t="shared" si="15"/>
        <v>1.000000141466717</v>
      </c>
      <c r="V12" s="55">
        <f t="shared" ref="V12:V13" si="43">IMARGUMENT(T12)</f>
        <v>5.3191484345152247E-4</v>
      </c>
      <c r="W12" s="56" t="str">
        <f t="shared" si="17"/>
        <v>1-0.000552553191489359i</v>
      </c>
      <c r="X12" s="55">
        <f t="shared" si="18"/>
        <v>1.0000001526575031</v>
      </c>
      <c r="Y12" s="55">
        <f t="shared" ref="Y12:Y13" si="44">IMARGUMENT(W12)</f>
        <v>-5.5255313525510465E-4</v>
      </c>
      <c r="Z12" s="56" t="str">
        <f t="shared" si="20"/>
        <v>0.999998165302243+0.00239279715547399i</v>
      </c>
      <c r="AA12" s="55">
        <f t="shared" si="21"/>
        <v>1.0000010280425111</v>
      </c>
      <c r="AB12" s="55">
        <f t="shared" ref="AB12:AB13" si="45">IMARGUMENT(Z12)</f>
        <v>2.3927969788961659E-3</v>
      </c>
      <c r="AC12" s="57" t="str">
        <f t="shared" ref="AC12:AC13" si="46">(IMDIV(IMPRODUCT(P12,T12,W12),IMPRODUCT(Q12,Z12)))</f>
        <v>0.995591452037953-23.9417291679858i</v>
      </c>
      <c r="AD12" s="58">
        <f t="shared" si="24"/>
        <v>27.590613713297817</v>
      </c>
      <c r="AE12" s="59">
        <f t="shared" ref="AE12:AE13" si="47">(180/PI())*IMARGUMENT(AC12)</f>
        <v>-87.618787605505688</v>
      </c>
      <c r="AF12" s="56" t="str">
        <f t="shared" si="5"/>
        <v>-0.0000333790427773504</v>
      </c>
      <c r="AG12" s="56" t="str">
        <f t="shared" si="26"/>
        <v>5.76595744680851E-06i</v>
      </c>
      <c r="AH12" s="56">
        <f t="shared" si="27"/>
        <v>5.7659574468085103E-6</v>
      </c>
      <c r="AI12" s="56">
        <f t="shared" ref="AI12:AI13" si="48">IMARGUMENT(AG12)</f>
        <v>1.5707963267948966</v>
      </c>
      <c r="AJ12" s="56" t="str">
        <f t="shared" si="29"/>
        <v>1+0.132841328413284i</v>
      </c>
      <c r="AK12" s="56">
        <f t="shared" si="30"/>
        <v>1.00878482271226</v>
      </c>
      <c r="AL12" s="56">
        <f t="shared" ref="AL12:AL13" si="49">IMARGUMENT(AJ12)</f>
        <v>0.13206809022652904</v>
      </c>
      <c r="AM12" s="56" t="str">
        <f t="shared" si="32"/>
        <v>1+i</v>
      </c>
      <c r="AN12" s="56">
        <f t="shared" si="33"/>
        <v>1.4142135623730951</v>
      </c>
      <c r="AO12" s="56">
        <f t="shared" ref="AO12:AO13" si="50">IMARGUMENT(AM12)</f>
        <v>0.78539816339744828</v>
      </c>
      <c r="AP12" s="53" t="str">
        <f t="shared" ref="AP12:AP13" si="51">IMPRODUCT(AF12,IMDIV(AM12,IMPRODUCT(AG12,AJ12)))</f>
        <v>-4.93291846710244+6.44428072085297i</v>
      </c>
      <c r="AQ12" s="56">
        <f t="shared" si="36"/>
        <v>18.186378067924004</v>
      </c>
      <c r="AR12" s="59">
        <f t="shared" ref="AR12:AR13" si="52">(180/PI())*IMARGUMENT(AP12)</f>
        <v>127.43305582166694</v>
      </c>
      <c r="AS12" s="53" t="str">
        <f t="shared" ref="AS12:AS13" si="53">IMPRODUCT(AC12,AP12)</f>
        <v>149.376052241687+124.518468747336i</v>
      </c>
      <c r="AT12" s="58">
        <f t="shared" si="39"/>
        <v>45.77699178122181</v>
      </c>
      <c r="AU12" s="59">
        <f t="shared" ref="AU12:AU13" si="54">(180/PI())*IMARGUMENT(AS12)</f>
        <v>39.814268216161103</v>
      </c>
    </row>
    <row r="13" spans="1:47" ht="15" thickBot="1" x14ac:dyDescent="0.35">
      <c r="A13" t="s">
        <v>60</v>
      </c>
      <c r="B13" s="3">
        <f>Fsw</f>
        <v>250000</v>
      </c>
      <c r="C13" t="s">
        <v>61</v>
      </c>
      <c r="E13" t="s">
        <v>62</v>
      </c>
      <c r="N13" s="45" t="s">
        <v>223</v>
      </c>
      <c r="O13" s="46">
        <f>wp1_ea/(2*PI())</f>
        <v>1274.5564296070816</v>
      </c>
      <c r="P13" s="60" t="str">
        <f t="shared" si="6"/>
        <v>545.10556621881</v>
      </c>
      <c r="Q13" s="39" t="str">
        <f t="shared" si="41"/>
        <v>1+171.078871782306i</v>
      </c>
      <c r="R13" s="39">
        <f t="shared" si="12"/>
        <v>171.08179438592143</v>
      </c>
      <c r="S13" s="39">
        <f t="shared" si="42"/>
        <v>1.5649511362064554</v>
      </c>
      <c r="T13" s="39" t="str">
        <f t="shared" si="14"/>
        <v>1+0.00400413711583924i</v>
      </c>
      <c r="U13" s="39">
        <f t="shared" si="15"/>
        <v>1.0000080165248888</v>
      </c>
      <c r="V13" s="39">
        <f t="shared" si="43"/>
        <v>4.0041157164494258E-3</v>
      </c>
      <c r="W13" s="40" t="str">
        <f t="shared" si="17"/>
        <v>1-0.0041594976359338i</v>
      </c>
      <c r="X13" s="39">
        <f t="shared" si="18"/>
        <v>1.0000086506728745</v>
      </c>
      <c r="Y13" s="39">
        <f t="shared" si="44"/>
        <v>-4.1594736477768126E-3</v>
      </c>
      <c r="Z13" s="40" t="str">
        <f t="shared" si="20"/>
        <v>0.999896032378096+0.018012445253707i</v>
      </c>
      <c r="AA13" s="39">
        <f t="shared" si="21"/>
        <v>1.0000582601776138</v>
      </c>
      <c r="AB13" s="39">
        <f t="shared" si="45"/>
        <v>1.8012369896082556E-2</v>
      </c>
      <c r="AC13" s="43" t="str">
        <f t="shared" si="46"/>
        <v>-0.0392597839651962-3.18585337181697i</v>
      </c>
      <c r="AD13" s="47">
        <f t="shared" si="24"/>
        <v>10.065175143205424</v>
      </c>
      <c r="AE13" s="46">
        <f t="shared" si="47"/>
        <v>-90.706029376685706</v>
      </c>
      <c r="AF13" s="40" t="str">
        <f t="shared" si="5"/>
        <v>-0.0000333790427773504</v>
      </c>
      <c r="AG13" s="40" t="str">
        <f t="shared" si="26"/>
        <v>0.0000434048463356974i</v>
      </c>
      <c r="AH13" s="40">
        <f t="shared" si="27"/>
        <v>4.3404846335697399E-5</v>
      </c>
      <c r="AI13" s="40">
        <f t="shared" si="48"/>
        <v>1.5707963267948966</v>
      </c>
      <c r="AJ13" s="40" t="str">
        <f t="shared" si="29"/>
        <v>1+i</v>
      </c>
      <c r="AK13" s="40">
        <f t="shared" si="30"/>
        <v>1.4142135623730951</v>
      </c>
      <c r="AL13" s="40">
        <f t="shared" si="49"/>
        <v>0.78539816339744828</v>
      </c>
      <c r="AM13" s="40" t="str">
        <f t="shared" si="32"/>
        <v>1+7.5277777777778i</v>
      </c>
      <c r="AN13" s="40">
        <f t="shared" si="33"/>
        <v>7.5939079709728681</v>
      </c>
      <c r="AO13" s="40">
        <f t="shared" si="50"/>
        <v>1.4387282365683678</v>
      </c>
      <c r="AP13" s="45" t="str">
        <f t="shared" si="51"/>
        <v>-2.50998439206871+3.27900088665997i</v>
      </c>
      <c r="AQ13" s="40">
        <f t="shared" si="36"/>
        <v>12.317719738724408</v>
      </c>
      <c r="AR13" s="46">
        <f t="shared" si="52"/>
        <v>127.43305582166694</v>
      </c>
      <c r="AS13" s="45" t="str">
        <f t="shared" si="53"/>
        <v>10.5449574759451+7.86770937224811i</v>
      </c>
      <c r="AT13" s="47">
        <f t="shared" si="39"/>
        <v>22.382894881929815</v>
      </c>
      <c r="AU13" s="46">
        <f t="shared" si="54"/>
        <v>36.727026444981334</v>
      </c>
    </row>
    <row r="15" spans="1:47" ht="15" thickBot="1" x14ac:dyDescent="0.35">
      <c r="A15" s="50" t="s">
        <v>216</v>
      </c>
      <c r="O15" s="35" t="s">
        <v>185</v>
      </c>
      <c r="P15">
        <f>B16</f>
        <v>50</v>
      </c>
      <c r="Q15" t="s">
        <v>11</v>
      </c>
    </row>
    <row r="16" spans="1:47" ht="15" thickBot="1" x14ac:dyDescent="0.35">
      <c r="A16" t="s">
        <v>187</v>
      </c>
      <c r="B16" s="30">
        <f>VIN_var</f>
        <v>50</v>
      </c>
      <c r="C16" t="s">
        <v>11</v>
      </c>
      <c r="E16" t="s">
        <v>188</v>
      </c>
      <c r="O16" s="49"/>
      <c r="P16" s="227" t="s">
        <v>214</v>
      </c>
      <c r="Q16" s="227"/>
      <c r="R16" s="227"/>
      <c r="S16" s="227"/>
      <c r="T16" s="227"/>
      <c r="U16" s="227"/>
      <c r="V16" s="227"/>
      <c r="W16" s="227"/>
      <c r="X16" s="227"/>
      <c r="Y16" s="227"/>
      <c r="Z16" s="227"/>
      <c r="AA16" s="227"/>
      <c r="AB16" s="227"/>
      <c r="AC16" s="227"/>
      <c r="AD16" s="227"/>
      <c r="AE16" s="228"/>
      <c r="AF16" s="229" t="s">
        <v>215</v>
      </c>
      <c r="AG16" s="227"/>
      <c r="AH16" s="227"/>
      <c r="AI16" s="227"/>
      <c r="AJ16" s="227"/>
      <c r="AK16" s="227"/>
      <c r="AL16" s="227"/>
      <c r="AM16" s="227"/>
      <c r="AN16" s="227"/>
      <c r="AO16" s="227"/>
      <c r="AP16" s="227"/>
      <c r="AQ16" s="227"/>
      <c r="AR16" s="228"/>
      <c r="AS16" s="229" t="s">
        <v>226</v>
      </c>
      <c r="AT16" s="227"/>
      <c r="AU16" s="228"/>
    </row>
    <row r="17" spans="1:47" x14ac:dyDescent="0.3">
      <c r="A17" t="s">
        <v>501</v>
      </c>
      <c r="B17" s="30">
        <f>POUT_Total</f>
        <v>37.5</v>
      </c>
      <c r="C17" t="s">
        <v>36</v>
      </c>
      <c r="E17" t="s">
        <v>502</v>
      </c>
      <c r="O17" s="37"/>
      <c r="Q17" s="230" t="s">
        <v>206</v>
      </c>
      <c r="R17" s="230"/>
      <c r="S17" s="230"/>
      <c r="T17" s="231" t="s">
        <v>208</v>
      </c>
      <c r="U17" s="231"/>
      <c r="V17" s="231"/>
      <c r="W17" s="231" t="s">
        <v>208</v>
      </c>
      <c r="X17" s="231"/>
      <c r="Y17" s="231"/>
      <c r="Z17" s="231" t="s">
        <v>211</v>
      </c>
      <c r="AA17" s="231"/>
      <c r="AB17" s="231"/>
      <c r="AC17" s="232" t="s">
        <v>213</v>
      </c>
      <c r="AD17" s="231"/>
      <c r="AE17" s="233"/>
      <c r="AG17" s="231" t="s">
        <v>222</v>
      </c>
      <c r="AH17" s="231"/>
      <c r="AI17" s="231"/>
      <c r="AJ17" s="231" t="s">
        <v>223</v>
      </c>
      <c r="AK17" s="231"/>
      <c r="AL17" s="231"/>
      <c r="AM17" s="231" t="s">
        <v>217</v>
      </c>
      <c r="AN17" s="231"/>
      <c r="AO17" s="231"/>
      <c r="AP17" s="232" t="s">
        <v>213</v>
      </c>
      <c r="AQ17" s="231"/>
      <c r="AR17" s="233"/>
      <c r="AS17" s="232" t="s">
        <v>213</v>
      </c>
      <c r="AT17" s="231"/>
      <c r="AU17" s="233"/>
    </row>
    <row r="18" spans="1:47" ht="15" thickBot="1" x14ac:dyDescent="0.35">
      <c r="A18" t="s">
        <v>503</v>
      </c>
      <c r="B18" s="1">
        <f>Cout_total</f>
        <v>4.9999999999999996E-5</v>
      </c>
      <c r="C18" t="s">
        <v>151</v>
      </c>
      <c r="N18" s="8"/>
      <c r="O18" s="38" t="s">
        <v>184</v>
      </c>
      <c r="P18" s="39" t="s">
        <v>189</v>
      </c>
      <c r="Q18" s="40" t="s">
        <v>212</v>
      </c>
      <c r="R18" s="39" t="s">
        <v>209</v>
      </c>
      <c r="S18" s="39" t="s">
        <v>210</v>
      </c>
      <c r="T18" s="39" t="s">
        <v>212</v>
      </c>
      <c r="U18" s="39" t="s">
        <v>209</v>
      </c>
      <c r="V18" s="39" t="s">
        <v>210</v>
      </c>
      <c r="W18" s="39" t="s">
        <v>212</v>
      </c>
      <c r="X18" s="39" t="s">
        <v>209</v>
      </c>
      <c r="Y18" s="39" t="s">
        <v>210</v>
      </c>
      <c r="Z18" s="39" t="s">
        <v>212</v>
      </c>
      <c r="AA18" s="39" t="s">
        <v>209</v>
      </c>
      <c r="AB18" s="39" t="s">
        <v>210</v>
      </c>
      <c r="AC18" s="43" t="s">
        <v>227</v>
      </c>
      <c r="AD18" s="39" t="s">
        <v>209</v>
      </c>
      <c r="AE18" s="41" t="s">
        <v>210</v>
      </c>
      <c r="AF18" s="39" t="s">
        <v>224</v>
      </c>
      <c r="AG18" s="39" t="s">
        <v>212</v>
      </c>
      <c r="AH18" s="39" t="s">
        <v>225</v>
      </c>
      <c r="AI18" s="39" t="s">
        <v>210</v>
      </c>
      <c r="AJ18" s="39" t="s">
        <v>212</v>
      </c>
      <c r="AK18" s="39" t="s">
        <v>225</v>
      </c>
      <c r="AL18" s="39" t="s">
        <v>210</v>
      </c>
      <c r="AM18" s="39" t="s">
        <v>212</v>
      </c>
      <c r="AN18" s="39" t="s">
        <v>225</v>
      </c>
      <c r="AO18" s="39" t="s">
        <v>210</v>
      </c>
      <c r="AP18" s="43" t="s">
        <v>227</v>
      </c>
      <c r="AQ18" s="39" t="s">
        <v>209</v>
      </c>
      <c r="AR18" s="41" t="s">
        <v>210</v>
      </c>
      <c r="AS18" s="43" t="s">
        <v>227</v>
      </c>
      <c r="AT18" s="39" t="s">
        <v>209</v>
      </c>
      <c r="AU18" s="41" t="s">
        <v>210</v>
      </c>
    </row>
    <row r="19" spans="1:47" x14ac:dyDescent="0.3">
      <c r="A19" t="s">
        <v>491</v>
      </c>
      <c r="B19" s="1">
        <f>Resr_total</f>
        <v>0.01</v>
      </c>
      <c r="C19" s="2" t="s">
        <v>35</v>
      </c>
      <c r="N19" s="8">
        <v>1</v>
      </c>
      <c r="O19" s="35">
        <f>10^(1+(N19/100))</f>
        <v>10.232929922807543</v>
      </c>
      <c r="P19" s="34" t="str">
        <f t="shared" ref="P19:P82" si="55">COMPLEX(Adc,0)</f>
        <v>545.10556621881</v>
      </c>
      <c r="Q19" s="4" t="str">
        <f t="shared" ref="Q19:Q82" si="56">IMSUM(COMPLEX(1,0),IMDIV(COMPLEX(0,2*PI()*O19),COMPLEX(wp_lf,0)))</f>
        <v>1+1.37352734296825i</v>
      </c>
      <c r="R19" s="4">
        <f>IMABS(Q19)</f>
        <v>1.698993043505894</v>
      </c>
      <c r="S19" s="4">
        <f>IMARGUMENT(Q19)</f>
        <v>0.94149022356338541</v>
      </c>
      <c r="T19" s="4" t="str">
        <f t="shared" ref="T19:T82" si="57">IMSUM(COMPLEX(1,0),IMDIV(COMPLEX(0,2*PI()*O19),COMPLEX(wz_esr,0)))</f>
        <v>1+0.0000321476974701914i</v>
      </c>
      <c r="U19" s="4">
        <f>IMABS(T19)</f>
        <v>1.0000000005167371</v>
      </c>
      <c r="V19" s="4">
        <f>IMARGUMENT(T19)</f>
        <v>3.214769745911679E-5</v>
      </c>
      <c r="W19" t="str">
        <f t="shared" ref="W19:W82" si="58">IMSUB(COMPLEX(1,0),IMDIV(COMPLEX(0,2*PI()*O19),COMPLEX(wz_rhp,0)))</f>
        <v>1-0.0000333950281320347i</v>
      </c>
      <c r="X19" s="4">
        <f>IMABS(W19)</f>
        <v>1.000000000557614</v>
      </c>
      <c r="Y19" s="4">
        <f>IMARGUMENT(W19)</f>
        <v>-3.3395028119620342E-5</v>
      </c>
      <c r="Z19" t="str">
        <f t="shared" ref="Z19:Z82" si="59">IMSUM(COMPLEX(1,0),IMDIV(COMPLEX(0,2*PI()*O19),COMPLEX(Q*(wsl/2),0)),IMDIV(IMPOWER(COMPLEX(0,2*PI()*O19),2),IMPOWER(COMPLEX(wsl/2,0),2)))</f>
        <v>0.999999993298377+0.000144615087836019i</v>
      </c>
      <c r="AA19" s="4">
        <f>IMABS(Z19)</f>
        <v>1.0000000037551389</v>
      </c>
      <c r="AB19" s="4">
        <f>IMARGUMENT(Z19)</f>
        <v>1.446150877970378E-4</v>
      </c>
      <c r="AC19" s="48" t="str">
        <f>(IMDIV(IMPRODUCT(P19,T19,W19),IMPRODUCT(Q19,Z19)))</f>
        <v>188.803652528288-259.406489615588i</v>
      </c>
      <c r="AD19" s="20">
        <f>20*LOG(IMABS(AC19))</f>
        <v>50.125780298418398</v>
      </c>
      <c r="AE19" s="44">
        <f>(180/PI())*IMARGUMENT(AC19)</f>
        <v>-53.951773563977461</v>
      </c>
      <c r="AF19" t="str">
        <f t="shared" ref="AF19:AF82" si="60">COMPLEX(Adc_ea,0)</f>
        <v>-0.0000333790427773504</v>
      </c>
      <c r="AG19" t="str">
        <f t="shared" ref="AG19:AG82" si="61">COMPLEX(0,2*PI()*O19*wp0_ea)</f>
        <v>3.48481040576874E-07i</v>
      </c>
      <c r="AH19">
        <f>IMABS(AG19)</f>
        <v>3.4848104057687398E-7</v>
      </c>
      <c r="AI19">
        <f>IMARGUMENT(AG19)</f>
        <v>1.5707963267948966</v>
      </c>
      <c r="AJ19" t="str">
        <f t="shared" ref="AJ19:AJ82" si="62">IMSUM(COMPLEX(1,0),IMDIV(COMPLEX(0,2*PI()*O19),COMPLEX(wp1_ea,0)))</f>
        <v>1+0.00802862053425295i</v>
      </c>
      <c r="AK19">
        <f>IMABS(AJ19)</f>
        <v>1.0000322288544921</v>
      </c>
      <c r="AL19">
        <f>IMARGUMENT(AJ19)</f>
        <v>8.0284480359825595E-3</v>
      </c>
      <c r="AM19" t="str">
        <f t="shared" ref="AM19:AM82" si="63">IMSUM(COMPLEX(1,0),IMDIV(COMPLEX(0,2*PI()*O19),COMPLEX(wz_ea,0)))</f>
        <v>1+0.0604376712439599i</v>
      </c>
      <c r="AN19">
        <f>IMABS(AM19)</f>
        <v>1.00182469130352</v>
      </c>
      <c r="AO19">
        <f>IMARGUMENT(AM19)</f>
        <v>6.0364244962156761E-2</v>
      </c>
      <c r="AP19" s="42" t="str">
        <f>IMPRODUCT(AF19,IMDIV(AM19,IMPRODUCT(AG19,AJ19)))</f>
        <v>-5.01964522409246+95.8246876102739i</v>
      </c>
      <c r="AQ19">
        <f>20*LOG(IMABS(AP19))</f>
        <v>39.641449157429619</v>
      </c>
      <c r="AR19" s="44">
        <f>(180/PI())*IMARGUMENT(AP19)</f>
        <v>92.998620281323525</v>
      </c>
      <c r="AS19" s="42" t="str">
        <f>IMPRODUCT(AC19,AP19)</f>
        <v>23909.8184787866+19394.1795698994i</v>
      </c>
      <c r="AT19" s="20">
        <f>20*LOG(IMABS(AS19))</f>
        <v>89.767229455848025</v>
      </c>
      <c r="AU19" s="44">
        <f>(180/PI())*IMARGUMENT(AS19)</f>
        <v>39.046846717346163</v>
      </c>
    </row>
    <row r="20" spans="1:47" x14ac:dyDescent="0.3">
      <c r="N20" s="8">
        <v>2</v>
      </c>
      <c r="O20" s="35">
        <f t="shared" ref="O20:O83" si="64">10^(1+(N20/100))</f>
        <v>10.471285480509</v>
      </c>
      <c r="P20" s="34" t="str">
        <f t="shared" si="55"/>
        <v>545.10556621881</v>
      </c>
      <c r="Q20" s="4" t="str">
        <f t="shared" si="56"/>
        <v>1+1.40552090476542i</v>
      </c>
      <c r="R20" s="4">
        <f t="shared" ref="R20:R83" si="65">IMABS(Q20)</f>
        <v>1.7249605832402679</v>
      </c>
      <c r="S20" s="4">
        <f t="shared" ref="S20:S83" si="66">IMARGUMENT(Q20)</f>
        <v>0.95240715147402988</v>
      </c>
      <c r="T20" s="4" t="str">
        <f t="shared" si="57"/>
        <v>1+0.0000328965135392086i</v>
      </c>
      <c r="U20" s="4">
        <f t="shared" ref="U20:U83" si="67">IMABS(T20)</f>
        <v>1.0000000005410903</v>
      </c>
      <c r="V20" s="4">
        <f t="shared" ref="V20:V83" si="68">IMARGUMENT(T20)</f>
        <v>3.2896513527341945E-5</v>
      </c>
      <c r="W20" t="str">
        <f t="shared" si="58"/>
        <v>1-0.0000341728982645297i</v>
      </c>
      <c r="X20" s="4">
        <f t="shared" ref="X20:X83" si="69">IMABS(W20)</f>
        <v>1.0000000005838934</v>
      </c>
      <c r="Y20" s="4">
        <f t="shared" ref="Y20:Y83" si="70">IMARGUMENT(W20)</f>
        <v>-3.4172898251227479E-5</v>
      </c>
      <c r="Z20" t="str">
        <f t="shared" si="59"/>
        <v>0.999999992982539+0.000147983605960664i</v>
      </c>
      <c r="AA20" s="4">
        <f t="shared" ref="AA20:AA83" si="71">IMABS(Z20)</f>
        <v>1.0000000039321129</v>
      </c>
      <c r="AB20" s="4">
        <f t="shared" ref="AB20:AB83" si="72">IMARGUMENT(Z20)</f>
        <v>1.4798360591889489E-4</v>
      </c>
      <c r="AC20" s="48" t="str">
        <f t="shared" ref="AC20:AC83" si="73">(IMDIV(IMPRODUCT(P20,T20,W20),IMPRODUCT(Q20,Z20)))</f>
        <v>183.160213153295-257.516870959428i</v>
      </c>
      <c r="AD20" s="20">
        <f t="shared" ref="AD20:AD83" si="74">20*LOG(IMABS(AC20))</f>
        <v>49.994028799794535</v>
      </c>
      <c r="AE20" s="44">
        <f t="shared" ref="AE20:AE83" si="75">(180/PI())*IMARGUMENT(AC20)</f>
        <v>-54.577462125052698</v>
      </c>
      <c r="AF20" t="str">
        <f t="shared" si="60"/>
        <v>-0.0000333790427773504</v>
      </c>
      <c r="AG20" t="str">
        <f t="shared" si="61"/>
        <v>3.56598206765021E-07i</v>
      </c>
      <c r="AH20">
        <f t="shared" ref="AH20:AH83" si="76">IMABS(AG20)</f>
        <v>3.56598206765021E-7</v>
      </c>
      <c r="AI20">
        <f t="shared" ref="AI20:AI83" si="77">IMARGUMENT(AG20)</f>
        <v>1.5707963267948966</v>
      </c>
      <c r="AJ20" t="str">
        <f t="shared" si="62"/>
        <v>1+0.00821563113038241i</v>
      </c>
      <c r="AK20">
        <f t="shared" ref="AK20:AK83" si="78">IMABS(AJ20)</f>
        <v>1.0000337477279808</v>
      </c>
      <c r="AL20">
        <f t="shared" ref="AL20:AL83" si="79">IMARGUMENT(AJ20)</f>
        <v>8.2154462954924512E-3</v>
      </c>
      <c r="AM20" t="str">
        <f t="shared" si="63"/>
        <v>1+0.0618454454537122i</v>
      </c>
      <c r="AN20">
        <f t="shared" ref="AN20:AN83" si="80">IMABS(AM20)</f>
        <v>1.0019106043571793</v>
      </c>
      <c r="AO20">
        <f t="shared" ref="AO20:AO83" si="81">IMARGUMENT(AM20)</f>
        <v>6.1766775876217157E-2</v>
      </c>
      <c r="AP20" s="42" t="str">
        <f t="shared" ref="AP20:AP83" si="82">IMPRODUCT(AF20,IMDIV(AM20,IMPRODUCT(AG20,AJ20)))</f>
        <v>-5.01962997620652+93.6453073796115i</v>
      </c>
      <c r="AQ20">
        <f t="shared" ref="AQ20:AQ83" si="83">20*LOG(IMABS(AP20))</f>
        <v>39.442180805301142</v>
      </c>
      <c r="AR20" s="44">
        <f t="shared" ref="AR20:AR83" si="84">(180/PI())*IMARGUMENT(AP20)</f>
        <v>93.0682651722896</v>
      </c>
      <c r="AS20" s="42" t="str">
        <f t="shared" ref="AS20:AS83" si="85">IMPRODUCT(AC20,AP20)</f>
        <v>23195.8500400387+18444.7338653023i</v>
      </c>
      <c r="AT20" s="20">
        <f t="shared" ref="AT20:AT83" si="86">20*LOG(IMABS(AS20))</f>
        <v>89.436209605095684</v>
      </c>
      <c r="AU20" s="44">
        <f t="shared" ref="AU20:AU83" si="87">(180/PI())*IMARGUMENT(AS20)</f>
        <v>38.490803047236916</v>
      </c>
    </row>
    <row r="21" spans="1:47" x14ac:dyDescent="0.3">
      <c r="N21" s="8">
        <v>3</v>
      </c>
      <c r="O21" s="35">
        <f t="shared" si="64"/>
        <v>10.715193052376069</v>
      </c>
      <c r="P21" s="34" t="str">
        <f t="shared" si="55"/>
        <v>545.10556621881</v>
      </c>
      <c r="Q21" s="4" t="str">
        <f t="shared" si="56"/>
        <v>1+1.43825969235056i</v>
      </c>
      <c r="R21" s="4">
        <f t="shared" si="65"/>
        <v>1.7517394048888457</v>
      </c>
      <c r="S21" s="4">
        <f t="shared" si="66"/>
        <v>0.96324198928048876</v>
      </c>
      <c r="T21" s="4" t="str">
        <f t="shared" si="57"/>
        <v>1+0.0000336627717751411i</v>
      </c>
      <c r="U21" s="4">
        <f t="shared" si="67"/>
        <v>1.000000000566591</v>
      </c>
      <c r="V21" s="4">
        <f t="shared" si="68"/>
        <v>3.3662771762425746E-5</v>
      </c>
      <c r="W21" t="str">
        <f t="shared" si="58"/>
        <v>1-0.0000349688873200164i</v>
      </c>
      <c r="X21" s="4">
        <f t="shared" si="69"/>
        <v>1.0000000006114116</v>
      </c>
      <c r="Y21" s="4">
        <f t="shared" si="70"/>
        <v>-3.4968887305762815E-5</v>
      </c>
      <c r="Z21" t="str">
        <f t="shared" si="59"/>
        <v>0.999999992651817+0.000151430586951984i</v>
      </c>
      <c r="AA21" s="4">
        <f t="shared" si="71"/>
        <v>1.0000000041174284</v>
      </c>
      <c r="AB21" s="4">
        <f t="shared" si="72"/>
        <v>1.5143058690722749E-4</v>
      </c>
      <c r="AC21" s="48" t="str">
        <f t="shared" si="73"/>
        <v>177.601323329734-255.52008227938i</v>
      </c>
      <c r="AD21" s="20">
        <f t="shared" si="74"/>
        <v>49.86022232113973</v>
      </c>
      <c r="AE21" s="44">
        <f t="shared" si="75"/>
        <v>-55.19845180398498</v>
      </c>
      <c r="AF21" t="str">
        <f t="shared" si="60"/>
        <v>-0.0000333790427773504</v>
      </c>
      <c r="AG21" t="str">
        <f t="shared" si="61"/>
        <v>3.64904446042529E-07i</v>
      </c>
      <c r="AH21">
        <f t="shared" si="76"/>
        <v>3.6490444604252902E-7</v>
      </c>
      <c r="AI21">
        <f t="shared" si="77"/>
        <v>1.5707963267948966</v>
      </c>
      <c r="AJ21" t="str">
        <f t="shared" si="62"/>
        <v>1+0.00840699776288393i</v>
      </c>
      <c r="AK21">
        <f t="shared" si="78"/>
        <v>1.0000353381812992</v>
      </c>
      <c r="AL21">
        <f t="shared" si="79"/>
        <v>8.4067997091090436E-3</v>
      </c>
      <c r="AM21" t="str">
        <f t="shared" si="63"/>
        <v>1+0.0632860109372653i</v>
      </c>
      <c r="AN21">
        <f t="shared" si="80"/>
        <v>1.0020005584730738</v>
      </c>
      <c r="AO21">
        <f t="shared" si="81"/>
        <v>6.3201724053401201E-2</v>
      </c>
      <c r="AP21" s="42" t="str">
        <f t="shared" si="82"/>
        <v>-5.01961400980911+91.5155791186538i</v>
      </c>
      <c r="AQ21">
        <f t="shared" si="83"/>
        <v>39.2429467978248</v>
      </c>
      <c r="AR21" s="44">
        <f t="shared" si="84"/>
        <v>93.139517903666587</v>
      </c>
      <c r="AS21" s="42" t="str">
        <f t="shared" si="85"/>
        <v>22492.578215497+17535.900141557i</v>
      </c>
      <c r="AT21" s="20">
        <f t="shared" si="86"/>
        <v>89.103169118964516</v>
      </c>
      <c r="AU21" s="44">
        <f t="shared" si="87"/>
        <v>37.941066099681493</v>
      </c>
    </row>
    <row r="22" spans="1:47" x14ac:dyDescent="0.3">
      <c r="N22" s="8">
        <v>4</v>
      </c>
      <c r="O22" s="35">
        <f t="shared" si="64"/>
        <v>10.964781961431854</v>
      </c>
      <c r="P22" s="34" t="str">
        <f t="shared" si="55"/>
        <v>545.10556621881</v>
      </c>
      <c r="Q22" s="4" t="str">
        <f t="shared" si="56"/>
        <v>1+1.4717610642622i</v>
      </c>
      <c r="R22" s="4">
        <f t="shared" si="65"/>
        <v>1.7793483723763046</v>
      </c>
      <c r="S22" s="4">
        <f t="shared" si="66"/>
        <v>0.97399030635108386</v>
      </c>
      <c r="T22" s="4" t="str">
        <f t="shared" si="57"/>
        <v>1+0.0000344468784582482i</v>
      </c>
      <c r="U22" s="4">
        <f t="shared" si="67"/>
        <v>1.0000000005932936</v>
      </c>
      <c r="V22" s="4">
        <f t="shared" si="68"/>
        <v>3.4446878444623461E-5</v>
      </c>
      <c r="W22" t="str">
        <f t="shared" si="58"/>
        <v>1-0.0000357834173424281i</v>
      </c>
      <c r="X22" s="4">
        <f t="shared" si="69"/>
        <v>1.0000000006402263</v>
      </c>
      <c r="Y22" s="4">
        <f t="shared" si="70"/>
        <v>-3.5783417327155105E-5</v>
      </c>
      <c r="Z22" t="str">
        <f t="shared" si="59"/>
        <v>0.999999992305508+0.000154957858444927i</v>
      </c>
      <c r="AA22" s="4">
        <f t="shared" si="71"/>
        <v>1.000000004311477</v>
      </c>
      <c r="AB22" s="4">
        <f t="shared" si="72"/>
        <v>1.549578583969695E-4</v>
      </c>
      <c r="AC22" s="48" t="str">
        <f t="shared" si="73"/>
        <v>172.130855773025-253.420688430187i</v>
      </c>
      <c r="AD22" s="20">
        <f t="shared" si="74"/>
        <v>49.724392600175726</v>
      </c>
      <c r="AE22" s="44">
        <f t="shared" si="75"/>
        <v>-55.814488849896833</v>
      </c>
      <c r="AF22" t="str">
        <f t="shared" si="60"/>
        <v>-0.0000333790427773504</v>
      </c>
      <c r="AG22" t="str">
        <f t="shared" si="61"/>
        <v>3.7340416248741E-07i</v>
      </c>
      <c r="AH22">
        <f t="shared" si="76"/>
        <v>3.7340416248740997E-7</v>
      </c>
      <c r="AI22">
        <f t="shared" si="77"/>
        <v>1.5707963267948966</v>
      </c>
      <c r="AJ22" t="str">
        <f t="shared" si="62"/>
        <v>1+0.0086028218968791i</v>
      </c>
      <c r="AK22">
        <f t="shared" si="78"/>
        <v>1.000037003587662</v>
      </c>
      <c r="AL22">
        <f t="shared" si="79"/>
        <v>8.6026096788599394E-3</v>
      </c>
      <c r="AM22" t="str">
        <f t="shared" si="63"/>
        <v>1+0.0647601315015068i</v>
      </c>
      <c r="AN22">
        <f t="shared" si="80"/>
        <v>1.0020947433412135</v>
      </c>
      <c r="AO22">
        <f t="shared" si="81"/>
        <v>6.4669826671548233E-2</v>
      </c>
      <c r="AP22" s="42" t="str">
        <f t="shared" si="82"/>
        <v>-5.01959729104748+89.4343736164423i</v>
      </c>
      <c r="AQ22">
        <f t="shared" si="83"/>
        <v>39.043748740465105</v>
      </c>
      <c r="AR22" s="44">
        <f t="shared" si="84"/>
        <v>93.2124149027252</v>
      </c>
      <c r="AS22" s="42" t="str">
        <f t="shared" si="85"/>
        <v>21800.4929538574+16666.4850672622i</v>
      </c>
      <c r="AT22" s="20">
        <f t="shared" si="86"/>
        <v>88.768141340640824</v>
      </c>
      <c r="AU22" s="44">
        <f t="shared" si="87"/>
        <v>37.39792605282836</v>
      </c>
    </row>
    <row r="23" spans="1:47" x14ac:dyDescent="0.3">
      <c r="N23" s="8">
        <v>5</v>
      </c>
      <c r="O23" s="35">
        <f t="shared" si="64"/>
        <v>11.220184543019636</v>
      </c>
      <c r="P23" s="34" t="str">
        <f t="shared" si="55"/>
        <v>545.10556621881</v>
      </c>
      <c r="Q23" s="4" t="str">
        <f t="shared" si="56"/>
        <v>1+1.50604278337117i</v>
      </c>
      <c r="R23" s="4">
        <f t="shared" si="65"/>
        <v>1.8078066448999408</v>
      </c>
      <c r="S23" s="4">
        <f t="shared" si="66"/>
        <v>0.98464786791029224</v>
      </c>
      <c r="T23" s="4" t="str">
        <f t="shared" si="57"/>
        <v>1+0.0000352492493322723i</v>
      </c>
      <c r="U23" s="4">
        <f t="shared" si="67"/>
        <v>1.0000000006212548</v>
      </c>
      <c r="V23" s="4">
        <f t="shared" si="68"/>
        <v>3.5249249317673122E-5</v>
      </c>
      <c r="W23" t="str">
        <f t="shared" si="58"/>
        <v>1-0.0000366169202063643i</v>
      </c>
      <c r="X23" s="4">
        <f t="shared" si="69"/>
        <v>1.0000000006703993</v>
      </c>
      <c r="Y23" s="4">
        <f t="shared" si="70"/>
        <v>-3.661692018999899E-5</v>
      </c>
      <c r="Z23" t="str">
        <f t="shared" si="59"/>
        <v>0.999999991942877+0.000158567290645527i</v>
      </c>
      <c r="AA23" s="4">
        <f t="shared" si="71"/>
        <v>1.00000000451467</v>
      </c>
      <c r="AB23" s="4">
        <f t="shared" si="72"/>
        <v>1.5856729059413974E-4</v>
      </c>
      <c r="AC23" s="48" t="str">
        <f t="shared" si="73"/>
        <v>166.752376630385-251.223394871257i</v>
      </c>
      <c r="AD23" s="20">
        <f t="shared" si="74"/>
        <v>49.58657273929628</v>
      </c>
      <c r="AE23" s="44">
        <f t="shared" si="75"/>
        <v>-56.425330736103184</v>
      </c>
      <c r="AF23" t="str">
        <f t="shared" si="60"/>
        <v>-0.0000333790427773504</v>
      </c>
      <c r="AG23" t="str">
        <f t="shared" si="61"/>
        <v>3.82101862761831E-07i</v>
      </c>
      <c r="AH23">
        <f t="shared" si="76"/>
        <v>3.8210186276183101E-7</v>
      </c>
      <c r="AI23">
        <f t="shared" si="77"/>
        <v>1.5707963267948966</v>
      </c>
      <c r="AJ23" t="str">
        <f t="shared" si="62"/>
        <v>1+0.00880320736091581i</v>
      </c>
      <c r="AK23">
        <f t="shared" si="78"/>
        <v>1.000038747479236</v>
      </c>
      <c r="AL23">
        <f t="shared" si="79"/>
        <v>8.8029799656872097E-3</v>
      </c>
      <c r="AM23" t="str">
        <f t="shared" si="63"/>
        <v>1+0.066268588744672i</v>
      </c>
      <c r="AN23">
        <f t="shared" si="80"/>
        <v>1.0021933575185031</v>
      </c>
      <c r="AO23">
        <f t="shared" si="81"/>
        <v>6.6171836809919296E-2</v>
      </c>
      <c r="AP23" s="42" t="str">
        <f t="shared" si="82"/>
        <v>-5.01957978447425+87.4005873893667i</v>
      </c>
      <c r="AQ23">
        <f t="shared" si="83"/>
        <v>38.844588313089133</v>
      </c>
      <c r="AR23" s="44">
        <f t="shared" si="84"/>
        <v>93.28699337266471</v>
      </c>
      <c r="AS23" s="42" t="str">
        <f t="shared" si="85"/>
        <v>21120.0454189518+15835.2915403513i</v>
      </c>
      <c r="AT23" s="20">
        <f t="shared" si="86"/>
        <v>88.43116105238542</v>
      </c>
      <c r="AU23" s="44">
        <f t="shared" si="87"/>
        <v>36.861662636561469</v>
      </c>
    </row>
    <row r="24" spans="1:47" x14ac:dyDescent="0.3">
      <c r="N24" s="8">
        <v>6</v>
      </c>
      <c r="O24" s="35">
        <f t="shared" si="64"/>
        <v>11.481536214968834</v>
      </c>
      <c r="P24" s="34" t="str">
        <f t="shared" si="55"/>
        <v>545.10556621881</v>
      </c>
      <c r="Q24" s="4" t="str">
        <f t="shared" si="56"/>
        <v>1+1.54112302629872i</v>
      </c>
      <c r="R24" s="4">
        <f t="shared" si="65"/>
        <v>1.837133686531311</v>
      </c>
      <c r="S24" s="4">
        <f t="shared" si="66"/>
        <v>0.9952106404808565</v>
      </c>
      <c r="T24" s="4" t="str">
        <f t="shared" si="57"/>
        <v>1+0.0000360703098248712i</v>
      </c>
      <c r="U24" s="4">
        <f t="shared" si="67"/>
        <v>1.0000000006505336</v>
      </c>
      <c r="V24" s="4">
        <f t="shared" si="68"/>
        <v>3.6070309809227899E-5</v>
      </c>
      <c r="W24" t="str">
        <f t="shared" si="58"/>
        <v>1-0.0000374698378460762i</v>
      </c>
      <c r="X24" s="4">
        <f t="shared" si="69"/>
        <v>1.0000000007019942</v>
      </c>
      <c r="Y24" s="4">
        <f t="shared" si="70"/>
        <v>-3.7469837828540456E-5</v>
      </c>
      <c r="Z24" t="str">
        <f t="shared" si="59"/>
        <v>0.999999991563157+0.000162260797322513i</v>
      </c>
      <c r="AA24" s="4">
        <f t="shared" si="71"/>
        <v>1.0000000047274402</v>
      </c>
      <c r="AB24" s="4">
        <f t="shared" si="72"/>
        <v>1.6226079726745047E-4</v>
      </c>
      <c r="AC24" s="48" t="str">
        <f t="shared" si="73"/>
        <v>161.469141513635-248.933024176933i</v>
      </c>
      <c r="AD24" s="20">
        <f t="shared" si="74"/>
        <v>49.446797092308891</v>
      </c>
      <c r="AE24" s="44">
        <f t="shared" si="75"/>
        <v>-57.030746471977253</v>
      </c>
      <c r="AF24" t="str">
        <f t="shared" si="60"/>
        <v>-0.0000333790427773504</v>
      </c>
      <c r="AG24" t="str">
        <f t="shared" si="61"/>
        <v>3.91002158501604E-07i</v>
      </c>
      <c r="AH24">
        <f t="shared" si="76"/>
        <v>3.91002158501604E-7</v>
      </c>
      <c r="AI24">
        <f t="shared" si="77"/>
        <v>1.5707963267948966</v>
      </c>
      <c r="AJ24" t="str">
        <f t="shared" si="62"/>
        <v>1+0.0090082604020195i</v>
      </c>
      <c r="AK24">
        <f t="shared" si="78"/>
        <v>1.0000405735546287</v>
      </c>
      <c r="AL24">
        <f t="shared" si="79"/>
        <v>9.0080167441760478E-3</v>
      </c>
      <c r="AM24" t="str">
        <f t="shared" si="63"/>
        <v>1+0.0678121824707581i</v>
      </c>
      <c r="AN24">
        <f t="shared" si="80"/>
        <v>1.0022966088396426</v>
      </c>
      <c r="AO24">
        <f t="shared" si="81"/>
        <v>6.7708523730210371E-2</v>
      </c>
      <c r="AP24" s="42" t="str">
        <f t="shared" si="82"/>
        <v>-5.01956145297249+85.4131420960796i</v>
      </c>
      <c r="AQ24">
        <f t="shared" si="83"/>
        <v>38.645467273352565</v>
      </c>
      <c r="AR24" s="44">
        <f t="shared" si="84"/>
        <v>93.36329130557796</v>
      </c>
      <c r="AS24" s="42" t="str">
        <f t="shared" si="85"/>
        <v>20451.6474878448+15041.1213407665i</v>
      </c>
      <c r="AT24" s="20">
        <f t="shared" si="86"/>
        <v>88.092264365661464</v>
      </c>
      <c r="AU24" s="44">
        <f t="shared" si="87"/>
        <v>36.332544833600721</v>
      </c>
    </row>
    <row r="25" spans="1:47" x14ac:dyDescent="0.3">
      <c r="A25" t="s">
        <v>32</v>
      </c>
      <c r="B25" s="30">
        <f>VOUT1</f>
        <v>150</v>
      </c>
      <c r="C25" t="s">
        <v>11</v>
      </c>
      <c r="E25" t="s">
        <v>160</v>
      </c>
      <c r="N25" s="8">
        <v>7</v>
      </c>
      <c r="O25" s="35">
        <f t="shared" si="64"/>
        <v>11.748975549395301</v>
      </c>
      <c r="P25" s="34" t="str">
        <f t="shared" si="55"/>
        <v>545.10556621881</v>
      </c>
      <c r="Q25" s="4" t="str">
        <f t="shared" si="56"/>
        <v>1+1.57702039305399i</v>
      </c>
      <c r="R25" s="4">
        <f t="shared" si="65"/>
        <v>1.8673492764097888</v>
      </c>
      <c r="S25" s="4">
        <f t="shared" si="66"/>
        <v>1.0056747963380617</v>
      </c>
      <c r="T25" s="4" t="str">
        <f t="shared" si="57"/>
        <v>1+0.0000369104952731864i</v>
      </c>
      <c r="U25" s="4">
        <f t="shared" si="67"/>
        <v>1.0000000006811922</v>
      </c>
      <c r="V25" s="4">
        <f t="shared" si="68"/>
        <v>3.6910495256424301E-5</v>
      </c>
      <c r="W25" t="str">
        <f t="shared" si="58"/>
        <v>1-0.0000383426224897859i</v>
      </c>
      <c r="X25" s="4">
        <f t="shared" si="69"/>
        <v>1.0000000007350782</v>
      </c>
      <c r="Y25" s="4">
        <f t="shared" si="70"/>
        <v>-3.8342622470996012E-5</v>
      </c>
      <c r="Z25" t="str">
        <f t="shared" si="59"/>
        <v>0.999999991165541+0.000166040336822015i</v>
      </c>
      <c r="AA25" s="4">
        <f t="shared" si="71"/>
        <v>1.0000000049502378</v>
      </c>
      <c r="AB25" s="4">
        <f t="shared" si="72"/>
        <v>1.6604033676301442E-4</v>
      </c>
      <c r="AC25" s="48" t="str">
        <f t="shared" si="73"/>
        <v>156.28409353219-246.554492781774i</v>
      </c>
      <c r="AD25" s="20">
        <f t="shared" si="74"/>
        <v>49.305101150090344</v>
      </c>
      <c r="AE25" s="44">
        <f t="shared" si="75"/>
        <v>-57.630516858220105</v>
      </c>
      <c r="AF25" t="str">
        <f t="shared" si="60"/>
        <v>-0.0000333790427773504</v>
      </c>
      <c r="AG25" t="str">
        <f t="shared" si="61"/>
        <v>4.0010976876134E-07i</v>
      </c>
      <c r="AH25">
        <f t="shared" si="76"/>
        <v>4.0010976876134001E-7</v>
      </c>
      <c r="AI25">
        <f t="shared" si="77"/>
        <v>1.5707963267948966</v>
      </c>
      <c r="AJ25" t="str">
        <f t="shared" si="62"/>
        <v>1+0.00921808974202677i</v>
      </c>
      <c r="AK25">
        <f t="shared" si="78"/>
        <v>1.0000424856867292</v>
      </c>
      <c r="AL25">
        <f t="shared" si="79"/>
        <v>9.2178286585426952E-3</v>
      </c>
      <c r="AM25" t="str">
        <f t="shared" si="63"/>
        <v>1+0.0693917311135906i</v>
      </c>
      <c r="AN25">
        <f t="shared" si="80"/>
        <v>1.0024047148467234</v>
      </c>
      <c r="AO25">
        <f t="shared" si="81"/>
        <v>6.9280673157890174E-2</v>
      </c>
      <c r="AP25" s="42" t="str">
        <f t="shared" si="82"/>
        <v>-5.01954225767722+83.4709839657405i</v>
      </c>
      <c r="AQ25">
        <f t="shared" si="83"/>
        <v>38.446387460233829</v>
      </c>
      <c r="AR25" s="44">
        <f t="shared" si="84"/>
        <v>93.441347495363161</v>
      </c>
      <c r="AS25" s="42" t="str">
        <f t="shared" si="85"/>
        <v>19795.6715019811+14282.777760664i</v>
      </c>
      <c r="AT25" s="20">
        <f t="shared" si="86"/>
        <v>87.751488610324174</v>
      </c>
      <c r="AU25" s="44">
        <f t="shared" si="87"/>
        <v>35.810830637143077</v>
      </c>
    </row>
    <row r="26" spans="1:47" x14ac:dyDescent="0.3">
      <c r="A26" t="s">
        <v>33</v>
      </c>
      <c r="B26" s="30">
        <f>IOUT1</f>
        <v>0.25</v>
      </c>
      <c r="C26" t="s">
        <v>12</v>
      </c>
      <c r="E26" t="s">
        <v>34</v>
      </c>
      <c r="N26" s="8">
        <v>8</v>
      </c>
      <c r="O26" s="35">
        <f t="shared" si="64"/>
        <v>12.022644346174133</v>
      </c>
      <c r="P26" s="34" t="str">
        <f t="shared" si="55"/>
        <v>545.10556621881</v>
      </c>
      <c r="Q26" s="4" t="str">
        <f t="shared" si="56"/>
        <v>1+1.61375391689599i</v>
      </c>
      <c r="R26" s="4">
        <f t="shared" si="65"/>
        <v>1.8984735195143361</v>
      </c>
      <c r="S26" s="4">
        <f t="shared" si="66"/>
        <v>1.0160367169899929</v>
      </c>
      <c r="T26" s="4" t="str">
        <f t="shared" si="57"/>
        <v>1+0.0000377702511546635i</v>
      </c>
      <c r="U26" s="4">
        <f t="shared" si="67"/>
        <v>1.0000000007132959</v>
      </c>
      <c r="V26" s="4">
        <f t="shared" si="68"/>
        <v>3.7770251136702586E-5</v>
      </c>
      <c r="W26" t="str">
        <f t="shared" si="58"/>
        <v>1-0.0000392357368994643i</v>
      </c>
      <c r="X26" s="4">
        <f t="shared" si="69"/>
        <v>1.0000000007697214</v>
      </c>
      <c r="Y26" s="4">
        <f t="shared" si="70"/>
        <v>-3.9235736879330571E-5</v>
      </c>
      <c r="Z26" t="str">
        <f t="shared" si="59"/>
        <v>0.999999990749185+0.000169907913105904i</v>
      </c>
      <c r="AA26" s="4">
        <f t="shared" si="71"/>
        <v>1.0000000051835345</v>
      </c>
      <c r="AB26" s="4">
        <f t="shared" si="72"/>
        <v>1.6990791304268384E-4</v>
      </c>
      <c r="AC26" s="48" t="str">
        <f t="shared" si="73"/>
        <v>151.199863247068-244.092788141872i</v>
      </c>
      <c r="AD26" s="20">
        <f t="shared" si="74"/>
        <v>49.161521425875335</v>
      </c>
      <c r="AE26" s="44">
        <f t="shared" si="75"/>
        <v>-58.224434686325999</v>
      </c>
      <c r="AF26" t="str">
        <f t="shared" si="60"/>
        <v>-0.0000333790427773504</v>
      </c>
      <c r="AG26" t="str">
        <f t="shared" si="61"/>
        <v>4.09429522516553E-07i</v>
      </c>
      <c r="AH26">
        <f t="shared" si="76"/>
        <v>4.0942952251655298E-7</v>
      </c>
      <c r="AI26">
        <f t="shared" si="77"/>
        <v>1.5707963267948966</v>
      </c>
      <c r="AJ26" t="str">
        <f t="shared" si="62"/>
        <v>1+0.00943280663523109i</v>
      </c>
      <c r="AK26">
        <f t="shared" si="78"/>
        <v>1.0000444879309207</v>
      </c>
      <c r="AL26">
        <f t="shared" si="79"/>
        <v>9.4325268799097736E-3</v>
      </c>
      <c r="AM26" t="str">
        <f t="shared" si="63"/>
        <v>1+0.0710080721707675i</v>
      </c>
      <c r="AN26">
        <f t="shared" si="80"/>
        <v>1.0025179032383456</v>
      </c>
      <c r="AO26">
        <f t="shared" si="81"/>
        <v>7.0889087563447001E-2</v>
      </c>
      <c r="AP26" s="42" t="str">
        <f t="shared" si="82"/>
        <v>-5.01952215789286+81.5730832392877i</v>
      </c>
      <c r="AQ26">
        <f t="shared" si="83"/>
        <v>38.247350797722277</v>
      </c>
      <c r="AR26" s="44">
        <f t="shared" si="84"/>
        <v>93.521201550556299</v>
      </c>
      <c r="AS26" s="42" t="str">
        <f t="shared" si="85"/>
        <v>19152.4502613677+13559.068189082i</v>
      </c>
      <c r="AT26" s="20">
        <f t="shared" si="86"/>
        <v>87.408872223597612</v>
      </c>
      <c r="AU26" s="44">
        <f t="shared" si="87"/>
        <v>35.296766864230406</v>
      </c>
    </row>
    <row r="27" spans="1:47" x14ac:dyDescent="0.3">
      <c r="N27" s="8">
        <v>9</v>
      </c>
      <c r="O27" s="35">
        <f t="shared" si="64"/>
        <v>12.302687708123818</v>
      </c>
      <c r="P27" s="34" t="str">
        <f t="shared" si="55"/>
        <v>545.10556621881</v>
      </c>
      <c r="Q27" s="4" t="str">
        <f t="shared" si="56"/>
        <v>1+1.65134307442528i</v>
      </c>
      <c r="R27" s="4">
        <f t="shared" si="65"/>
        <v>1.9305268579981829</v>
      </c>
      <c r="S27" s="4">
        <f t="shared" si="66"/>
        <v>1.0262929957049041</v>
      </c>
      <c r="T27" s="4" t="str">
        <f t="shared" si="57"/>
        <v>1+0.0000386500333232513i</v>
      </c>
      <c r="U27" s="4">
        <f t="shared" si="67"/>
        <v>1.0000000007469125</v>
      </c>
      <c r="V27" s="4">
        <f t="shared" si="68"/>
        <v>3.8650033304005838E-5</v>
      </c>
      <c r="W27" t="str">
        <f t="shared" si="58"/>
        <v>1-0.0000401496546161933i</v>
      </c>
      <c r="X27" s="4">
        <f t="shared" si="69"/>
        <v>1.0000000008059973</v>
      </c>
      <c r="Y27" s="4">
        <f t="shared" si="70"/>
        <v>-4.0149654594619623E-5</v>
      </c>
      <c r="Z27" t="str">
        <f t="shared" si="59"/>
        <v>0.999999990313208+0.000173865576814319i</v>
      </c>
      <c r="AA27" s="4">
        <f t="shared" si="71"/>
        <v>1.0000000054278273</v>
      </c>
      <c r="AB27" s="4">
        <f t="shared" si="72"/>
        <v>1.7386557674657735E-4</v>
      </c>
      <c r="AC27" s="48" t="str">
        <f t="shared" si="73"/>
        <v>146.218770450217-241.552946478657i</v>
      </c>
      <c r="AD27" s="20">
        <f t="shared" si="74"/>
        <v>49.016095340866542</v>
      </c>
      <c r="AE27" s="44">
        <f t="shared" si="75"/>
        <v>-58.812304883449997</v>
      </c>
      <c r="AF27" t="str">
        <f t="shared" si="60"/>
        <v>-0.0000333790427773504</v>
      </c>
      <c r="AG27" t="str">
        <f t="shared" si="61"/>
        <v>4.18966361224043E-07i</v>
      </c>
      <c r="AH27">
        <f t="shared" si="76"/>
        <v>4.18966361224043E-7</v>
      </c>
      <c r="AI27">
        <f t="shared" si="77"/>
        <v>1.5707963267948966</v>
      </c>
      <c r="AJ27" t="str">
        <f t="shared" si="62"/>
        <v>1+0.00965252492737138i</v>
      </c>
      <c r="AK27">
        <f t="shared" si="78"/>
        <v>1.0000465845336772</v>
      </c>
      <c r="AL27">
        <f t="shared" si="79"/>
        <v>9.6522251648980036E-3</v>
      </c>
      <c r="AM27" t="str">
        <f t="shared" si="63"/>
        <v>1+0.0726620626477125i</v>
      </c>
      <c r="AN27">
        <f t="shared" si="80"/>
        <v>1.0026364123390992</v>
      </c>
      <c r="AO27">
        <f t="shared" si="81"/>
        <v>7.2534586443091381E-2</v>
      </c>
      <c r="AP27" s="42" t="str">
        <f t="shared" si="82"/>
        <v>-5.01950111100741+79.718433623442i</v>
      </c>
      <c r="AQ27">
        <f t="shared" si="83"/>
        <v>38.048359298666604</v>
      </c>
      <c r="AR27" s="44">
        <f t="shared" si="84"/>
        <v>93.602893907057364</v>
      </c>
      <c r="AS27" s="42" t="str">
        <f t="shared" si="85"/>
        <v>18522.2772496807+12868.8066298537i</v>
      </c>
      <c r="AT27" s="20">
        <f t="shared" si="86"/>
        <v>87.064454639533167</v>
      </c>
      <c r="AU27" s="44">
        <f t="shared" si="87"/>
        <v>34.790589023607374</v>
      </c>
    </row>
    <row r="28" spans="1:47" x14ac:dyDescent="0.3">
      <c r="A28" t="s">
        <v>161</v>
      </c>
      <c r="N28" s="8">
        <v>10</v>
      </c>
      <c r="O28" s="35">
        <f t="shared" si="64"/>
        <v>12.58925411794168</v>
      </c>
      <c r="P28" s="34" t="str">
        <f t="shared" si="55"/>
        <v>545.10556621881</v>
      </c>
      <c r="Q28" s="4" t="str">
        <f t="shared" si="56"/>
        <v>1+1.68980779591075i</v>
      </c>
      <c r="R28" s="4">
        <f t="shared" si="65"/>
        <v>1.9635300830699658</v>
      </c>
      <c r="S28" s="4">
        <f t="shared" si="66"/>
        <v>1.0364404391135473</v>
      </c>
      <c r="T28" s="4" t="str">
        <f t="shared" si="57"/>
        <v>1+0.0000395503082511007i</v>
      </c>
      <c r="U28" s="4">
        <f t="shared" si="67"/>
        <v>1.0000000007821135</v>
      </c>
      <c r="V28" s="4">
        <f t="shared" si="68"/>
        <v>3.9550308230478819E-5</v>
      </c>
      <c r="W28" t="str">
        <f t="shared" si="58"/>
        <v>1-0.0000410848602112432i</v>
      </c>
      <c r="X28" s="4">
        <f t="shared" si="69"/>
        <v>1.0000000008439829</v>
      </c>
      <c r="Y28" s="4">
        <f t="shared" si="70"/>
        <v>-4.1084860188126588E-5</v>
      </c>
      <c r="Z28" t="str">
        <f t="shared" si="59"/>
        <v>0.999999989856684+0.000177915426352944i</v>
      </c>
      <c r="AA28" s="4">
        <f t="shared" si="71"/>
        <v>1.0000000056836333</v>
      </c>
      <c r="AB28" s="4">
        <f t="shared" si="72"/>
        <v>1.779154262803574E-4</v>
      </c>
      <c r="AC28" s="48" t="str">
        <f t="shared" si="73"/>
        <v>141.342827659207-238.940031255671i</v>
      </c>
      <c r="AD28" s="20">
        <f t="shared" si="74"/>
        <v>48.86886111081526</v>
      </c>
      <c r="AE28" s="44">
        <f t="shared" si="75"/>
        <v>-59.393944604278779</v>
      </c>
      <c r="AF28" t="str">
        <f t="shared" si="60"/>
        <v>-0.0000333790427773504</v>
      </c>
      <c r="AG28" t="str">
        <f t="shared" si="61"/>
        <v>4.28725341441931E-07i</v>
      </c>
      <c r="AH28">
        <f t="shared" si="76"/>
        <v>4.2872534144193101E-7</v>
      </c>
      <c r="AI28">
        <f t="shared" si="77"/>
        <v>1.5707963267948966</v>
      </c>
      <c r="AJ28" t="str">
        <f t="shared" si="62"/>
        <v>1+0.00987736111599443i</v>
      </c>
      <c r="AK28">
        <f t="shared" si="78"/>
        <v>1.0000487799415665</v>
      </c>
      <c r="AL28">
        <f t="shared" si="79"/>
        <v>9.8770399155633948E-3</v>
      </c>
      <c r="AM28" t="str">
        <f t="shared" si="63"/>
        <v>1+0.0743545795120694i</v>
      </c>
      <c r="AN28">
        <f t="shared" si="80"/>
        <v>1.0027604915902983</v>
      </c>
      <c r="AO28">
        <f t="shared" si="81"/>
        <v>7.4218006598417083E-2</v>
      </c>
      <c r="AP28" s="42" t="str">
        <f t="shared" si="82"/>
        <v>-5.01947907240195+77.9060517571494i</v>
      </c>
      <c r="AQ28">
        <f t="shared" si="83"/>
        <v>37.849415068789348</v>
      </c>
      <c r="AR28" s="44">
        <f t="shared" si="84"/>
        <v>93.68646584071935</v>
      </c>
      <c r="AS28" s="42" t="str">
        <f t="shared" si="85"/>
        <v>17905.4070763897+12210.8161335669i</v>
      </c>
      <c r="AT28" s="20">
        <f t="shared" si="86"/>
        <v>86.718276179604601</v>
      </c>
      <c r="AU28" s="44">
        <f t="shared" si="87"/>
        <v>34.292521236440479</v>
      </c>
    </row>
    <row r="29" spans="1:47" x14ac:dyDescent="0.3">
      <c r="A29" t="s">
        <v>162</v>
      </c>
      <c r="B29" s="30">
        <f>Lm</f>
        <v>1.4E-5</v>
      </c>
      <c r="C29" t="s">
        <v>75</v>
      </c>
      <c r="E29" t="s">
        <v>163</v>
      </c>
      <c r="N29" s="8">
        <v>11</v>
      </c>
      <c r="O29" s="35">
        <f t="shared" si="64"/>
        <v>12.882495516931346</v>
      </c>
      <c r="P29" s="34" t="str">
        <f t="shared" si="55"/>
        <v>545.10556621881</v>
      </c>
      <c r="Q29" s="4" t="str">
        <f t="shared" si="56"/>
        <v>1+1.72916847585686i</v>
      </c>
      <c r="R29" s="4">
        <f t="shared" si="65"/>
        <v>1.9975043474038139</v>
      </c>
      <c r="S29" s="4">
        <f t="shared" si="66"/>
        <v>1.0464760679202725</v>
      </c>
      <c r="T29" s="4" t="str">
        <f t="shared" si="57"/>
        <v>1+0.0000404715532758949i</v>
      </c>
      <c r="U29" s="4">
        <f t="shared" si="67"/>
        <v>1.0000000008189733</v>
      </c>
      <c r="V29" s="4">
        <f t="shared" si="68"/>
        <v>4.0471553253798154E-5</v>
      </c>
      <c r="W29" t="str">
        <f t="shared" si="58"/>
        <v>1-0.0000420418495429996i</v>
      </c>
      <c r="X29" s="4">
        <f t="shared" si="69"/>
        <v>1.0000000008837584</v>
      </c>
      <c r="Y29" s="4">
        <f t="shared" si="70"/>
        <v>-4.2041849518229708E-5</v>
      </c>
      <c r="Z29" t="str">
        <f t="shared" si="59"/>
        <v>0.999999989378644+0.00018205960900561i</v>
      </c>
      <c r="AA29" s="4">
        <f t="shared" si="71"/>
        <v>1.0000000059514946</v>
      </c>
      <c r="AB29" s="4">
        <f t="shared" si="72"/>
        <v>1.8205960892783213E-4</v>
      </c>
      <c r="AC29" s="48" t="str">
        <f t="shared" si="73"/>
        <v>136.573745205676-236.259112521818i</v>
      </c>
      <c r="AD29" s="20">
        <f t="shared" si="74"/>
        <v>48.719857634180912</v>
      </c>
      <c r="AE29" s="44">
        <f t="shared" si="75"/>
        <v>-59.969183271837132</v>
      </c>
      <c r="AF29" t="str">
        <f t="shared" si="60"/>
        <v>-0.0000333790427773504</v>
      </c>
      <c r="AG29" t="str">
        <f t="shared" si="61"/>
        <v>4.38711637510701E-07i</v>
      </c>
      <c r="AH29">
        <f t="shared" si="76"/>
        <v>4.3871163751070099E-7</v>
      </c>
      <c r="AI29">
        <f t="shared" si="77"/>
        <v>1.5707963267948966</v>
      </c>
      <c r="AJ29" t="str">
        <f t="shared" si="62"/>
        <v>1+0.0101074344122235i</v>
      </c>
      <c r="AK29">
        <f t="shared" si="78"/>
        <v>1.0000510788106762</v>
      </c>
      <c r="AL29">
        <f t="shared" si="79"/>
        <v>1.0107090240710213E-2</v>
      </c>
      <c r="AM29" t="str">
        <f t="shared" si="63"/>
        <v>1+0.0760865201586827i</v>
      </c>
      <c r="AN29">
        <f t="shared" si="80"/>
        <v>1.0028904020628864</v>
      </c>
      <c r="AO29">
        <f t="shared" si="81"/>
        <v>7.5940202414487221E-2</v>
      </c>
      <c r="AP29" s="42" t="str">
        <f t="shared" si="82"/>
        <v>-5.01945599535645+76.1349766901858i</v>
      </c>
      <c r="AQ29">
        <f t="shared" si="83"/>
        <v>37.650520310874562</v>
      </c>
      <c r="AR29" s="44">
        <f t="shared" si="84"/>
        <v>93.771959479768725</v>
      </c>
      <c r="AS29" s="42" t="str">
        <f t="shared" si="85"/>
        <v>17302.0561205117+11583.9311265307i</v>
      </c>
      <c r="AT29" s="20">
        <f t="shared" si="86"/>
        <v>86.370377945055466</v>
      </c>
      <c r="AU29" s="44">
        <f t="shared" si="87"/>
        <v>33.802776207931458</v>
      </c>
    </row>
    <row r="30" spans="1:47" x14ac:dyDescent="0.3">
      <c r="N30" s="8">
        <v>12</v>
      </c>
      <c r="O30" s="35">
        <f t="shared" si="64"/>
        <v>13.182567385564075</v>
      </c>
      <c r="P30" s="34" t="str">
        <f t="shared" si="55"/>
        <v>545.10556621881</v>
      </c>
      <c r="Q30" s="4" t="str">
        <f t="shared" si="56"/>
        <v>1+1.76944598381711i</v>
      </c>
      <c r="R30" s="4">
        <f t="shared" si="65"/>
        <v>2.0324711780604665</v>
      </c>
      <c r="S30" s="4">
        <f t="shared" si="66"/>
        <v>1.0563971167620474</v>
      </c>
      <c r="T30" s="4" t="str">
        <f t="shared" si="57"/>
        <v>1+0.0000414142568539405i</v>
      </c>
      <c r="U30" s="4">
        <f t="shared" si="67"/>
        <v>1.0000000008575702</v>
      </c>
      <c r="V30" s="4">
        <f t="shared" si="68"/>
        <v>4.141425683026341E-5</v>
      </c>
      <c r="W30" t="str">
        <f t="shared" si="58"/>
        <v>1-0.0000430211300198733i</v>
      </c>
      <c r="X30" s="4">
        <f t="shared" si="69"/>
        <v>1.0000000009254089</v>
      </c>
      <c r="Y30" s="4">
        <f t="shared" si="70"/>
        <v>-4.3021129993331875E-5</v>
      </c>
      <c r="Z30" t="str">
        <f t="shared" si="59"/>
        <v>0.999999988878075+0.000186300322072815i</v>
      </c>
      <c r="AA30" s="4">
        <f t="shared" si="71"/>
        <v>1.00000000623198</v>
      </c>
      <c r="AB30" s="4">
        <f t="shared" si="72"/>
        <v>1.8630032198947447E-4</v>
      </c>
      <c r="AC30" s="48" t="str">
        <f t="shared" si="73"/>
        <v>131.912937786582-233.515247236936i</v>
      </c>
      <c r="AD30" s="20">
        <f t="shared" si="74"/>
        <v>48.569124382429138</v>
      </c>
      <c r="AE30" s="44">
        <f t="shared" si="75"/>
        <v>-60.53786256947658</v>
      </c>
      <c r="AF30" t="str">
        <f t="shared" si="60"/>
        <v>-0.0000333790427773504</v>
      </c>
      <c r="AG30" t="str">
        <f t="shared" si="61"/>
        <v>4.48930544296715E-07i</v>
      </c>
      <c r="AH30">
        <f t="shared" si="76"/>
        <v>4.48930544296715E-7</v>
      </c>
      <c r="AI30">
        <f t="shared" si="77"/>
        <v>1.5707963267948966</v>
      </c>
      <c r="AJ30" t="str">
        <f t="shared" si="62"/>
        <v>1+0.0103428668039657i</v>
      </c>
      <c r="AK30">
        <f t="shared" si="78"/>
        <v>1.0000534860164854</v>
      </c>
      <c r="AL30">
        <f t="shared" si="79"/>
        <v>1.0342498018610155E-2</v>
      </c>
      <c r="AM30" t="str">
        <f t="shared" si="63"/>
        <v>1+0.0778588028854083i</v>
      </c>
      <c r="AN30">
        <f t="shared" si="80"/>
        <v>1.0030264169934653</v>
      </c>
      <c r="AO30">
        <f t="shared" si="81"/>
        <v>7.7702046135760247E-2</v>
      </c>
      <c r="AP30" s="42" t="str">
        <f t="shared" si="82"/>
        <v>-5.01943183095075+74.4042693736397i</v>
      </c>
      <c r="AQ30">
        <f t="shared" si="83"/>
        <v>37.451677329134441</v>
      </c>
      <c r="AR30" s="44">
        <f t="shared" si="84"/>
        <v>93.859417817021082</v>
      </c>
      <c r="AS30" s="42" t="str">
        <f t="shared" si="85"/>
        <v>16712.4033594289+10986.9996219344i</v>
      </c>
      <c r="AT30" s="20">
        <f t="shared" si="86"/>
        <v>86.020801711563578</v>
      </c>
      <c r="AU30" s="44">
        <f t="shared" si="87"/>
        <v>33.321555247544381</v>
      </c>
    </row>
    <row r="31" spans="1:47" x14ac:dyDescent="0.3">
      <c r="A31" t="s">
        <v>124</v>
      </c>
      <c r="B31" s="30">
        <f>R_cs</f>
        <v>1.4999999999999999E-2</v>
      </c>
      <c r="C31" s="2" t="s">
        <v>35</v>
      </c>
      <c r="E31" t="s">
        <v>164</v>
      </c>
      <c r="N31" s="8">
        <v>13</v>
      </c>
      <c r="O31" s="35">
        <f t="shared" si="64"/>
        <v>13.489628825916535</v>
      </c>
      <c r="P31" s="34" t="str">
        <f t="shared" si="55"/>
        <v>545.10556621881</v>
      </c>
      <c r="Q31" s="4" t="str">
        <f t="shared" si="56"/>
        <v>1+1.81066167545938i</v>
      </c>
      <c r="R31" s="4">
        <f t="shared" si="65"/>
        <v>2.0684524899009329</v>
      </c>
      <c r="S31" s="4">
        <f t="shared" si="66"/>
        <v>1.0662010332589962</v>
      </c>
      <c r="T31" s="4" t="str">
        <f t="shared" si="57"/>
        <v>1+0.0000423789188191525i</v>
      </c>
      <c r="U31" s="4">
        <f t="shared" si="67"/>
        <v>1.0000000008979864</v>
      </c>
      <c r="V31" s="4">
        <f t="shared" si="68"/>
        <v>4.2378918793782043E-5</v>
      </c>
      <c r="W31" t="str">
        <f t="shared" si="58"/>
        <v>1-0.0000440232208693355i</v>
      </c>
      <c r="X31" s="4">
        <f t="shared" si="69"/>
        <v>1.000000000969022</v>
      </c>
      <c r="Y31" s="4">
        <f t="shared" si="70"/>
        <v>-4.4023220840895852E-5</v>
      </c>
      <c r="Z31" t="str">
        <f t="shared" si="59"/>
        <v>0.999999988353914+0.000190639814036759i</v>
      </c>
      <c r="AA31" s="4">
        <f t="shared" si="71"/>
        <v>1.0000000065256835</v>
      </c>
      <c r="AB31" s="4">
        <f t="shared" si="72"/>
        <v>1.9063981394745817E-4</v>
      </c>
      <c r="AC31" s="48" t="str">
        <f t="shared" si="73"/>
        <v>127.361532340574-230.713460677648i</v>
      </c>
      <c r="AD31" s="20">
        <f t="shared" si="74"/>
        <v>48.416701292981024</v>
      </c>
      <c r="AE31" s="44">
        <f t="shared" si="75"/>
        <v>-61.099836386541938</v>
      </c>
      <c r="AF31" t="str">
        <f t="shared" si="60"/>
        <v>-0.0000333790427773504</v>
      </c>
      <c r="AG31" t="str">
        <f t="shared" si="61"/>
        <v>4.59387479999613E-07i</v>
      </c>
      <c r="AH31">
        <f t="shared" si="76"/>
        <v>4.5938747999961302E-7</v>
      </c>
      <c r="AI31">
        <f t="shared" si="77"/>
        <v>1.5707963267948966</v>
      </c>
      <c r="AJ31" t="str">
        <f t="shared" si="62"/>
        <v>1+0.0105837831205913i</v>
      </c>
      <c r="AK31">
        <f t="shared" si="78"/>
        <v>1.0000560066641986</v>
      </c>
      <c r="AL31">
        <f t="shared" si="79"/>
        <v>1.0583387961158573E-2</v>
      </c>
      <c r="AM31" t="str">
        <f t="shared" si="63"/>
        <v>1+0.0796723673800069i</v>
      </c>
      <c r="AN31">
        <f t="shared" si="80"/>
        <v>1.0031688223444422</v>
      </c>
      <c r="AO31">
        <f t="shared" si="81"/>
        <v>7.9504428139224065E-2</v>
      </c>
      <c r="AP31" s="42" t="str">
        <f t="shared" si="82"/>
        <v>-5.01940652796103+72.7130121620114i</v>
      </c>
      <c r="AQ31">
        <f t="shared" si="83"/>
        <v>37.252888533762622</v>
      </c>
      <c r="AR31" s="44">
        <f t="shared" si="84"/>
        <v>93.948884721854711</v>
      </c>
      <c r="AS31" s="42" t="str">
        <f t="shared" si="85"/>
        <v>16136.5913653522+10418.8853006664i</v>
      </c>
      <c r="AT31" s="20">
        <f t="shared" si="86"/>
        <v>85.66958982674366</v>
      </c>
      <c r="AU31" s="44">
        <f t="shared" si="87"/>
        <v>32.849048335312638</v>
      </c>
    </row>
    <row r="32" spans="1:47" x14ac:dyDescent="0.3">
      <c r="A32" t="s">
        <v>125</v>
      </c>
      <c r="B32" s="30">
        <f>R_sl</f>
        <v>2000</v>
      </c>
      <c r="C32" s="2" t="s">
        <v>35</v>
      </c>
      <c r="E32" t="s">
        <v>165</v>
      </c>
      <c r="N32" s="8">
        <v>14</v>
      </c>
      <c r="O32" s="35">
        <f t="shared" si="64"/>
        <v>13.803842646028857</v>
      </c>
      <c r="P32" s="34" t="str">
        <f t="shared" si="55"/>
        <v>545.10556621881</v>
      </c>
      <c r="Q32" s="4" t="str">
        <f t="shared" si="56"/>
        <v>1+1.85283740388891i</v>
      </c>
      <c r="R32" s="4">
        <f t="shared" si="65"/>
        <v>2.105470599474093</v>
      </c>
      <c r="S32" s="4">
        <f t="shared" si="66"/>
        <v>1.0758854763038102</v>
      </c>
      <c r="T32" s="4" t="str">
        <f t="shared" si="57"/>
        <v>1+0.0000433660506480738i</v>
      </c>
      <c r="U32" s="4">
        <f t="shared" si="67"/>
        <v>1.0000000009403072</v>
      </c>
      <c r="V32" s="4">
        <f t="shared" si="68"/>
        <v>4.336605062088886E-5</v>
      </c>
      <c r="W32" t="str">
        <f t="shared" si="58"/>
        <v>1-0.0000450486534132189i</v>
      </c>
      <c r="X32" s="4">
        <f t="shared" si="69"/>
        <v>1.0000000010146906</v>
      </c>
      <c r="Y32" s="4">
        <f t="shared" si="70"/>
        <v>-4.5048653382745267E-5</v>
      </c>
      <c r="Z32" t="str">
        <f t="shared" si="59"/>
        <v>0.999999987805051+0.000195080385753522i</v>
      </c>
      <c r="AA32" s="4">
        <f t="shared" si="71"/>
        <v>1.0000000068332295</v>
      </c>
      <c r="AB32" s="4">
        <f t="shared" si="72"/>
        <v>1.950803856578344E-4</v>
      </c>
      <c r="AC32" s="48" t="str">
        <f t="shared" si="73"/>
        <v>122.920377107291-227.858729003517i</v>
      </c>
      <c r="AD32" s="20">
        <f t="shared" si="74"/>
        <v>48.262628665273411</v>
      </c>
      <c r="AE32" s="44">
        <f t="shared" si="75"/>
        <v>-61.654970720431493</v>
      </c>
      <c r="AF32" t="str">
        <f t="shared" si="60"/>
        <v>-0.0000333790427773504</v>
      </c>
      <c r="AG32" t="str">
        <f t="shared" si="61"/>
        <v>4.70087989025119E-07i</v>
      </c>
      <c r="AH32">
        <f t="shared" si="76"/>
        <v>4.7008798902511898E-7</v>
      </c>
      <c r="AI32">
        <f t="shared" si="77"/>
        <v>1.5707963267948966</v>
      </c>
      <c r="AJ32" t="str">
        <f t="shared" si="62"/>
        <v>1+0.0108303110991204i</v>
      </c>
      <c r="AK32">
        <f t="shared" si="78"/>
        <v>1.0000586460995695</v>
      </c>
      <c r="AL32">
        <f t="shared" si="79"/>
        <v>1.0829887679500643E-2</v>
      </c>
      <c r="AM32" t="str">
        <f t="shared" si="63"/>
        <v>1+0.0815281752183789i</v>
      </c>
      <c r="AN32">
        <f t="shared" si="80"/>
        <v>1.0033179173893181</v>
      </c>
      <c r="AO32">
        <f t="shared" si="81"/>
        <v>8.1348257204055405E-2</v>
      </c>
      <c r="AP32" s="42" t="str">
        <f t="shared" si="82"/>
        <v>-5.01938003275158+71.0603083266557i</v>
      </c>
      <c r="AQ32">
        <f t="shared" si="83"/>
        <v>37.054156445680171</v>
      </c>
      <c r="AR32" s="44">
        <f t="shared" si="84"/>
        <v>94.040404951900925</v>
      </c>
      <c r="AS32" s="42" t="str">
        <f t="shared" si="85"/>
        <v>15574.7274514392+9878.4694515213i</v>
      </c>
      <c r="AT32" s="20">
        <f t="shared" si="86"/>
        <v>85.316785110953589</v>
      </c>
      <c r="AU32" s="44">
        <f t="shared" si="87"/>
        <v>32.385434231469418</v>
      </c>
    </row>
    <row r="33" spans="1:47" x14ac:dyDescent="0.3">
      <c r="A33" t="s">
        <v>111</v>
      </c>
      <c r="B33" s="12">
        <f>Rsl_int</f>
        <v>1333</v>
      </c>
      <c r="C33" s="2" t="s">
        <v>35</v>
      </c>
      <c r="E33" t="s">
        <v>166</v>
      </c>
      <c r="N33" s="8">
        <v>15</v>
      </c>
      <c r="O33" s="35">
        <f t="shared" si="64"/>
        <v>14.125375446227544</v>
      </c>
      <c r="P33" s="34" t="str">
        <f t="shared" si="55"/>
        <v>545.10556621881</v>
      </c>
      <c r="Q33" s="4" t="str">
        <f t="shared" si="56"/>
        <v>1+1.89599553123518i</v>
      </c>
      <c r="R33" s="4">
        <f t="shared" si="65"/>
        <v>2.1435482393600971</v>
      </c>
      <c r="S33" s="4">
        <f t="shared" si="66"/>
        <v>1.0854483136404827</v>
      </c>
      <c r="T33" s="4" t="str">
        <f t="shared" si="57"/>
        <v>1+0.0000443761757310661i</v>
      </c>
      <c r="U33" s="4">
        <f t="shared" si="67"/>
        <v>1.0000000009846224</v>
      </c>
      <c r="V33" s="4">
        <f t="shared" si="68"/>
        <v>4.4376175701936917E-5</v>
      </c>
      <c r="W33" t="str">
        <f t="shared" si="58"/>
        <v>1-0.0000460979713494313i</v>
      </c>
      <c r="X33" s="4">
        <f t="shared" si="69"/>
        <v>1.0000000010625114</v>
      </c>
      <c r="Y33" s="4">
        <f t="shared" si="70"/>
        <v>-4.6097971316778219E-5</v>
      </c>
      <c r="Z33" t="str">
        <f t="shared" si="59"/>
        <v>0.999999987230321+0.000199624391673005i</v>
      </c>
      <c r="AA33" s="4">
        <f t="shared" si="71"/>
        <v>1.0000000071552699</v>
      </c>
      <c r="AB33" s="4">
        <f t="shared" si="72"/>
        <v>1.9962439157047385E-4</v>
      </c>
      <c r="AC33" s="48" t="str">
        <f t="shared" si="73"/>
        <v>118.590051725167-224.955963045936i</v>
      </c>
      <c r="AD33" s="20">
        <f t="shared" si="74"/>
        <v>48.106947060336978</v>
      </c>
      <c r="AE33" s="44">
        <f t="shared" si="75"/>
        <v>-62.203143537939006</v>
      </c>
      <c r="AF33" t="str">
        <f t="shared" si="60"/>
        <v>-0.0000333790427773504</v>
      </c>
      <c r="AG33" t="str">
        <f t="shared" si="61"/>
        <v>4.81037744924757E-07i</v>
      </c>
      <c r="AH33">
        <f t="shared" si="76"/>
        <v>4.8103774492475695E-7</v>
      </c>
      <c r="AI33">
        <f t="shared" si="77"/>
        <v>1.5707963267948966</v>
      </c>
      <c r="AJ33" t="str">
        <f t="shared" si="62"/>
        <v>1+0.0110825814519504i</v>
      </c>
      <c r="AK33">
        <f t="shared" si="78"/>
        <v>1.0000614099202303</v>
      </c>
      <c r="AL33">
        <f t="shared" si="79"/>
        <v>1.1082127751158294E-2</v>
      </c>
      <c r="AM33" t="str">
        <f t="shared" si="63"/>
        <v>1+0.0834272103744045i</v>
      </c>
      <c r="AN33">
        <f t="shared" si="80"/>
        <v>1.0034740153241912</v>
      </c>
      <c r="AO33">
        <f t="shared" si="81"/>
        <v>8.3234460777065061E-2</v>
      </c>
      <c r="AP33" s="42" t="str">
        <f t="shared" si="82"/>
        <v>-5.01935228916116+69.4452815803181i</v>
      </c>
      <c r="AQ33">
        <f t="shared" si="83"/>
        <v>36.8554837014821</v>
      </c>
      <c r="AR33" s="44">
        <f t="shared" si="84"/>
        <v>94.134024164406839</v>
      </c>
      <c r="AS33" s="42" t="str">
        <f t="shared" si="85"/>
        <v>15026.8849492982+9364.65276275378i</v>
      </c>
      <c r="AT33" s="20">
        <f t="shared" si="86"/>
        <v>84.962430761819093</v>
      </c>
      <c r="AU33" s="44">
        <f t="shared" si="87"/>
        <v>31.930880626467829</v>
      </c>
    </row>
    <row r="34" spans="1:47" x14ac:dyDescent="0.3">
      <c r="A34" t="s">
        <v>109</v>
      </c>
      <c r="B34" s="12">
        <f>Isl</f>
        <v>2.9999999999999997E-5</v>
      </c>
      <c r="C34" s="2" t="s">
        <v>12</v>
      </c>
      <c r="E34" t="s">
        <v>167</v>
      </c>
      <c r="N34" s="8">
        <v>16</v>
      </c>
      <c r="O34" s="35">
        <f t="shared" si="64"/>
        <v>14.454397707459275</v>
      </c>
      <c r="P34" s="34" t="str">
        <f t="shared" si="55"/>
        <v>545.10556621881</v>
      </c>
      <c r="Q34" s="4" t="str">
        <f t="shared" si="56"/>
        <v>1+1.94015894050859i</v>
      </c>
      <c r="R34" s="4">
        <f t="shared" si="65"/>
        <v>2.182708572951372</v>
      </c>
      <c r="S34" s="4">
        <f t="shared" si="66"/>
        <v>1.0948876187849712</v>
      </c>
      <c r="T34" s="4" t="str">
        <f t="shared" si="57"/>
        <v>1+0.0000454098296498192i</v>
      </c>
      <c r="U34" s="4">
        <f t="shared" si="67"/>
        <v>1.0000000010310262</v>
      </c>
      <c r="V34" s="4">
        <f t="shared" si="68"/>
        <v>4.5409829618606714E-5</v>
      </c>
      <c r="W34" t="str">
        <f t="shared" si="58"/>
        <v>1-0.0000471717310402321i</v>
      </c>
      <c r="X34" s="4">
        <f t="shared" si="69"/>
        <v>1.000000001112586</v>
      </c>
      <c r="Y34" s="4">
        <f t="shared" si="70"/>
        <v>-4.7171731005243689E-5</v>
      </c>
      <c r="Z34" t="str">
        <f t="shared" si="59"/>
        <v>0.999999986628505+0.000204274241087294i</v>
      </c>
      <c r="AA34" s="4">
        <f t="shared" si="71"/>
        <v>1.000000007492488</v>
      </c>
      <c r="AB34" s="4">
        <f t="shared" si="72"/>
        <v>2.0427424097742983E-4</v>
      </c>
      <c r="AC34" s="48" t="str">
        <f t="shared" si="73"/>
        <v>114.370878223207-222.009993365224i</v>
      </c>
      <c r="AD34" s="20">
        <f t="shared" si="74"/>
        <v>47.949697204247926</v>
      </c>
      <c r="AE34" s="44">
        <f t="shared" si="75"/>
        <v>-62.744244598892074</v>
      </c>
      <c r="AF34" t="str">
        <f t="shared" si="60"/>
        <v>-0.0000333790427773504</v>
      </c>
      <c r="AG34" t="str">
        <f t="shared" si="61"/>
        <v>4.9224255340404E-07i</v>
      </c>
      <c r="AH34">
        <f t="shared" si="76"/>
        <v>4.9224255340404003E-7</v>
      </c>
      <c r="AI34">
        <f t="shared" si="77"/>
        <v>1.5707963267948966</v>
      </c>
      <c r="AJ34" t="str">
        <f t="shared" si="62"/>
        <v>1+0.0113407279361615i</v>
      </c>
      <c r="AK34">
        <f t="shared" si="78"/>
        <v>1.0000643039875596</v>
      </c>
      <c r="AL34">
        <f t="shared" si="79"/>
        <v>1.1340241788692224E-2</v>
      </c>
      <c r="AM34" t="str">
        <f t="shared" si="63"/>
        <v>1+0.0853704797416603i</v>
      </c>
      <c r="AN34">
        <f t="shared" si="80"/>
        <v>1.0036374439065738</v>
      </c>
      <c r="AO34">
        <f t="shared" si="81"/>
        <v>8.5163985233131873E-2</v>
      </c>
      <c r="AP34" s="42" t="str">
        <f t="shared" si="82"/>
        <v>-5.01932323838433+67.8670756125063i</v>
      </c>
      <c r="AQ34">
        <f t="shared" si="83"/>
        <v>36.656873058591131</v>
      </c>
      <c r="AR34" s="44">
        <f t="shared" si="84"/>
        <v>94.22978892722297</v>
      </c>
      <c r="AS34" s="42" t="str">
        <f t="shared" si="85"/>
        <v>14493.1045995895+8876.35695909476i</v>
      </c>
      <c r="AT34" s="20">
        <f t="shared" si="86"/>
        <v>84.606570262839057</v>
      </c>
      <c r="AU34" s="44">
        <f t="shared" si="87"/>
        <v>31.485544328330914</v>
      </c>
    </row>
    <row r="35" spans="1:47" x14ac:dyDescent="0.3">
      <c r="C35" s="2"/>
      <c r="N35" s="8">
        <v>17</v>
      </c>
      <c r="O35" s="35">
        <f t="shared" si="64"/>
        <v>14.791083881682074</v>
      </c>
      <c r="P35" s="34" t="str">
        <f t="shared" si="55"/>
        <v>545.10556621881</v>
      </c>
      <c r="Q35" s="4" t="str">
        <f t="shared" si="56"/>
        <v>1+1.98535104773329i</v>
      </c>
      <c r="R35" s="4">
        <f t="shared" si="65"/>
        <v>2.2229752096538711</v>
      </c>
      <c r="S35" s="4">
        <f t="shared" si="66"/>
        <v>1.1042016673420407</v>
      </c>
      <c r="T35" s="4" t="str">
        <f t="shared" si="57"/>
        <v>1+0.0000464675604613228i</v>
      </c>
      <c r="U35" s="4">
        <f t="shared" si="67"/>
        <v>1.0000000010796171</v>
      </c>
      <c r="V35" s="4">
        <f t="shared" si="68"/>
        <v>4.6467560427878015E-5</v>
      </c>
      <c r="W35" t="str">
        <f t="shared" si="58"/>
        <v>1-0.000048270501807222i</v>
      </c>
      <c r="X35" s="4">
        <f t="shared" si="69"/>
        <v>1.0000000011650205</v>
      </c>
      <c r="Y35" s="4">
        <f t="shared" si="70"/>
        <v>-4.8270501769731244E-5</v>
      </c>
      <c r="Z35" t="str">
        <f t="shared" si="59"/>
        <v>0.999999985998326+0.000209032399408097i</v>
      </c>
      <c r="AA35" s="4">
        <f t="shared" si="71"/>
        <v>1.0000000078455982</v>
      </c>
      <c r="AB35" s="4">
        <f t="shared" si="72"/>
        <v>2.0903239929037542E-4</v>
      </c>
      <c r="AC35" s="48" t="str">
        <f t="shared" si="73"/>
        <v>110.262932763883-219.02555660516i</v>
      </c>
      <c r="AD35" s="20">
        <f t="shared" si="74"/>
        <v>47.790919895753973</v>
      </c>
      <c r="AE35" s="44">
        <f t="shared" si="75"/>
        <v>-63.278175245197922</v>
      </c>
      <c r="AF35" t="str">
        <f t="shared" si="60"/>
        <v>-0.0000333790427773504</v>
      </c>
      <c r="AG35" t="str">
        <f t="shared" si="61"/>
        <v>5.03708355400739E-07i</v>
      </c>
      <c r="AH35">
        <f t="shared" si="76"/>
        <v>5.0370835540073898E-7</v>
      </c>
      <c r="AI35">
        <f t="shared" si="77"/>
        <v>1.5707963267948966</v>
      </c>
      <c r="AJ35" t="str">
        <f t="shared" si="62"/>
        <v>1+0.0116048874244366i</v>
      </c>
      <c r="AK35">
        <f t="shared" si="78"/>
        <v>1.0000673344391036</v>
      </c>
      <c r="AL35">
        <f t="shared" si="79"/>
        <v>1.1604366509932327E-2</v>
      </c>
      <c r="AM35" t="str">
        <f t="shared" si="63"/>
        <v>1+0.0873590136672871i</v>
      </c>
      <c r="AN35">
        <f t="shared" si="80"/>
        <v>1.0038085461226762</v>
      </c>
      <c r="AO35">
        <f t="shared" si="81"/>
        <v>8.713779612976294E-2</v>
      </c>
      <c r="AP35" s="42" t="str">
        <f t="shared" si="82"/>
        <v>-5.01929281884702+66.3248536354535i</v>
      </c>
      <c r="AQ35">
        <f t="shared" si="83"/>
        <v>36.458327400626359</v>
      </c>
      <c r="AR35" s="44">
        <f t="shared" si="84"/>
        <v>94.327746729364733</v>
      </c>
      <c r="AS35" s="42" t="str">
        <f t="shared" si="85"/>
        <v>13973.3960376542+8412.52628039264i</v>
      </c>
      <c r="AT35" s="20">
        <f t="shared" si="86"/>
        <v>84.249247296380332</v>
      </c>
      <c r="AU35" s="44">
        <f t="shared" si="87"/>
        <v>31.04957148416683</v>
      </c>
    </row>
    <row r="36" spans="1:47" x14ac:dyDescent="0.3">
      <c r="A36" t="s">
        <v>190</v>
      </c>
      <c r="B36" s="12">
        <f>Gcomp</f>
        <v>0.14199999999999999</v>
      </c>
      <c r="C36" s="2"/>
      <c r="E36" t="s">
        <v>191</v>
      </c>
      <c r="N36" s="8">
        <v>18</v>
      </c>
      <c r="O36" s="35">
        <f t="shared" si="64"/>
        <v>15.135612484362087</v>
      </c>
      <c r="P36" s="34" t="str">
        <f t="shared" si="55"/>
        <v>545.10556621881</v>
      </c>
      <c r="Q36" s="4" t="str">
        <f t="shared" si="56"/>
        <v>1+2.03159581436273i</v>
      </c>
      <c r="R36" s="4">
        <f t="shared" si="65"/>
        <v>2.2643722204920644</v>
      </c>
      <c r="S36" s="4">
        <f t="shared" si="66"/>
        <v>1.1133889327734647</v>
      </c>
      <c r="T36" s="4" t="str">
        <f t="shared" si="57"/>
        <v>1+0.0000475499289884539i</v>
      </c>
      <c r="U36" s="4">
        <f t="shared" si="67"/>
        <v>1.0000000011304979</v>
      </c>
      <c r="V36" s="4">
        <f t="shared" si="68"/>
        <v>4.754992895261717E-5</v>
      </c>
      <c r="W36" t="str">
        <f t="shared" si="58"/>
        <v>1-0.0000493948662332058i</v>
      </c>
      <c r="X36" s="4">
        <f t="shared" si="69"/>
        <v>1.0000000012199264</v>
      </c>
      <c r="Y36" s="4">
        <f t="shared" si="70"/>
        <v>-4.9394866193033731E-5</v>
      </c>
      <c r="Z36" t="str">
        <f t="shared" si="59"/>
        <v>0.999999985338447+0.000213901389473938i</v>
      </c>
      <c r="AA36" s="4">
        <f t="shared" si="71"/>
        <v>1.0000000082153493</v>
      </c>
      <c r="AB36" s="4">
        <f t="shared" si="72"/>
        <v>2.139013893477971E-4</v>
      </c>
      <c r="AC36" s="48" t="str">
        <f t="shared" si="73"/>
        <v>106.266057997762-216.007283158993i</v>
      </c>
      <c r="AD36" s="20">
        <f t="shared" si="74"/>
        <v>47.630655918324564</v>
      </c>
      <c r="AE36" s="44">
        <f t="shared" si="75"/>
        <v>-63.804848158453453</v>
      </c>
      <c r="AF36" t="str">
        <f t="shared" si="60"/>
        <v>-0.0000333790427773504</v>
      </c>
      <c r="AG36" t="str">
        <f t="shared" si="61"/>
        <v>5.1544123023484E-07i</v>
      </c>
      <c r="AH36">
        <f t="shared" si="76"/>
        <v>5.1544123023484002E-7</v>
      </c>
      <c r="AI36">
        <f t="shared" si="77"/>
        <v>1.5707963267948966</v>
      </c>
      <c r="AJ36" t="str">
        <f t="shared" si="62"/>
        <v>1+0.0118751999776331i</v>
      </c>
      <c r="AK36">
        <f t="shared" si="78"/>
        <v>1.0000705077015863</v>
      </c>
      <c r="AL36">
        <f t="shared" si="79"/>
        <v>1.1874641809810757E-2</v>
      </c>
      <c r="AM36" t="str">
        <f t="shared" si="63"/>
        <v>1+0.0893938664982935i</v>
      </c>
      <c r="AN36">
        <f t="shared" si="80"/>
        <v>1.0039876808843398</v>
      </c>
      <c r="AO36">
        <f t="shared" si="81"/>
        <v>8.9156878454854774E-2</v>
      </c>
      <c r="AP36" s="42" t="str">
        <f t="shared" si="82"/>
        <v>-5.01926096607622+64.817797940433i</v>
      </c>
      <c r="AQ36">
        <f t="shared" si="83"/>
        <v>36.259849742994312</v>
      </c>
      <c r="AR36" s="44">
        <f t="shared" si="84"/>
        <v>94.427945991092301</v>
      </c>
      <c r="AS36" s="42" t="str">
        <f t="shared" si="85"/>
        <v>13467.7393565345+7972.12879997338i</v>
      </c>
      <c r="AT36" s="20">
        <f t="shared" si="86"/>
        <v>83.890505661318855</v>
      </c>
      <c r="AU36" s="44">
        <f t="shared" si="87"/>
        <v>30.623097832638948</v>
      </c>
    </row>
    <row r="37" spans="1:47" x14ac:dyDescent="0.3">
      <c r="N37" s="8">
        <v>19</v>
      </c>
      <c r="O37" s="35">
        <f t="shared" si="64"/>
        <v>15.488166189124817</v>
      </c>
      <c r="P37" s="34" t="str">
        <f t="shared" si="55"/>
        <v>545.10556621881</v>
      </c>
      <c r="Q37" s="4" t="str">
        <f t="shared" si="56"/>
        <v>1+2.0789177599843i</v>
      </c>
      <c r="R37" s="4">
        <f t="shared" si="65"/>
        <v>2.3069241541017638</v>
      </c>
      <c r="S37" s="4">
        <f t="shared" si="66"/>
        <v>1.1224480816729767</v>
      </c>
      <c r="T37" s="4" t="str">
        <f t="shared" si="57"/>
        <v>1+0.0000486575091173323i</v>
      </c>
      <c r="U37" s="4">
        <f t="shared" si="67"/>
        <v>1.0000000011837766</v>
      </c>
      <c r="V37" s="4">
        <f t="shared" si="68"/>
        <v>4.8657509078932558E-5</v>
      </c>
      <c r="W37" t="str">
        <f t="shared" si="58"/>
        <v>1-0.0000505454204710847i</v>
      </c>
      <c r="X37" s="4">
        <f t="shared" si="69"/>
        <v>1.0000000012774197</v>
      </c>
      <c r="Y37" s="4">
        <f t="shared" si="70"/>
        <v>-5.0545420428039555E-5</v>
      </c>
      <c r="Z37" t="str">
        <f t="shared" si="59"/>
        <v>0.999999984647469+0.000218883792887797i</v>
      </c>
      <c r="AA37" s="4">
        <f t="shared" si="71"/>
        <v>1.0000000086025265</v>
      </c>
      <c r="AB37" s="4">
        <f t="shared" si="72"/>
        <v>2.1888379275263463E-4</v>
      </c>
      <c r="AC37" s="48" t="str">
        <f t="shared" si="73"/>
        <v>102.379875895366-212.959686146917i</v>
      </c>
      <c r="AD37" s="20">
        <f t="shared" si="74"/>
        <v>47.468945956825323</v>
      </c>
      <c r="AE37" s="44">
        <f t="shared" si="75"/>
        <v>-64.324187089297951</v>
      </c>
      <c r="AF37" t="str">
        <f t="shared" si="60"/>
        <v>-0.0000333790427773504</v>
      </c>
      <c r="AG37" t="str">
        <f t="shared" si="61"/>
        <v>5.27447398831883E-07i</v>
      </c>
      <c r="AH37">
        <f t="shared" si="76"/>
        <v>5.2744739883188303E-7</v>
      </c>
      <c r="AI37">
        <f t="shared" si="77"/>
        <v>1.5707963267948966</v>
      </c>
      <c r="AJ37" t="str">
        <f t="shared" si="62"/>
        <v>1+0.0121518089190445i</v>
      </c>
      <c r="AK37">
        <f t="shared" si="78"/>
        <v>1.0000738305045309</v>
      </c>
      <c r="AL37">
        <f t="shared" si="79"/>
        <v>1.2151210833831971E-2</v>
      </c>
      <c r="AM37" t="str">
        <f t="shared" si="63"/>
        <v>1+0.0914761171405851i</v>
      </c>
      <c r="AN37">
        <f t="shared" si="80"/>
        <v>1.0041752237568491</v>
      </c>
      <c r="AO37">
        <f t="shared" si="81"/>
        <v>9.1222236866657438E-2</v>
      </c>
      <c r="AP37" s="42" t="str">
        <f t="shared" si="82"/>
        <v>-5.01922761256391+63.3451094641878i</v>
      </c>
      <c r="AQ37">
        <f t="shared" si="83"/>
        <v>36.061443238710027</v>
      </c>
      <c r="AR37" s="44">
        <f t="shared" si="84"/>
        <v>94.530436073449962</v>
      </c>
      <c r="AS37" s="42" t="str">
        <f t="shared" si="85"/>
        <v>12976.0867303706+7554.15758259347i</v>
      </c>
      <c r="AT37" s="20">
        <f t="shared" si="86"/>
        <v>83.530389195535335</v>
      </c>
      <c r="AU37" s="44">
        <f t="shared" si="87"/>
        <v>30.206248984152111</v>
      </c>
    </row>
    <row r="38" spans="1:47" x14ac:dyDescent="0.3">
      <c r="N38" s="8">
        <v>20</v>
      </c>
      <c r="O38" s="35">
        <f t="shared" si="64"/>
        <v>15.848931924611136</v>
      </c>
      <c r="P38" s="34" t="str">
        <f t="shared" si="55"/>
        <v>545.10556621881</v>
      </c>
      <c r="Q38" s="4" t="str">
        <f t="shared" si="56"/>
        <v>1+2.12734197531993i</v>
      </c>
      <c r="R38" s="4">
        <f t="shared" si="65"/>
        <v>2.3506560530962632</v>
      </c>
      <c r="S38" s="4">
        <f t="shared" si="66"/>
        <v>1.1313779686031675</v>
      </c>
      <c r="T38" s="4" t="str">
        <f t="shared" si="57"/>
        <v>1+0.0000497908881016031i</v>
      </c>
      <c r="U38" s="4">
        <f t="shared" si="67"/>
        <v>1.0000000012395662</v>
      </c>
      <c r="V38" s="4">
        <f t="shared" si="68"/>
        <v>4.9790888060457029E-5</v>
      </c>
      <c r="W38" t="str">
        <f t="shared" si="58"/>
        <v>1-0.0000517227745599452i</v>
      </c>
      <c r="X38" s="4">
        <f t="shared" si="69"/>
        <v>1.0000000013376227</v>
      </c>
      <c r="Y38" s="4">
        <f t="shared" si="70"/>
        <v>-5.1722774513821496E-5</v>
      </c>
      <c r="Z38" t="str">
        <f t="shared" si="59"/>
        <v>0.999999983923927+0.000223982251385915i</v>
      </c>
      <c r="AA38" s="4">
        <f t="shared" si="71"/>
        <v>1.0000000090079517</v>
      </c>
      <c r="AB38" s="4">
        <f t="shared" si="72"/>
        <v>2.2398225124108584E-4</v>
      </c>
      <c r="AC38" s="48" t="str">
        <f t="shared" si="73"/>
        <v>98.6038009279278-209.887151692176i</v>
      </c>
      <c r="AD38" s="20">
        <f t="shared" si="74"/>
        <v>47.30583051896815</v>
      </c>
      <c r="AE38" s="44">
        <f t="shared" si="75"/>
        <v>-64.836126561668252</v>
      </c>
      <c r="AF38" t="str">
        <f t="shared" si="60"/>
        <v>-0.0000333790427773504</v>
      </c>
      <c r="AG38" t="str">
        <f t="shared" si="61"/>
        <v>5.39733227021378E-07i</v>
      </c>
      <c r="AH38">
        <f t="shared" si="76"/>
        <v>5.3973322702137798E-7</v>
      </c>
      <c r="AI38">
        <f t="shared" si="77"/>
        <v>1.5707963267948966</v>
      </c>
      <c r="AJ38" t="str">
        <f t="shared" si="62"/>
        <v>1+0.012434860910393i</v>
      </c>
      <c r="AK38">
        <f t="shared" si="78"/>
        <v>1.0000773098945206</v>
      </c>
      <c r="AL38">
        <f t="shared" si="79"/>
        <v>1.243422005321722E-2</v>
      </c>
      <c r="AM38" t="str">
        <f t="shared" si="63"/>
        <v>1+0.0936068696310141i</v>
      </c>
      <c r="AN38">
        <f t="shared" si="80"/>
        <v>1.0043715677188985</v>
      </c>
      <c r="AO38">
        <f t="shared" si="81"/>
        <v>9.3334895924867989E-2</v>
      </c>
      <c r="AP38" s="42" t="str">
        <f t="shared" si="82"/>
        <v>-5.0191926876241+61.9060073652453i</v>
      </c>
      <c r="AQ38">
        <f t="shared" si="83"/>
        <v>35.863111184455846</v>
      </c>
      <c r="AR38" s="44">
        <f t="shared" si="84"/>
        <v>94.635267287201444</v>
      </c>
      <c r="AS38" s="42" t="str">
        <f t="shared" si="85"/>
        <v>12498.3640819368+7157.6316834851i</v>
      </c>
      <c r="AT38" s="20">
        <f t="shared" si="86"/>
        <v>83.168941703423968</v>
      </c>
      <c r="AU38" s="44">
        <f t="shared" si="87"/>
        <v>29.799140725533224</v>
      </c>
    </row>
    <row r="39" spans="1:47" x14ac:dyDescent="0.3">
      <c r="A39" t="s">
        <v>504</v>
      </c>
      <c r="N39" s="8">
        <v>21</v>
      </c>
      <c r="O39" s="35">
        <f t="shared" si="64"/>
        <v>16.218100973589298</v>
      </c>
      <c r="P39" s="34" t="str">
        <f t="shared" si="55"/>
        <v>545.10556621881</v>
      </c>
      <c r="Q39" s="4" t="str">
        <f t="shared" si="56"/>
        <v>1+2.17689413552958i</v>
      </c>
      <c r="R39" s="4">
        <f t="shared" si="65"/>
        <v>2.3955934707923792</v>
      </c>
      <c r="S39" s="4">
        <f t="shared" si="66"/>
        <v>1.1401776305487039</v>
      </c>
      <c r="T39" s="4" t="str">
        <f t="shared" si="57"/>
        <v>1+0.0000509506668738055i</v>
      </c>
      <c r="U39" s="4">
        <f t="shared" si="67"/>
        <v>1.0000000012979853</v>
      </c>
      <c r="V39" s="4">
        <f t="shared" si="68"/>
        <v>5.0950666829716687E-5</v>
      </c>
      <c r="W39" t="str">
        <f t="shared" si="58"/>
        <v>1-0.000052927552748509i</v>
      </c>
      <c r="X39" s="4">
        <f t="shared" si="69"/>
        <v>1.0000000014006629</v>
      </c>
      <c r="Y39" s="4">
        <f t="shared" si="70"/>
        <v>-5.2927552699086561E-5</v>
      </c>
      <c r="Z39" t="str">
        <f t="shared" si="59"/>
        <v>0.999999983166285+0.000229199468238472i</v>
      </c>
      <c r="AA39" s="4">
        <f t="shared" si="71"/>
        <v>1.0000000094324832</v>
      </c>
      <c r="AB39" s="4">
        <f t="shared" si="72"/>
        <v>2.2919946808328475E-4</v>
      </c>
      <c r="AC39" s="48" t="str">
        <f t="shared" si="73"/>
        <v>94.9370534758747-206.793930471436i</v>
      </c>
      <c r="AD39" s="20">
        <f t="shared" si="74"/>
        <v>47.141349861641316</v>
      </c>
      <c r="AE39" s="44">
        <f t="shared" si="75"/>
        <v>-65.340611555071817</v>
      </c>
      <c r="AF39" t="str">
        <f t="shared" si="60"/>
        <v>-0.0000333790427773504</v>
      </c>
      <c r="AG39" t="str">
        <f t="shared" si="61"/>
        <v>5.52305228912053E-07i</v>
      </c>
      <c r="AH39">
        <f t="shared" si="76"/>
        <v>5.52305228912053E-7</v>
      </c>
      <c r="AI39">
        <f t="shared" si="77"/>
        <v>1.5707963267948966</v>
      </c>
      <c r="AJ39" t="str">
        <f t="shared" si="62"/>
        <v>1+0.012724506029591i</v>
      </c>
      <c r="AK39">
        <f t="shared" si="78"/>
        <v>1.0000809532501342</v>
      </c>
      <c r="AL39">
        <f t="shared" si="79"/>
        <v>1.2723819341757321E-2</v>
      </c>
      <c r="AM39" t="str">
        <f t="shared" si="63"/>
        <v>1+0.0957872537227546i</v>
      </c>
      <c r="AN39">
        <f t="shared" si="80"/>
        <v>1.0045771239560193</v>
      </c>
      <c r="AO39">
        <f t="shared" si="81"/>
        <v>9.5495900311702464E-2</v>
      </c>
      <c r="AP39" s="42" t="str">
        <f t="shared" si="82"/>
        <v>-5.01915611724349+60.4997286098917i</v>
      </c>
      <c r="AQ39">
        <f t="shared" si="83"/>
        <v>35.664857026885535</v>
      </c>
      <c r="AR39" s="44">
        <f t="shared" si="84"/>
        <v>94.742490901092978</v>
      </c>
      <c r="AS39" s="42" t="str">
        <f t="shared" si="85"/>
        <v>12034.4727789882+6781.59699144773i</v>
      </c>
      <c r="AT39" s="20">
        <f t="shared" si="86"/>
        <v>82.806206888526859</v>
      </c>
      <c r="AU39" s="44">
        <f t="shared" si="87"/>
        <v>29.401879346021133</v>
      </c>
    </row>
    <row r="40" spans="1:47" x14ac:dyDescent="0.3">
      <c r="A40" t="s">
        <v>505</v>
      </c>
      <c r="B40" s="20">
        <f>((Np/NS1_)*(VOUT1+VD))/((VIN_var+(Np/NS1_)*(VOUT1+VD)))</f>
        <v>0.4043126684636118</v>
      </c>
      <c r="C40" t="s">
        <v>14</v>
      </c>
      <c r="E40" t="s">
        <v>506</v>
      </c>
      <c r="N40" s="8">
        <v>22</v>
      </c>
      <c r="O40" s="35">
        <f t="shared" si="64"/>
        <v>16.595869074375614</v>
      </c>
      <c r="P40" s="34" t="str">
        <f t="shared" si="55"/>
        <v>545.10556621881</v>
      </c>
      <c r="Q40" s="4" t="str">
        <f t="shared" si="56"/>
        <v>1+2.2276005138245i</v>
      </c>
      <c r="R40" s="4">
        <f t="shared" si="65"/>
        <v>2.4417624882840627</v>
      </c>
      <c r="S40" s="4">
        <f t="shared" si="66"/>
        <v>1.148846281038965</v>
      </c>
      <c r="T40" s="4" t="str">
        <f t="shared" si="57"/>
        <v>1+0.0000521374603639965i</v>
      </c>
      <c r="U40" s="4">
        <f t="shared" si="67"/>
        <v>1.0000000013591572</v>
      </c>
      <c r="V40" s="4">
        <f t="shared" si="68"/>
        <v>5.2137460316754494E-5</v>
      </c>
      <c r="W40" t="str">
        <f t="shared" si="58"/>
        <v>1-0.0000541603938261194i</v>
      </c>
      <c r="X40" s="4">
        <f t="shared" si="69"/>
        <v>1.0000000014666741</v>
      </c>
      <c r="Y40" s="4">
        <f t="shared" si="70"/>
        <v>-5.4160393773162301E-5</v>
      </c>
      <c r="Z40" t="str">
        <f t="shared" si="59"/>
        <v>0.999999982372936+0.000234538209682905i</v>
      </c>
      <c r="AA40" s="4">
        <f t="shared" si="71"/>
        <v>1.0000000098770221</v>
      </c>
      <c r="AB40" s="4">
        <f t="shared" si="72"/>
        <v>2.3453820951661899E-4</v>
      </c>
      <c r="AC40" s="48" t="str">
        <f t="shared" si="73"/>
        <v>91.3786733519218-203.684130505016i</v>
      </c>
      <c r="AD40" s="20">
        <f t="shared" si="74"/>
        <v>46.97554392218386</v>
      </c>
      <c r="AE40" s="44">
        <f t="shared" si="75"/>
        <v>-65.837597167922311</v>
      </c>
      <c r="AF40" t="str">
        <f t="shared" si="60"/>
        <v>-0.0000333790427773504</v>
      </c>
      <c r="AG40" t="str">
        <f t="shared" si="61"/>
        <v>5.65170070345722E-07i</v>
      </c>
      <c r="AH40">
        <f t="shared" si="76"/>
        <v>5.6517007034572196E-7</v>
      </c>
      <c r="AI40">
        <f t="shared" si="77"/>
        <v>1.5707963267948966</v>
      </c>
      <c r="AJ40" t="str">
        <f t="shared" si="62"/>
        <v>1+0.0130208978503147i</v>
      </c>
      <c r="AK40">
        <f t="shared" si="78"/>
        <v>1.000084768297582</v>
      </c>
      <c r="AL40">
        <f t="shared" si="79"/>
        <v>1.3020162054412582E-2</v>
      </c>
      <c r="AM40" t="str">
        <f t="shared" si="63"/>
        <v>1+0.0980184254843137i</v>
      </c>
      <c r="AN40">
        <f t="shared" si="80"/>
        <v>1.0047923226888349</v>
      </c>
      <c r="AO40">
        <f t="shared" si="81"/>
        <v>9.7706315041710887E-2</v>
      </c>
      <c r="AP40" s="42" t="str">
        <f t="shared" si="82"/>
        <v>-5.01911782392514+59.12552756759i</v>
      </c>
      <c r="AQ40">
        <f t="shared" si="83"/>
        <v>35.46668436918236</v>
      </c>
      <c r="AR40" s="44">
        <f t="shared" si="84"/>
        <v>94.852159149371388</v>
      </c>
      <c r="AS40" s="42" t="str">
        <f t="shared" si="85"/>
        <v>11584.2913451077+6425.12692022727i</v>
      </c>
      <c r="AT40" s="20">
        <f t="shared" si="86"/>
        <v>82.442228291366249</v>
      </c>
      <c r="AU40" s="44">
        <f t="shared" si="87"/>
        <v>29.014561981448988</v>
      </c>
    </row>
    <row r="41" spans="1:47" x14ac:dyDescent="0.3">
      <c r="A41" t="s">
        <v>189</v>
      </c>
      <c r="B41" s="16">
        <f>Gcomp*((VOUT1^2)/(Pout_var))*((1-Dc_var_ccm)/((1+Dc_var_ccm)*((Acs*R_cs)/(Np/NS1_))))</f>
        <v>545.10556621880994</v>
      </c>
      <c r="C41" t="s">
        <v>144</v>
      </c>
      <c r="E41" t="s">
        <v>193</v>
      </c>
      <c r="N41" s="8">
        <v>23</v>
      </c>
      <c r="O41" s="35">
        <f t="shared" si="64"/>
        <v>16.982436524617448</v>
      </c>
      <c r="P41" s="34" t="str">
        <f t="shared" si="55"/>
        <v>545.10556621881</v>
      </c>
      <c r="Q41" s="4" t="str">
        <f t="shared" si="56"/>
        <v>1+2.2794879953976i</v>
      </c>
      <c r="R41" s="4">
        <f t="shared" si="65"/>
        <v>2.4891897318528713</v>
      </c>
      <c r="S41" s="4">
        <f t="shared" si="66"/>
        <v>1.1573833039916042</v>
      </c>
      <c r="T41" s="4" t="str">
        <f t="shared" si="57"/>
        <v>1+0.000053351897825793i</v>
      </c>
      <c r="U41" s="4">
        <f t="shared" si="67"/>
        <v>1.0000000014232124</v>
      </c>
      <c r="V41" s="4">
        <f t="shared" si="68"/>
        <v>5.335189777517227E-5</v>
      </c>
      <c r="W41" t="str">
        <f t="shared" si="58"/>
        <v>1-0.0000554219514614336i</v>
      </c>
      <c r="X41" s="4">
        <f t="shared" si="69"/>
        <v>1.0000000015357964</v>
      </c>
      <c r="Y41" s="4">
        <f t="shared" si="70"/>
        <v>-5.5421951404689044E-5</v>
      </c>
      <c r="Z41" t="str">
        <f t="shared" si="59"/>
        <v>0.999999981542198+0.000240001306390589i</v>
      </c>
      <c r="AA41" s="4">
        <f t="shared" si="71"/>
        <v>1.0000000103425117</v>
      </c>
      <c r="AB41" s="4">
        <f t="shared" si="72"/>
        <v>2.4000130621241032E-4</v>
      </c>
      <c r="AC41" s="48" t="str">
        <f t="shared" si="73"/>
        <v>87.927533334248-200.561711143749i</v>
      </c>
      <c r="AD41" s="20">
        <f t="shared" si="74"/>
        <v>46.808452254625827</v>
      </c>
      <c r="AE41" s="44">
        <f t="shared" si="75"/>
        <v>-66.327048264885548</v>
      </c>
      <c r="AF41" t="str">
        <f t="shared" si="60"/>
        <v>-0.0000333790427773504</v>
      </c>
      <c r="AG41" t="str">
        <f t="shared" si="61"/>
        <v>5.78334572431598E-07i</v>
      </c>
      <c r="AH41">
        <f t="shared" si="76"/>
        <v>5.7833457243159799E-7</v>
      </c>
      <c r="AI41">
        <f t="shared" si="77"/>
        <v>1.5707963267948966</v>
      </c>
      <c r="AJ41" t="str">
        <f t="shared" si="62"/>
        <v>1+0.0133241935234305i</v>
      </c>
      <c r="AK41">
        <f t="shared" si="78"/>
        <v>1.0000887631270785</v>
      </c>
      <c r="AL41">
        <f t="shared" si="79"/>
        <v>1.3323405107695961E-2</v>
      </c>
      <c r="AM41" t="str">
        <f t="shared" si="63"/>
        <v>1+0.100301567912491i</v>
      </c>
      <c r="AN41">
        <f t="shared" si="80"/>
        <v>1.0050176140375371</v>
      </c>
      <c r="AO41">
        <f t="shared" si="81"/>
        <v>9.9967225659004719E-2</v>
      </c>
      <c r="AP41" s="42" t="str">
        <f t="shared" si="82"/>
        <v>-5.01907772652451+57.7826756156213i</v>
      </c>
      <c r="AQ41">
        <f t="shared" si="83"/>
        <v>35.268596977877891</v>
      </c>
      <c r="AR41" s="44">
        <f t="shared" si="84"/>
        <v>94.96432523847885</v>
      </c>
      <c r="AS41" s="42" t="str">
        <f t="shared" si="85"/>
        <v>11147.677171827+6087.32295352981i</v>
      </c>
      <c r="AT41" s="20">
        <f t="shared" si="86"/>
        <v>82.077049232503697</v>
      </c>
      <c r="AU41" s="44">
        <f t="shared" si="87"/>
        <v>28.637276973593337</v>
      </c>
    </row>
    <row r="42" spans="1:47" x14ac:dyDescent="0.3">
      <c r="A42" t="s">
        <v>206</v>
      </c>
      <c r="B42" s="18">
        <f>(1+Dc_var_ccm)/(Cout_total*((VOUT1^2)/Pout_var))</f>
        <v>46.810422282120392</v>
      </c>
      <c r="C42" t="s">
        <v>205</v>
      </c>
      <c r="E42" t="s">
        <v>196</v>
      </c>
      <c r="N42" s="8">
        <v>24</v>
      </c>
      <c r="O42" s="35">
        <f t="shared" si="64"/>
        <v>17.378008287493756</v>
      </c>
      <c r="P42" s="34" t="str">
        <f t="shared" si="55"/>
        <v>545.10556621881</v>
      </c>
      <c r="Q42" s="4" t="str">
        <f t="shared" si="56"/>
        <v>1+2.33258409167848i</v>
      </c>
      <c r="R42" s="4">
        <f t="shared" si="65"/>
        <v>2.5379023907060572</v>
      </c>
      <c r="S42" s="4">
        <f t="shared" si="66"/>
        <v>1.1657882473265559</v>
      </c>
      <c r="T42" s="4" t="str">
        <f t="shared" si="57"/>
        <v>1+0.000054594623170013i</v>
      </c>
      <c r="U42" s="4">
        <f t="shared" si="67"/>
        <v>1.0000000014902863</v>
      </c>
      <c r="V42" s="4">
        <f t="shared" si="68"/>
        <v>5.4594623115771918E-5</v>
      </c>
      <c r="W42" t="str">
        <f t="shared" si="58"/>
        <v>1-0.0000567128945490093i</v>
      </c>
      <c r="X42" s="4">
        <f t="shared" si="69"/>
        <v>1.0000000016081763</v>
      </c>
      <c r="Y42" s="4">
        <f t="shared" si="70"/>
        <v>-5.6712894488206413E-5</v>
      </c>
      <c r="Z42" t="str">
        <f t="shared" si="59"/>
        <v>0.999999980672309+0.000245591654967717i</v>
      </c>
      <c r="AA42" s="4">
        <f t="shared" si="71"/>
        <v>1.0000000108299394</v>
      </c>
      <c r="AB42" s="4">
        <f t="shared" si="72"/>
        <v>2.4559165477679504E-4</v>
      </c>
      <c r="AC42" s="48" t="str">
        <f t="shared" si="73"/>
        <v>84.5823526142573-197.430478201883i</v>
      </c>
      <c r="AD42" s="20">
        <f t="shared" si="74"/>
        <v>46.640113970879696</v>
      </c>
      <c r="AE42" s="44">
        <f t="shared" si="75"/>
        <v>-66.808939111076867</v>
      </c>
      <c r="AF42" t="str">
        <f t="shared" si="60"/>
        <v>-0.0000333790427773504</v>
      </c>
      <c r="AG42" t="str">
        <f t="shared" si="61"/>
        <v>5.9180571516294E-07i</v>
      </c>
      <c r="AH42">
        <f t="shared" si="76"/>
        <v>5.9180571516293999E-7</v>
      </c>
      <c r="AI42">
        <f t="shared" si="77"/>
        <v>1.5707963267948966</v>
      </c>
      <c r="AJ42" t="str">
        <f t="shared" si="62"/>
        <v>1+0.0136345538603191i</v>
      </c>
      <c r="AK42">
        <f t="shared" si="78"/>
        <v>1.0000929462099861</v>
      </c>
      <c r="AL42">
        <f t="shared" si="79"/>
        <v>1.3633709061879381E-2</v>
      </c>
      <c r="AM42" t="str">
        <f t="shared" si="63"/>
        <v>1+0.102637891559625i</v>
      </c>
      <c r="AN42">
        <f t="shared" si="80"/>
        <v>1.0052534689240349</v>
      </c>
      <c r="AO42">
        <f t="shared" si="81"/>
        <v>0.10227973842049182</v>
      </c>
      <c r="AP42" s="42" t="str">
        <f t="shared" si="82"/>
        <v>-5.01903574007834+56.470460752746i</v>
      </c>
      <c r="AQ42">
        <f t="shared" si="83"/>
        <v>35.070598789940682</v>
      </c>
      <c r="AR42" s="44">
        <f t="shared" si="84"/>
        <v>95.079043352841254</v>
      </c>
      <c r="AS42" s="42" t="str">
        <f t="shared" si="85"/>
        <v>10724.4682199444+5767.31504995435i</v>
      </c>
      <c r="AT42" s="20">
        <f t="shared" si="86"/>
        <v>81.710712760820343</v>
      </c>
      <c r="AU42" s="44">
        <f t="shared" si="87"/>
        <v>28.270104241764486</v>
      </c>
    </row>
    <row r="43" spans="1:47" x14ac:dyDescent="0.3">
      <c r="B43" s="18">
        <f>wp_lf/(2*PI())</f>
        <v>7.4501100944184611</v>
      </c>
      <c r="C43" t="s">
        <v>61</v>
      </c>
      <c r="N43" s="8">
        <v>25</v>
      </c>
      <c r="O43" s="35">
        <f t="shared" si="64"/>
        <v>17.782794100389236</v>
      </c>
      <c r="P43" s="34" t="str">
        <f t="shared" si="55"/>
        <v>545.10556621881</v>
      </c>
      <c r="Q43" s="4" t="str">
        <f t="shared" si="56"/>
        <v>1+2.38691695492015i</v>
      </c>
      <c r="R43" s="4">
        <f t="shared" si="65"/>
        <v>2.5879282350338237</v>
      </c>
      <c r="S43" s="4">
        <f t="shared" si="66"/>
        <v>1.174060816397634</v>
      </c>
      <c r="T43" s="4" t="str">
        <f t="shared" si="57"/>
        <v>1+0.0000558662953060825i</v>
      </c>
      <c r="U43" s="4">
        <f t="shared" si="67"/>
        <v>1.0000000015605215</v>
      </c>
      <c r="V43" s="4">
        <f t="shared" si="68"/>
        <v>5.586629524796213E-5</v>
      </c>
      <c r="W43" t="str">
        <f t="shared" si="58"/>
        <v>1-0.0000580339075639583i</v>
      </c>
      <c r="X43" s="4">
        <f t="shared" si="69"/>
        <v>1.0000000016839672</v>
      </c>
      <c r="Y43" s="4">
        <f t="shared" si="70"/>
        <v>-5.803390749880684E-5</v>
      </c>
      <c r="Z43" t="str">
        <f t="shared" si="59"/>
        <v>0.999999979761423+0.000251312219491097i</v>
      </c>
      <c r="AA43" s="4">
        <f t="shared" si="71"/>
        <v>1.0000000113403389</v>
      </c>
      <c r="AB43" s="4">
        <f t="shared" si="72"/>
        <v>2.5131221928652043E-4</v>
      </c>
      <c r="AC43" s="48" t="str">
        <f t="shared" si="73"/>
        <v>81.3417100727812-194.294080179418i</v>
      </c>
      <c r="AD43" s="20">
        <f t="shared" si="74"/>
        <v>46.470567686837555</v>
      </c>
      <c r="AE43" s="44">
        <f t="shared" si="75"/>
        <v>-67.283252995807089</v>
      </c>
      <c r="AF43" t="str">
        <f t="shared" si="60"/>
        <v>-0.0000333790427773504</v>
      </c>
      <c r="AG43" t="str">
        <f t="shared" si="61"/>
        <v>6.05590641117937E-07i</v>
      </c>
      <c r="AH43">
        <f t="shared" si="76"/>
        <v>6.0559064111793696E-7</v>
      </c>
      <c r="AI43">
        <f t="shared" si="77"/>
        <v>1.5707963267948966</v>
      </c>
      <c r="AJ43" t="str">
        <f t="shared" si="62"/>
        <v>1+0.013952143418139i</v>
      </c>
      <c r="AK43">
        <f t="shared" si="78"/>
        <v>1.0000973264167645</v>
      </c>
      <c r="AL43">
        <f t="shared" si="79"/>
        <v>1.3951238205059545E-2</v>
      </c>
      <c r="AM43" t="str">
        <f t="shared" si="63"/>
        <v>1+0.105028635175435i</v>
      </c>
      <c r="AN43">
        <f t="shared" si="80"/>
        <v>1.0055003800132623</v>
      </c>
      <c r="AO43">
        <f t="shared" si="81"/>
        <v>0.10464498046357658</v>
      </c>
      <c r="AP43" s="42" t="str">
        <f t="shared" si="82"/>
        <v>-5.01899177562474+55.1881872216737i</v>
      </c>
      <c r="AQ43">
        <f t="shared" si="83"/>
        <v>34.872693920141614</v>
      </c>
      <c r="AR43" s="44">
        <f t="shared" si="84"/>
        <v>95.196368659660322</v>
      </c>
      <c r="AS43" s="42" t="str">
        <f t="shared" si="85"/>
        <v>10314.4846991341+5464.26191490082i</v>
      </c>
      <c r="AT43" s="20">
        <f t="shared" si="86"/>
        <v>81.343261606979183</v>
      </c>
      <c r="AU43" s="44">
        <f t="shared" si="87"/>
        <v>27.91311566385313</v>
      </c>
    </row>
    <row r="44" spans="1:47" x14ac:dyDescent="0.3">
      <c r="N44" s="8">
        <v>26</v>
      </c>
      <c r="O44" s="35">
        <f t="shared" si="64"/>
        <v>18.197008586099841</v>
      </c>
      <c r="P44" s="34" t="str">
        <f t="shared" si="55"/>
        <v>545.10556621881</v>
      </c>
      <c r="Q44" s="4" t="str">
        <f t="shared" si="56"/>
        <v>1+2.44251539312591i</v>
      </c>
      <c r="R44" s="4">
        <f t="shared" si="65"/>
        <v>2.6392956343799416</v>
      </c>
      <c r="S44" s="4">
        <f t="shared" si="66"/>
        <v>1.1822008672865658</v>
      </c>
      <c r="T44" s="4" t="str">
        <f t="shared" si="57"/>
        <v>1+0.0000571675884914015i</v>
      </c>
      <c r="U44" s="4">
        <f t="shared" si="67"/>
        <v>1.0000000016340664</v>
      </c>
      <c r="V44" s="4">
        <f t="shared" si="68"/>
        <v>5.7167588429124406E-5</v>
      </c>
      <c r="W44" t="str">
        <f t="shared" si="58"/>
        <v>1-0.0000593856909248677i</v>
      </c>
      <c r="X44" s="4">
        <f t="shared" si="69"/>
        <v>1.0000000017633301</v>
      </c>
      <c r="Y44" s="4">
        <f t="shared" si="70"/>
        <v>-5.9385690855056649E-5</v>
      </c>
      <c r="Z44" t="str">
        <f t="shared" si="59"/>
        <v>0.999999978807608+0.000257166033079762i</v>
      </c>
      <c r="AA44" s="4">
        <f t="shared" si="71"/>
        <v>1.0000000118747925</v>
      </c>
      <c r="AB44" s="4">
        <f t="shared" si="72"/>
        <v>2.5716603286055431E-4</v>
      </c>
      <c r="AC44" s="48" t="str">
        <f t="shared" si="73"/>
        <v>78.2040573078239-191.15600551241i</v>
      </c>
      <c r="AD44" s="20">
        <f t="shared" si="74"/>
        <v>46.299851473294311</v>
      </c>
      <c r="AE44" s="44">
        <f t="shared" si="75"/>
        <v>-67.749981848450318</v>
      </c>
      <c r="AF44" t="str">
        <f t="shared" si="60"/>
        <v>-0.0000333790427773504</v>
      </c>
      <c r="AG44" t="str">
        <f t="shared" si="61"/>
        <v>6.19696659246794E-07i</v>
      </c>
      <c r="AH44">
        <f t="shared" si="76"/>
        <v>6.1969665924679398E-7</v>
      </c>
      <c r="AI44">
        <f t="shared" si="77"/>
        <v>1.5707963267948966</v>
      </c>
      <c r="AJ44" t="str">
        <f t="shared" si="62"/>
        <v>1+0.0142771305870777i</v>
      </c>
      <c r="AK44">
        <f t="shared" si="78"/>
        <v>1.0001019130357669</v>
      </c>
      <c r="AL44">
        <f t="shared" si="79"/>
        <v>1.4276160639125915E-2</v>
      </c>
      <c r="AM44" t="str">
        <f t="shared" si="63"/>
        <v>1+0.107475066363835i</v>
      </c>
      <c r="AN44">
        <f t="shared" si="80"/>
        <v>1.0057588626951843</v>
      </c>
      <c r="AO44">
        <f t="shared" si="81"/>
        <v>0.10706409995673893</v>
      </c>
      <c r="AP44" s="42" t="str">
        <f t="shared" si="82"/>
        <v>-5.01894574001586+53.9351751401477i</v>
      </c>
      <c r="AQ44">
        <f t="shared" si="83"/>
        <v>34.674886668704829</v>
      </c>
      <c r="AR44" s="44">
        <f t="shared" si="84"/>
        <v>95.316357312615224</v>
      </c>
      <c r="AS44" s="42" t="str">
        <f t="shared" si="85"/>
        <v>9917.53071612581+5177.35114711259i</v>
      </c>
      <c r="AT44" s="20">
        <f t="shared" si="86"/>
        <v>80.97473814199914</v>
      </c>
      <c r="AU44" s="44">
        <f t="shared" si="87"/>
        <v>27.566375464164931</v>
      </c>
    </row>
    <row r="45" spans="1:47" x14ac:dyDescent="0.3">
      <c r="A45" t="s">
        <v>207</v>
      </c>
      <c r="B45" s="18">
        <f>(((VOUT1^2)/Pout_var)*((1-Dc_var_ccm)^2))/((Lm/((Np/NS1_)^2))*Dc_var_ccm)</f>
        <v>1925298.4212552952</v>
      </c>
      <c r="C45" t="s">
        <v>205</v>
      </c>
      <c r="E45" t="s">
        <v>197</v>
      </c>
      <c r="N45" s="8">
        <v>27</v>
      </c>
      <c r="O45" s="35">
        <f t="shared" si="64"/>
        <v>18.62087136662868</v>
      </c>
      <c r="P45" s="34" t="str">
        <f t="shared" si="55"/>
        <v>545.10556621881</v>
      </c>
      <c r="Q45" s="4" t="str">
        <f t="shared" si="56"/>
        <v>1+2.49940888532361i</v>
      </c>
      <c r="R45" s="4">
        <f t="shared" si="65"/>
        <v>2.6920335763200671</v>
      </c>
      <c r="S45" s="4">
        <f t="shared" si="66"/>
        <v>1.1902084000014126</v>
      </c>
      <c r="T45" s="4" t="str">
        <f t="shared" si="57"/>
        <v>1+0.000058499192688841i</v>
      </c>
      <c r="U45" s="4">
        <f t="shared" si="67"/>
        <v>1.0000000017110777</v>
      </c>
      <c r="V45" s="4">
        <f t="shared" si="68"/>
        <v>5.8499192622109889E-5</v>
      </c>
      <c r="W45" t="str">
        <f t="shared" si="58"/>
        <v>1-0.0000607689613651679i</v>
      </c>
      <c r="X45" s="4">
        <f t="shared" si="69"/>
        <v>1.0000000018464332</v>
      </c>
      <c r="Y45" s="4">
        <f t="shared" si="70"/>
        <v>-6.0768961290364006E-5</v>
      </c>
      <c r="Z45" t="str">
        <f t="shared" si="59"/>
        <v>0.999999977808842+0.000263156199503161i</v>
      </c>
      <c r="AA45" s="4">
        <f t="shared" si="71"/>
        <v>1.0000000124344348</v>
      </c>
      <c r="AB45" s="4">
        <f t="shared" si="72"/>
        <v>2.6315619926827556E-4</v>
      </c>
      <c r="AC45" s="48" t="str">
        <f t="shared" si="73"/>
        <v>75.1677313463556-188.019580786258i</v>
      </c>
      <c r="AD45" s="20">
        <f t="shared" si="74"/>
        <v>46.128002811595088</v>
      </c>
      <c r="AE45" s="44">
        <f t="shared" si="75"/>
        <v>-68.209125848835441</v>
      </c>
      <c r="AF45" t="str">
        <f t="shared" si="60"/>
        <v>-0.0000333790427773504</v>
      </c>
      <c r="AG45" t="str">
        <f t="shared" si="61"/>
        <v>6.34131248747039E-07i</v>
      </c>
      <c r="AH45">
        <f t="shared" si="76"/>
        <v>6.3413124874703896E-7</v>
      </c>
      <c r="AI45">
        <f t="shared" si="77"/>
        <v>1.5707963267948966</v>
      </c>
      <c r="AJ45" t="str">
        <f t="shared" si="62"/>
        <v>1+0.0146096876796338i</v>
      </c>
      <c r="AK45">
        <f t="shared" si="78"/>
        <v>1.000106715792918</v>
      </c>
      <c r="AL45">
        <f t="shared" si="79"/>
        <v>1.4608648367667868E-2</v>
      </c>
      <c r="AM45" t="str">
        <f t="shared" si="63"/>
        <v>1+0.109978482255021i</v>
      </c>
      <c r="AN45">
        <f t="shared" si="80"/>
        <v>1.0060294561090735</v>
      </c>
      <c r="AO45">
        <f t="shared" si="81"/>
        <v>0.10953826623121296</v>
      </c>
      <c r="AP45" s="42" t="str">
        <f t="shared" si="82"/>
        <v>-5.01889753572067+52.7107601404436i</v>
      </c>
      <c r="AQ45">
        <f t="shared" si="83"/>
        <v>34.477181529251197</v>
      </c>
      <c r="AR45" s="44">
        <f t="shared" si="84"/>
        <v>95.439066454370817</v>
      </c>
      <c r="AS45" s="42" t="str">
        <f t="shared" si="85"/>
        <v>9533.39588291127+4905.79926797444i</v>
      </c>
      <c r="AT45" s="20">
        <f t="shared" si="86"/>
        <v>80.605184340846293</v>
      </c>
      <c r="AU45" s="44">
        <f t="shared" si="87"/>
        <v>27.229940605535372</v>
      </c>
    </row>
    <row r="46" spans="1:47" x14ac:dyDescent="0.3">
      <c r="B46" s="18">
        <f>wz_rhp/(2*PI())</f>
        <v>306420.76066980243</v>
      </c>
      <c r="C46" t="s">
        <v>61</v>
      </c>
      <c r="N46" s="8">
        <v>28</v>
      </c>
      <c r="O46" s="35">
        <f t="shared" si="64"/>
        <v>19.054607179632477</v>
      </c>
      <c r="P46" s="34" t="str">
        <f t="shared" si="55"/>
        <v>545.10556621881</v>
      </c>
      <c r="Q46" s="4" t="str">
        <f t="shared" si="56"/>
        <v>1+2.5576275971959i</v>
      </c>
      <c r="R46" s="4">
        <f t="shared" si="65"/>
        <v>2.7461716854446796</v>
      </c>
      <c r="S46" s="4">
        <f t="shared" si="66"/>
        <v>1.1980835516187078</v>
      </c>
      <c r="T46" s="4" t="str">
        <f t="shared" si="57"/>
        <v>1+0.0000598618139325725i</v>
      </c>
      <c r="U46" s="4">
        <f t="shared" si="67"/>
        <v>1.0000000017917183</v>
      </c>
      <c r="V46" s="4">
        <f t="shared" si="68"/>
        <v>5.9861813861068824E-5</v>
      </c>
      <c r="W46" t="str">
        <f t="shared" si="58"/>
        <v>1-0.0000621844523131561i</v>
      </c>
      <c r="X46" s="4">
        <f t="shared" si="69"/>
        <v>1.000000001933453</v>
      </c>
      <c r="Y46" s="4">
        <f t="shared" si="70"/>
        <v>-6.2184452233002293E-5</v>
      </c>
      <c r="Z46" t="str">
        <f t="shared" si="59"/>
        <v>0.999999976763004+0.000269285894826821i</v>
      </c>
      <c r="AA46" s="4">
        <f t="shared" si="71"/>
        <v>1.0000000130204509</v>
      </c>
      <c r="AB46" s="4">
        <f t="shared" si="72"/>
        <v>2.6928589457513697E-4</v>
      </c>
      <c r="AC46" s="48" t="str">
        <f t="shared" si="73"/>
        <v>72.2309669816834-184.887969844444i</v>
      </c>
      <c r="AD46" s="20">
        <f t="shared" si="74"/>
        <v>45.95505855387831</v>
      </c>
      <c r="AE46" s="44">
        <f t="shared" si="75"/>
        <v>-68.660693034413598</v>
      </c>
      <c r="AF46" t="str">
        <f t="shared" si="60"/>
        <v>-0.0000333790427773504</v>
      </c>
      <c r="AG46" t="str">
        <f t="shared" si="61"/>
        <v>6.48902063029088E-07i</v>
      </c>
      <c r="AH46">
        <f t="shared" si="76"/>
        <v>6.4890206302908797E-7</v>
      </c>
      <c r="AI46">
        <f t="shared" si="77"/>
        <v>1.5707963267948966</v>
      </c>
      <c r="AJ46" t="str">
        <f t="shared" si="62"/>
        <v>1+0.0149499910219797i</v>
      </c>
      <c r="AK46">
        <f t="shared" si="78"/>
        <v>1.0001117448723205</v>
      </c>
      <c r="AL46">
        <f t="shared" si="79"/>
        <v>1.4948877385864257E-2</v>
      </c>
      <c r="AM46" t="str">
        <f t="shared" si="63"/>
        <v>1+0.112540210193237i</v>
      </c>
      <c r="AN46">
        <f t="shared" si="80"/>
        <v>1.0063127242116825</v>
      </c>
      <c r="AO46">
        <f t="shared" si="81"/>
        <v>0.11206866989196491</v>
      </c>
      <c r="AP46" s="42" t="str">
        <f t="shared" si="82"/>
        <v>-5.01884706061952+51.5142930170917i</v>
      </c>
      <c r="AQ46">
        <f t="shared" si="83"/>
        <v>34.279583197042136</v>
      </c>
      <c r="AR46" s="44">
        <f t="shared" si="84"/>
        <v>95.564554217785826</v>
      </c>
      <c r="AS46" s="42" t="str">
        <f t="shared" si="85"/>
        <v>9161.85687758018+4648.85164200001i</v>
      </c>
      <c r="AT46" s="20">
        <f t="shared" si="86"/>
        <v>80.234641750920446</v>
      </c>
      <c r="AU46" s="44">
        <f t="shared" si="87"/>
        <v>26.903861183372204</v>
      </c>
    </row>
    <row r="47" spans="1:47" x14ac:dyDescent="0.3">
      <c r="B47" s="1"/>
      <c r="N47" s="8">
        <v>29</v>
      </c>
      <c r="O47" s="35">
        <f t="shared" si="64"/>
        <v>19.498445997580465</v>
      </c>
      <c r="P47" s="34" t="str">
        <f t="shared" si="55"/>
        <v>545.10556621881</v>
      </c>
      <c r="Q47" s="4" t="str">
        <f t="shared" si="56"/>
        <v>1+2.61720239707443i</v>
      </c>
      <c r="R47" s="4">
        <f t="shared" si="65"/>
        <v>2.8017402426442288</v>
      </c>
      <c r="S47" s="4">
        <f t="shared" si="66"/>
        <v>1.2058265894056299</v>
      </c>
      <c r="T47" s="4" t="str">
        <f t="shared" si="57"/>
        <v>1+0.000061256174702416i</v>
      </c>
      <c r="U47" s="4">
        <f t="shared" si="67"/>
        <v>1.0000000018761595</v>
      </c>
      <c r="V47" s="4">
        <f t="shared" si="68"/>
        <v>6.1256174625798425E-5</v>
      </c>
      <c r="W47" t="str">
        <f t="shared" si="58"/>
        <v>1-0.0000636329142808696i</v>
      </c>
      <c r="X47" s="4">
        <f t="shared" si="69"/>
        <v>1.0000000020245738</v>
      </c>
      <c r="Y47" s="4">
        <f t="shared" si="70"/>
        <v>-6.3632914194983241E-5</v>
      </c>
      <c r="Z47" t="str">
        <f t="shared" si="59"/>
        <v>0.999999975667879+0.000275558369096339i</v>
      </c>
      <c r="AA47" s="4">
        <f t="shared" si="71"/>
        <v>1.0000000136340867</v>
      </c>
      <c r="AB47" s="4">
        <f t="shared" si="72"/>
        <v>2.7555836882665441E-4</v>
      </c>
      <c r="AC47" s="48" t="str">
        <f t="shared" si="73"/>
        <v>69.3919086867743-181.764173723805i</v>
      </c>
      <c r="AD47" s="20">
        <f t="shared" si="74"/>
        <v>45.78105488776928</v>
      </c>
      <c r="AE47" s="44">
        <f t="shared" si="75"/>
        <v>-69.104698906286643</v>
      </c>
      <c r="AF47" t="str">
        <f t="shared" si="60"/>
        <v>-0.0000333790427773504</v>
      </c>
      <c r="AG47" t="str">
        <f t="shared" si="61"/>
        <v>6.6401693377419E-07i</v>
      </c>
      <c r="AH47">
        <f t="shared" si="76"/>
        <v>6.6401693377419005E-7</v>
      </c>
      <c r="AI47">
        <f t="shared" si="77"/>
        <v>1.5707963267948966</v>
      </c>
      <c r="AJ47" t="str">
        <f t="shared" si="62"/>
        <v>1+0.0152982210474521i</v>
      </c>
      <c r="AK47">
        <f t="shared" si="78"/>
        <v>1.0001170109378286</v>
      </c>
      <c r="AL47">
        <f t="shared" si="79"/>
        <v>1.5297027772395486E-2</v>
      </c>
      <c r="AM47" t="str">
        <f t="shared" si="63"/>
        <v>1+0.115161608440542i</v>
      </c>
      <c r="AN47">
        <f t="shared" si="80"/>
        <v>1.0066092568909808</v>
      </c>
      <c r="AO47">
        <f t="shared" si="81"/>
        <v>0.11465652290595893</v>
      </c>
      <c r="AP47" s="42" t="str">
        <f t="shared" si="82"/>
        <v>-5.01879420778823+50.3451393826409i</v>
      </c>
      <c r="AQ47">
        <f t="shared" si="83"/>
        <v>34.082096577531992</v>
      </c>
      <c r="AR47" s="44">
        <f t="shared" si="84"/>
        <v>95.692879725703818</v>
      </c>
      <c r="AS47" s="42" t="str">
        <f t="shared" si="85"/>
        <v>8802.67895151096+4405.78229713159i</v>
      </c>
      <c r="AT47" s="20">
        <f t="shared" si="86"/>
        <v>79.863151465301272</v>
      </c>
      <c r="AU47" s="44">
        <f t="shared" si="87"/>
        <v>26.588180819417193</v>
      </c>
    </row>
    <row r="48" spans="1:47" x14ac:dyDescent="0.3">
      <c r="A48" t="s">
        <v>208</v>
      </c>
      <c r="B48" s="18">
        <f>1/(Cout_total*Resr_total)</f>
        <v>2000000</v>
      </c>
      <c r="C48" t="s">
        <v>205</v>
      </c>
      <c r="E48" t="s">
        <v>198</v>
      </c>
      <c r="N48" s="8">
        <v>30</v>
      </c>
      <c r="O48" s="35">
        <f t="shared" si="64"/>
        <v>19.952623149688804</v>
      </c>
      <c r="P48" s="34" t="str">
        <f t="shared" si="55"/>
        <v>545.10556621881</v>
      </c>
      <c r="Q48" s="4" t="str">
        <f t="shared" si="56"/>
        <v>1+2.67816487230666i</v>
      </c>
      <c r="R48" s="4">
        <f t="shared" si="65"/>
        <v>2.8587702046959542</v>
      </c>
      <c r="S48" s="4">
        <f t="shared" si="66"/>
        <v>1.2134379039556842</v>
      </c>
      <c r="T48" s="4" t="str">
        <f t="shared" si="57"/>
        <v>1+0.000062683014306908i</v>
      </c>
      <c r="U48" s="4">
        <f t="shared" si="67"/>
        <v>1.0000000019645801</v>
      </c>
      <c r="V48" s="4">
        <f t="shared" si="68"/>
        <v>6.2683014224810806E-5</v>
      </c>
      <c r="W48" t="str">
        <f t="shared" si="58"/>
        <v>1-0.0000651151152620158i</v>
      </c>
      <c r="X48" s="4">
        <f t="shared" si="69"/>
        <v>1.0000000021199891</v>
      </c>
      <c r="Y48" s="4">
        <f t="shared" si="70"/>
        <v>-6.5115115169986899E-5</v>
      </c>
      <c r="Z48" t="str">
        <f t="shared" si="59"/>
        <v>0.999999974521141+0.000281976948060597i</v>
      </c>
      <c r="AA48" s="4">
        <f t="shared" si="71"/>
        <v>1.0000000142766408</v>
      </c>
      <c r="AB48" s="4">
        <f t="shared" si="72"/>
        <v>2.8197694777162493E-4</v>
      </c>
      <c r="AC48" s="48" t="str">
        <f t="shared" si="73"/>
        <v>66.6486220623134-178.651031346799i</v>
      </c>
      <c r="AD48" s="20">
        <f t="shared" si="74"/>
        <v>45.606027305359447</v>
      </c>
      <c r="AE48" s="44">
        <f t="shared" si="75"/>
        <v>-69.541166036008477</v>
      </c>
      <c r="AF48" t="str">
        <f t="shared" si="60"/>
        <v>-0.0000333790427773504</v>
      </c>
      <c r="AG48" t="str">
        <f t="shared" si="61"/>
        <v>6.79483875086883E-07i</v>
      </c>
      <c r="AH48">
        <f t="shared" si="76"/>
        <v>6.79483875086883E-7</v>
      </c>
      <c r="AI48">
        <f t="shared" si="77"/>
        <v>1.5707963267948966</v>
      </c>
      <c r="AJ48" t="str">
        <f t="shared" si="62"/>
        <v>1+0.0156545623922197i</v>
      </c>
      <c r="AK48">
        <f t="shared" si="78"/>
        <v>1.0001225251556389</v>
      </c>
      <c r="AL48">
        <f t="shared" si="79"/>
        <v>1.5653283783420076E-2</v>
      </c>
      <c r="AM48" t="str">
        <f t="shared" si="63"/>
        <v>1+0.117844066896987i</v>
      </c>
      <c r="AN48">
        <f t="shared" si="80"/>
        <v>1.0069196711271569</v>
      </c>
      <c r="AO48">
        <f t="shared" si="81"/>
        <v>0.1173030586656475</v>
      </c>
      <c r="AP48" s="42" t="str">
        <f t="shared" si="82"/>
        <v>-5.01873886527286+49.2026793312739i</v>
      </c>
      <c r="AQ48">
        <f t="shared" si="83"/>
        <v>33.884726795235011</v>
      </c>
      <c r="AR48" s="44">
        <f t="shared" si="84"/>
        <v>95.82410308920656</v>
      </c>
      <c r="AS48" s="42" t="str">
        <f t="shared" si="85"/>
        <v>8455.6173776969+4175.89365354453i</v>
      </c>
      <c r="AT48" s="20">
        <f t="shared" si="86"/>
        <v>79.490754100594472</v>
      </c>
      <c r="AU48" s="44">
        <f t="shared" si="87"/>
        <v>26.282937053198065</v>
      </c>
    </row>
    <row r="49" spans="1:47" x14ac:dyDescent="0.3">
      <c r="B49" s="18">
        <f>wz_esr/(2*PI())</f>
        <v>318309.88618379069</v>
      </c>
      <c r="C49" t="s">
        <v>61</v>
      </c>
      <c r="N49" s="8">
        <v>31</v>
      </c>
      <c r="O49" s="35">
        <f t="shared" si="64"/>
        <v>20.4173794466953</v>
      </c>
      <c r="P49" s="34" t="str">
        <f t="shared" si="55"/>
        <v>545.10556621881</v>
      </c>
      <c r="Q49" s="4" t="str">
        <f t="shared" si="56"/>
        <v>1+2.74054734600388i</v>
      </c>
      <c r="R49" s="4">
        <f t="shared" si="65"/>
        <v>2.9172932241529836</v>
      </c>
      <c r="S49" s="4">
        <f t="shared" si="66"/>
        <v>1.2209180023683854</v>
      </c>
      <c r="T49" s="4" t="str">
        <f t="shared" si="57"/>
        <v>1+0.000064143089275293i</v>
      </c>
      <c r="U49" s="4">
        <f t="shared" si="67"/>
        <v>1.000000002057168</v>
      </c>
      <c r="V49" s="4">
        <f t="shared" si="68"/>
        <v>6.4143089187324259E-5</v>
      </c>
      <c r="W49" t="str">
        <f t="shared" si="58"/>
        <v>1-0.0000666318411391742i</v>
      </c>
      <c r="X49" s="4">
        <f t="shared" si="69"/>
        <v>1.0000000022199012</v>
      </c>
      <c r="Y49" s="4">
        <f t="shared" si="70"/>
        <v>-6.6631841040563466E-5</v>
      </c>
      <c r="Z49" t="str">
        <f t="shared" si="59"/>
        <v>0.99999997332036+0.000288545034935122i</v>
      </c>
      <c r="AA49" s="4">
        <f t="shared" si="71"/>
        <v>1.0000000149494788</v>
      </c>
      <c r="AB49" s="4">
        <f t="shared" si="72"/>
        <v>2.8854503462548263E-4</v>
      </c>
      <c r="AC49" s="48" t="str">
        <f t="shared" si="73"/>
        <v>63.9991047862386-175.551220901585i</v>
      </c>
      <c r="AD49" s="20">
        <f t="shared" si="74"/>
        <v>45.430010576295636</v>
      </c>
      <c r="AE49" s="44">
        <f t="shared" si="75"/>
        <v>-69.97012367491287</v>
      </c>
      <c r="AF49" t="str">
        <f t="shared" si="60"/>
        <v>-0.0000333790427773504</v>
      </c>
      <c r="AG49" t="str">
        <f t="shared" si="61"/>
        <v>6.95311087744178E-07i</v>
      </c>
      <c r="AH49">
        <f t="shared" si="76"/>
        <v>6.9531108774417797E-7</v>
      </c>
      <c r="AI49">
        <f t="shared" si="77"/>
        <v>1.5707963267948966</v>
      </c>
      <c r="AJ49" t="str">
        <f t="shared" si="62"/>
        <v>1+0.0160192039931802i</v>
      </c>
      <c r="AK49">
        <f t="shared" si="78"/>
        <v>1.0001282992179428</v>
      </c>
      <c r="AL49">
        <f t="shared" si="79"/>
        <v>1.6017833948659674E-2</v>
      </c>
      <c r="AM49" t="str">
        <f t="shared" si="63"/>
        <v>1+0.120589007837551i</v>
      </c>
      <c r="AN49">
        <f t="shared" si="80"/>
        <v>1.0072446122026391</v>
      </c>
      <c r="AO49">
        <f t="shared" si="81"/>
        <v>0.12000953202542328</v>
      </c>
      <c r="AP49" s="42" t="str">
        <f t="shared" si="82"/>
        <v>-5.01868091585324+48.0863071101015i</v>
      </c>
      <c r="AQ49">
        <f t="shared" si="83"/>
        <v>33.687479202914815</v>
      </c>
      <c r="AR49" s="44">
        <f t="shared" si="84"/>
        <v>95.958285404197269</v>
      </c>
      <c r="AS49" s="42" t="str">
        <f t="shared" si="85"/>
        <v>8120.4188360045+3958.51616961616i</v>
      </c>
      <c r="AT49" s="20">
        <f t="shared" si="86"/>
        <v>79.117489779210445</v>
      </c>
      <c r="AU49" s="44">
        <f t="shared" si="87"/>
        <v>25.988161729284418</v>
      </c>
    </row>
    <row r="50" spans="1:47" x14ac:dyDescent="0.3">
      <c r="N50" s="8">
        <v>32</v>
      </c>
      <c r="O50" s="35">
        <f t="shared" si="64"/>
        <v>20.8929613085404</v>
      </c>
      <c r="P50" s="34" t="str">
        <f t="shared" si="55"/>
        <v>545.10556621881</v>
      </c>
      <c r="Q50" s="4" t="str">
        <f t="shared" si="56"/>
        <v>1+2.80438289417941i</v>
      </c>
      <c r="R50" s="4">
        <f t="shared" si="65"/>
        <v>2.9773416695377919</v>
      </c>
      <c r="S50" s="4">
        <f t="shared" si="66"/>
        <v>1.2282675015005615</v>
      </c>
      <c r="T50" s="4" t="str">
        <f t="shared" si="57"/>
        <v>1+0.0000656371737586465i</v>
      </c>
      <c r="U50" s="4">
        <f t="shared" si="67"/>
        <v>1.0000000021541193</v>
      </c>
      <c r="V50" s="4">
        <f t="shared" si="68"/>
        <v>6.5637173664386306E-5</v>
      </c>
      <c r="W50" t="str">
        <f t="shared" si="58"/>
        <v>1-0.0000681838961004818i</v>
      </c>
      <c r="X50" s="4">
        <f t="shared" si="69"/>
        <v>1.0000000023245217</v>
      </c>
      <c r="Y50" s="4">
        <f t="shared" si="70"/>
        <v>-6.8183895994818495E-5</v>
      </c>
      <c r="Z50" t="str">
        <f t="shared" si="59"/>
        <v>0.999999972062987+0.000295266112206518i</v>
      </c>
      <c r="AA50" s="4">
        <f t="shared" si="71"/>
        <v>1.0000000156540259</v>
      </c>
      <c r="AB50" s="4">
        <f t="shared" si="72"/>
        <v>2.9526611187473352E-4</v>
      </c>
      <c r="AC50" s="48" t="str">
        <f t="shared" si="73"/>
        <v>61.4412970389597-172.467261841657i</v>
      </c>
      <c r="AD50" s="20">
        <f t="shared" si="74"/>
        <v>45.253038724789867</v>
      </c>
      <c r="AE50" s="44">
        <f t="shared" si="75"/>
        <v>-70.391607367545419</v>
      </c>
      <c r="AF50" t="str">
        <f t="shared" si="60"/>
        <v>-0.0000333790427773504</v>
      </c>
      <c r="AG50" t="str">
        <f t="shared" si="61"/>
        <v>7.11506963543726E-07i</v>
      </c>
      <c r="AH50">
        <f t="shared" si="76"/>
        <v>7.1150696354372595E-7</v>
      </c>
      <c r="AI50">
        <f t="shared" si="77"/>
        <v>1.5707963267948966</v>
      </c>
      <c r="AJ50" t="str">
        <f t="shared" si="62"/>
        <v>1+0.0163923391881372i</v>
      </c>
      <c r="AK50">
        <f t="shared" si="78"/>
        <v>1.0001343453676905</v>
      </c>
      <c r="AL50">
        <f t="shared" si="79"/>
        <v>1.6390871169634568E-2</v>
      </c>
      <c r="AM50" t="str">
        <f t="shared" si="63"/>
        <v>1+0.123397886666256i</v>
      </c>
      <c r="AN50">
        <f t="shared" si="80"/>
        <v>1.0075847549629253</v>
      </c>
      <c r="AO50">
        <f t="shared" si="81"/>
        <v>0.12277721930868934</v>
      </c>
      <c r="AP50" s="42" t="str">
        <f t="shared" si="82"/>
        <v>-5.01862023679597+46.9954307979572i</v>
      </c>
      <c r="AQ50">
        <f t="shared" si="83"/>
        <v>33.49035939110221</v>
      </c>
      <c r="AR50" s="44">
        <f t="shared" si="84"/>
        <v>96.09548874617731</v>
      </c>
      <c r="AS50" s="42" t="str">
        <f t="shared" si="85"/>
        <v>7796.82273209804+3753.00791359449i</v>
      </c>
      <c r="AT50" s="20">
        <f t="shared" si="86"/>
        <v>78.743398115892077</v>
      </c>
      <c r="AU50" s="44">
        <f t="shared" si="87"/>
        <v>25.703881378631873</v>
      </c>
    </row>
    <row r="51" spans="1:47" x14ac:dyDescent="0.3">
      <c r="A51" t="s">
        <v>201</v>
      </c>
      <c r="B51" s="1">
        <f>(Isl*(Rsl_int+R_sl)*Fsw)</f>
        <v>24997.5</v>
      </c>
      <c r="C51" t="s">
        <v>144</v>
      </c>
      <c r="E51" t="s">
        <v>202</v>
      </c>
      <c r="N51" s="8">
        <v>33</v>
      </c>
      <c r="O51" s="35">
        <f t="shared" si="64"/>
        <v>21.379620895022335</v>
      </c>
      <c r="P51" s="34" t="str">
        <f t="shared" si="55"/>
        <v>545.10556621881</v>
      </c>
      <c r="Q51" s="4" t="str">
        <f t="shared" si="56"/>
        <v>1+2.8697053632858i</v>
      </c>
      <c r="R51" s="4">
        <f t="shared" si="65"/>
        <v>3.0389486458430457</v>
      </c>
      <c r="S51" s="4">
        <f t="shared" si="66"/>
        <v>1.2354871213140006</v>
      </c>
      <c r="T51" s="4" t="str">
        <f t="shared" si="57"/>
        <v>1+0.000067166059940337i</v>
      </c>
      <c r="U51" s="4">
        <f t="shared" si="67"/>
        <v>1.0000000022556397</v>
      </c>
      <c r="V51" s="4">
        <f t="shared" si="68"/>
        <v>6.7166059839335364E-5</v>
      </c>
      <c r="W51" t="str">
        <f t="shared" si="58"/>
        <v>1-0.0000697721030660219i</v>
      </c>
      <c r="X51" s="4">
        <f t="shared" si="69"/>
        <v>1.0000000024340732</v>
      </c>
      <c r="Y51" s="4">
        <f t="shared" si="70"/>
        <v>-6.9772102952801634E-5</v>
      </c>
      <c r="Z51" t="str">
        <f t="shared" si="59"/>
        <v>0.999999970746356+0.000302143743478912i</v>
      </c>
      <c r="AA51" s="4">
        <f t="shared" si="71"/>
        <v>1.0000000163917773</v>
      </c>
      <c r="AB51" s="4">
        <f t="shared" si="72"/>
        <v>3.0214374312339859E-4</v>
      </c>
      <c r="AC51" s="48" t="str">
        <f t="shared" si="73"/>
        <v>58.9730913853909-169.401517438466i</v>
      </c>
      <c r="AD51" s="20">
        <f t="shared" si="74"/>
        <v>45.075145010355683</v>
      </c>
      <c r="AE51" s="44">
        <f t="shared" si="75"/>
        <v>-70.805658570618618</v>
      </c>
      <c r="AF51" t="str">
        <f t="shared" si="60"/>
        <v>-0.0000333790427773504</v>
      </c>
      <c r="AG51" t="str">
        <f t="shared" si="61"/>
        <v>7.28080089753253E-07i</v>
      </c>
      <c r="AH51">
        <f t="shared" si="76"/>
        <v>7.28080089753253E-7</v>
      </c>
      <c r="AI51">
        <f t="shared" si="77"/>
        <v>1.5707963267948966</v>
      </c>
      <c r="AJ51" t="str">
        <f t="shared" si="62"/>
        <v>1+0.01677416581831i</v>
      </c>
      <c r="AK51">
        <f t="shared" si="78"/>
        <v>1.000140676424522</v>
      </c>
      <c r="AL51">
        <f t="shared" si="79"/>
        <v>1.677259282009344E-2</v>
      </c>
      <c r="AM51" t="str">
        <f t="shared" si="63"/>
        <v>1+0.126272192687834i</v>
      </c>
      <c r="AN51">
        <f t="shared" si="80"/>
        <v>1.00794080513004</v>
      </c>
      <c r="AO51">
        <f t="shared" si="81"/>
        <v>0.12560741828300426</v>
      </c>
      <c r="AP51" s="42" t="str">
        <f t="shared" si="82"/>
        <v>-5.01855669959538+45.9294719915268i</v>
      </c>
      <c r="AQ51">
        <f t="shared" si="83"/>
        <v>33.293373197948497</v>
      </c>
      <c r="AR51" s="44">
        <f t="shared" si="84"/>
        <v>96.23577616306774</v>
      </c>
      <c r="AS51" s="42" t="str">
        <f t="shared" si="85"/>
        <v>7484.56244764416+3558.7540693015i</v>
      </c>
      <c r="AT51" s="20">
        <f t="shared" si="86"/>
        <v>78.368518208304195</v>
      </c>
      <c r="AU51" s="44">
        <f t="shared" si="87"/>
        <v>25.430117592449122</v>
      </c>
    </row>
    <row r="52" spans="1:47" x14ac:dyDescent="0.3">
      <c r="A52" t="s">
        <v>204</v>
      </c>
      <c r="B52" s="1">
        <f>(R_cs*VIN_var*Acs*(1-Dc_var_ccm))/Lm</f>
        <v>31911.82133230651</v>
      </c>
      <c r="C52" t="s">
        <v>144</v>
      </c>
      <c r="E52" t="s">
        <v>203</v>
      </c>
      <c r="N52" s="8">
        <v>34</v>
      </c>
      <c r="O52" s="35">
        <f t="shared" si="64"/>
        <v>21.877616239495538</v>
      </c>
      <c r="P52" s="34" t="str">
        <f t="shared" si="55"/>
        <v>545.10556621881</v>
      </c>
      <c r="Q52" s="4" t="str">
        <f t="shared" si="56"/>
        <v>1+2.93654938816086i</v>
      </c>
      <c r="R52" s="4">
        <f t="shared" si="65"/>
        <v>3.1021480153448393</v>
      </c>
      <c r="S52" s="4">
        <f t="shared" si="66"/>
        <v>1.2425776783414892</v>
      </c>
      <c r="T52" s="4" t="str">
        <f t="shared" si="57"/>
        <v>1+0.000068730558456056i</v>
      </c>
      <c r="U52" s="4">
        <f t="shared" si="67"/>
        <v>1.0000000023619449</v>
      </c>
      <c r="V52" s="4">
        <f t="shared" si="68"/>
        <v>6.8730558347830808E-5</v>
      </c>
      <c r="W52" t="str">
        <f t="shared" si="58"/>
        <v>1-0.0000713973041241508i</v>
      </c>
      <c r="X52" s="4">
        <f t="shared" si="69"/>
        <v>1.0000000025487874</v>
      </c>
      <c r="Y52" s="4">
        <f t="shared" si="70"/>
        <v>-7.1397304002833087E-5</v>
      </c>
      <c r="Z52" t="str">
        <f t="shared" si="59"/>
        <v>0.999999969367674+0.000309181575363445i</v>
      </c>
      <c r="AA52" s="4">
        <f t="shared" si="71"/>
        <v>1.0000000171642975</v>
      </c>
      <c r="AB52" s="4">
        <f t="shared" si="72"/>
        <v>3.0918157498250557E-4</v>
      </c>
      <c r="AC52" s="48" t="str">
        <f t="shared" si="73"/>
        <v>56.5923421012334-166.356197822525i</v>
      </c>
      <c r="AD52" s="20">
        <f t="shared" si="74"/>
        <v>44.896361912067292</v>
      </c>
      <c r="AE52" s="44">
        <f t="shared" si="75"/>
        <v>-71.212324278752533</v>
      </c>
      <c r="AF52" t="str">
        <f t="shared" si="60"/>
        <v>-0.0000333790427773504</v>
      </c>
      <c r="AG52" t="str">
        <f t="shared" si="61"/>
        <v>7.45039253663646E-07i</v>
      </c>
      <c r="AH52">
        <f t="shared" si="76"/>
        <v>7.4503925366364602E-7</v>
      </c>
      <c r="AI52">
        <f t="shared" si="77"/>
        <v>1.5707963267948966</v>
      </c>
      <c r="AJ52" t="str">
        <f t="shared" si="62"/>
        <v>1+0.017164886333232i</v>
      </c>
      <c r="AK52">
        <f t="shared" si="78"/>
        <v>1.0001473058119152</v>
      </c>
      <c r="AL52">
        <f t="shared" si="79"/>
        <v>1.7163200848683113E-2</v>
      </c>
      <c r="AM52" t="str">
        <f t="shared" si="63"/>
        <v>1+0.129213449897386i</v>
      </c>
      <c r="AN52">
        <f t="shared" si="80"/>
        <v>1.0083135006704931</v>
      </c>
      <c r="AO52">
        <f t="shared" si="81"/>
        <v>0.1285014481006628</v>
      </c>
      <c r="AP52" s="42" t="str">
        <f t="shared" si="82"/>
        <v>-5.01849016970315+44.8878654986402i</v>
      </c>
      <c r="AQ52">
        <f t="shared" si="83"/>
        <v>33.096526719418669</v>
      </c>
      <c r="AR52" s="44">
        <f t="shared" si="84"/>
        <v>96.379211665922483</v>
      </c>
      <c r="AS52" s="42" t="str">
        <f t="shared" si="85"/>
        <v>7183.36652020717+3375.16638393473i</v>
      </c>
      <c r="AT52" s="20">
        <f t="shared" si="86"/>
        <v>77.992888631485968</v>
      </c>
      <c r="AU52" s="44">
        <f t="shared" si="87"/>
        <v>25.166887387169936</v>
      </c>
    </row>
    <row r="53" spans="1:47" x14ac:dyDescent="0.3">
      <c r="A53" t="s">
        <v>507</v>
      </c>
      <c r="B53" s="1">
        <f>1+(B51/B52)</f>
        <v>1.7833304072398191</v>
      </c>
      <c r="N53" s="8">
        <v>35</v>
      </c>
      <c r="O53" s="35">
        <f t="shared" si="64"/>
        <v>22.387211385683404</v>
      </c>
      <c r="P53" s="34" t="str">
        <f t="shared" si="55"/>
        <v>545.10556621881</v>
      </c>
      <c r="Q53" s="4" t="str">
        <f t="shared" si="56"/>
        <v>1+3.00495041039135i</v>
      </c>
      <c r="R53" s="4">
        <f t="shared" si="65"/>
        <v>3.1669744187333029</v>
      </c>
      <c r="S53" s="4">
        <f t="shared" si="66"/>
        <v>1.2495400792904774</v>
      </c>
      <c r="T53" s="4" t="str">
        <f t="shared" si="57"/>
        <v>1+0.000070331498823625i</v>
      </c>
      <c r="U53" s="4">
        <f t="shared" si="67"/>
        <v>1.0000000024732598</v>
      </c>
      <c r="V53" s="4">
        <f t="shared" si="68"/>
        <v>7.0331498707659615E-5</v>
      </c>
      <c r="W53" t="str">
        <f t="shared" si="58"/>
        <v>1-0.0000730603609779814i</v>
      </c>
      <c r="X53" s="4">
        <f t="shared" si="69"/>
        <v>1.0000000026689082</v>
      </c>
      <c r="Y53" s="4">
        <f t="shared" si="70"/>
        <v>-7.3060360847987133E-5</v>
      </c>
      <c r="Z53" t="str">
        <f t="shared" si="59"/>
        <v>0.999999967924017+0.000316383339411737i</v>
      </c>
      <c r="AA53" s="4">
        <f t="shared" si="71"/>
        <v>1.000000017973226</v>
      </c>
      <c r="AB53" s="4">
        <f t="shared" si="72"/>
        <v>3.1638333900355304E-4</v>
      </c>
      <c r="AC53" s="48" t="str">
        <f t="shared" si="73"/>
        <v>54.2968739367505-163.333363451113i</v>
      </c>
      <c r="AD53" s="20">
        <f t="shared" si="74"/>
        <v>44.716721116137627</v>
      </c>
      <c r="AE53" s="44">
        <f t="shared" si="75"/>
        <v>-71.611656658103215</v>
      </c>
      <c r="AF53" t="str">
        <f t="shared" si="60"/>
        <v>-0.0000333790427773504</v>
      </c>
      <c r="AG53" t="str">
        <f t="shared" si="61"/>
        <v>7.62393447248093E-07i</v>
      </c>
      <c r="AH53">
        <f t="shared" si="76"/>
        <v>7.6239344724809304E-7</v>
      </c>
      <c r="AI53">
        <f t="shared" si="77"/>
        <v>1.5707963267948966</v>
      </c>
      <c r="AJ53" t="str">
        <f t="shared" si="62"/>
        <v>1+0.017564707898092i</v>
      </c>
      <c r="AK53">
        <f t="shared" si="78"/>
        <v>1.0001542475856138</v>
      </c>
      <c r="AL53">
        <f t="shared" si="79"/>
        <v>1.7562901883902089E-2</v>
      </c>
      <c r="AM53" t="str">
        <f t="shared" si="63"/>
        <v>1+0.132223217788415i</v>
      </c>
      <c r="AN53">
        <f t="shared" si="80"/>
        <v>1.008703613219623</v>
      </c>
      <c r="AO53">
        <f t="shared" si="81"/>
        <v>0.13146064920184833</v>
      </c>
      <c r="AP53" s="42" t="str">
        <f t="shared" si="82"/>
        <v>-5.01842050624419+43.8700590385673i</v>
      </c>
      <c r="AQ53">
        <f t="shared" si="83"/>
        <v>32.899826319830467</v>
      </c>
      <c r="AR53" s="44">
        <f t="shared" si="84"/>
        <v>96.525860217365775</v>
      </c>
      <c r="AS53" s="42" t="str">
        <f t="shared" si="85"/>
        <v>6892.95975197895+3201.68256571179i</v>
      </c>
      <c r="AT53" s="20">
        <f t="shared" si="86"/>
        <v>77.616547435968087</v>
      </c>
      <c r="AU53" s="44">
        <f t="shared" si="87"/>
        <v>24.914203559262564</v>
      </c>
    </row>
    <row r="54" spans="1:47" x14ac:dyDescent="0.3">
      <c r="A54" t="s">
        <v>199</v>
      </c>
      <c r="B54" s="1">
        <f>2*PI()*Fsw</f>
        <v>1570796.3267948965</v>
      </c>
      <c r="C54" t="s">
        <v>205</v>
      </c>
      <c r="N54" s="8">
        <v>36</v>
      </c>
      <c r="O54" s="35">
        <f t="shared" si="64"/>
        <v>22.908676527677727</v>
      </c>
      <c r="P54" s="34" t="str">
        <f t="shared" si="55"/>
        <v>545.10556621881</v>
      </c>
      <c r="Q54" s="4" t="str">
        <f t="shared" si="56"/>
        <v>1+3.07494469710464i</v>
      </c>
      <c r="R54" s="4">
        <f t="shared" si="65"/>
        <v>3.2334632965679302</v>
      </c>
      <c r="S54" s="4">
        <f t="shared" si="66"/>
        <v>1.2563753148012</v>
      </c>
      <c r="T54" s="4" t="str">
        <f t="shared" si="57"/>
        <v>1+0.0000719697298828175i</v>
      </c>
      <c r="U54" s="4">
        <f t="shared" si="67"/>
        <v>1.000000002589821</v>
      </c>
      <c r="V54" s="4">
        <f t="shared" si="68"/>
        <v>7.1969729758558353E-5</v>
      </c>
      <c r="W54" t="str">
        <f t="shared" si="58"/>
        <v>1-0.0000747621554022706i</v>
      </c>
      <c r="X54" s="4">
        <f t="shared" si="69"/>
        <v>1.0000000027946898</v>
      </c>
      <c r="Y54" s="4">
        <f t="shared" si="70"/>
        <v>-7.4762155262979245E-5</v>
      </c>
      <c r="Z54" t="str">
        <f t="shared" si="59"/>
        <v>0.999999966412323+0.000323752854094414i</v>
      </c>
      <c r="AA54" s="4">
        <f t="shared" si="71"/>
        <v>1.0000000188202787</v>
      </c>
      <c r="AB54" s="4">
        <f t="shared" si="72"/>
        <v>3.2375285365703684E-4</v>
      </c>
      <c r="AC54" s="48" t="str">
        <f t="shared" si="73"/>
        <v>52.0844903164075-160.334928943574i</v>
      </c>
      <c r="AD54" s="20">
        <f t="shared" si="74"/>
        <v>44.536253506607807</v>
      </c>
      <c r="AE54" s="44">
        <f t="shared" si="75"/>
        <v>-72.003712688844857</v>
      </c>
      <c r="AF54" t="str">
        <f t="shared" si="60"/>
        <v>-0.0000333790427773504</v>
      </c>
      <c r="AG54" t="str">
        <f t="shared" si="61"/>
        <v>7.80151871929739E-07i</v>
      </c>
      <c r="AH54">
        <f t="shared" si="76"/>
        <v>7.8015187192973901E-7</v>
      </c>
      <c r="AI54">
        <f t="shared" si="77"/>
        <v>1.5707963267948966</v>
      </c>
      <c r="AJ54" t="str">
        <f t="shared" si="62"/>
        <v>1+0.017973842503576i</v>
      </c>
      <c r="AK54">
        <f t="shared" si="78"/>
        <v>1.0001615164633877</v>
      </c>
      <c r="AL54">
        <f t="shared" si="79"/>
        <v>1.7971907341384052E-2</v>
      </c>
      <c r="AM54" t="str">
        <f t="shared" si="63"/>
        <v>1+0.135303092179697i</v>
      </c>
      <c r="AN54">
        <f t="shared" si="80"/>
        <v>1.0091119495642629</v>
      </c>
      <c r="AO54">
        <f t="shared" si="81"/>
        <v>0.13448638317740003</v>
      </c>
      <c r="AP54" s="42" t="str">
        <f t="shared" si="82"/>
        <v>-5.0183475617205+42.8755129491574i</v>
      </c>
      <c r="AQ54">
        <f t="shared" si="83"/>
        <v>32.703278642743399</v>
      </c>
      <c r="AR54" s="44">
        <f t="shared" si="84"/>
        <v>96.675787717582708</v>
      </c>
      <c r="AS54" s="42" t="str">
        <f t="shared" si="85"/>
        <v>6613.06424713964+3037.76563873401i</v>
      </c>
      <c r="AT54" s="20">
        <f t="shared" si="86"/>
        <v>77.239532149351206</v>
      </c>
      <c r="AU54" s="44">
        <f t="shared" si="87"/>
        <v>24.672075028737872</v>
      </c>
    </row>
    <row r="55" spans="1:47" x14ac:dyDescent="0.3">
      <c r="A55" t="s">
        <v>200</v>
      </c>
      <c r="B55" s="1">
        <f>1/(PI()*(((1-Dc_var_ccm)*mc)-0.5))</f>
        <v>0.56607813615745484</v>
      </c>
      <c r="N55" s="8">
        <v>37</v>
      </c>
      <c r="O55" s="35">
        <f t="shared" si="64"/>
        <v>23.442288153199236</v>
      </c>
      <c r="P55" s="34" t="str">
        <f t="shared" si="55"/>
        <v>545.10556621881</v>
      </c>
      <c r="Q55" s="4" t="str">
        <f t="shared" si="56"/>
        <v>1+3.14656936019805i</v>
      </c>
      <c r="R55" s="4">
        <f t="shared" si="65"/>
        <v>3.3016509110651246</v>
      </c>
      <c r="S55" s="4">
        <f t="shared" si="66"/>
        <v>1.2630844533735561</v>
      </c>
      <c r="T55" s="4" t="str">
        <f t="shared" si="57"/>
        <v>1+0.000073646120245426i</v>
      </c>
      <c r="U55" s="4">
        <f t="shared" si="67"/>
        <v>1.0000000027118754</v>
      </c>
      <c r="V55" s="4">
        <f t="shared" si="68"/>
        <v>7.3646120112279924E-5</v>
      </c>
      <c r="W55" t="str">
        <f t="shared" si="58"/>
        <v>1-0.0000765035897109483i</v>
      </c>
      <c r="X55" s="4">
        <f t="shared" si="69"/>
        <v>1.0000000029263996</v>
      </c>
      <c r="Y55" s="4">
        <f t="shared" si="70"/>
        <v>-7.650358956169491E-5</v>
      </c>
      <c r="Z55" t="str">
        <f t="shared" si="59"/>
        <v>0.999999964829384+0.000331294026825708i</v>
      </c>
      <c r="AA55" s="4">
        <f t="shared" si="71"/>
        <v>1.0000000197072505</v>
      </c>
      <c r="AB55" s="4">
        <f t="shared" si="72"/>
        <v>3.312940263570501E-4</v>
      </c>
      <c r="AC55" s="48" t="str">
        <f t="shared" si="73"/>
        <v>49.9529809773886-157.362667228379i</v>
      </c>
      <c r="AD55" s="20">
        <f t="shared" si="74"/>
        <v>44.354989158941713</v>
      </c>
      <c r="AE55" s="44">
        <f t="shared" si="75"/>
        <v>-72.388553817321053</v>
      </c>
      <c r="AF55" t="str">
        <f t="shared" si="60"/>
        <v>-0.0000333790427773504</v>
      </c>
      <c r="AG55" t="str">
        <f t="shared" si="61"/>
        <v>7.98323943460415E-07i</v>
      </c>
      <c r="AH55">
        <f t="shared" si="76"/>
        <v>7.98323943460415E-7</v>
      </c>
      <c r="AI55">
        <f t="shared" si="77"/>
        <v>1.5707963267948966</v>
      </c>
      <c r="AJ55" t="str">
        <f t="shared" si="62"/>
        <v>1+0.0183925070782673i</v>
      </c>
      <c r="AK55">
        <f t="shared" si="78"/>
        <v>1.0001691278561962</v>
      </c>
      <c r="AL55">
        <f t="shared" si="79"/>
        <v>1.8390433533556967E-2</v>
      </c>
      <c r="AM55" t="str">
        <f t="shared" si="63"/>
        <v>1+0.138454706061401i</v>
      </c>
      <c r="AN55">
        <f t="shared" si="80"/>
        <v>1.009539353185674</v>
      </c>
      <c r="AO55">
        <f t="shared" si="81"/>
        <v>0.13758003258800539</v>
      </c>
      <c r="AP55" s="42" t="str">
        <f t="shared" si="82"/>
        <v>-5.01827118170008+41.9036999006666i</v>
      </c>
      <c r="AQ55">
        <f t="shared" si="83"/>
        <v>32.50689062220119</v>
      </c>
      <c r="AR55" s="44">
        <f t="shared" si="84"/>
        <v>96.829060987676371</v>
      </c>
      <c r="AS55" s="42" t="str">
        <f t="shared" si="85"/>
        <v>6343.40037822761+2882.90326204783i</v>
      </c>
      <c r="AT55" s="20">
        <f t="shared" si="86"/>
        <v>76.861879781142903</v>
      </c>
      <c r="AU55" s="44">
        <f t="shared" si="87"/>
        <v>24.4405071703553</v>
      </c>
    </row>
    <row r="56" spans="1:47" x14ac:dyDescent="0.3">
      <c r="N56" s="8">
        <v>38</v>
      </c>
      <c r="O56" s="35">
        <f t="shared" si="64"/>
        <v>23.988329190194907</v>
      </c>
      <c r="P56" s="34" t="str">
        <f t="shared" si="55"/>
        <v>545.10556621881</v>
      </c>
      <c r="Q56" s="4" t="str">
        <f t="shared" si="56"/>
        <v>1+3.21986237601599i</v>
      </c>
      <c r="R56" s="4">
        <f t="shared" si="65"/>
        <v>3.3715743682267099</v>
      </c>
      <c r="S56" s="4">
        <f t="shared" si="66"/>
        <v>1.2696686354747924</v>
      </c>
      <c r="T56" s="4" t="str">
        <f t="shared" si="57"/>
        <v>1+0.00007536155875581i</v>
      </c>
      <c r="U56" s="4">
        <f t="shared" si="67"/>
        <v>1.0000000028396823</v>
      </c>
      <c r="V56" s="4">
        <f t="shared" si="68"/>
        <v>7.5361558613141406E-5</v>
      </c>
      <c r="W56" t="str">
        <f t="shared" si="58"/>
        <v>1-0.0000782855872355352i</v>
      </c>
      <c r="X56" s="4">
        <f t="shared" si="69"/>
        <v>1.0000000030643166</v>
      </c>
      <c r="Y56" s="4">
        <f t="shared" si="70"/>
        <v>-7.8285587075607312E-5</v>
      </c>
      <c r="Z56" t="str">
        <f t="shared" si="59"/>
        <v>0.999999963171844+0.000339010856035218i</v>
      </c>
      <c r="AA56" s="4">
        <f t="shared" si="71"/>
        <v>1.0000000206360249</v>
      </c>
      <c r="AB56" s="4">
        <f t="shared" si="72"/>
        <v>3.3901085553304197E-4</v>
      </c>
      <c r="AC56" s="48" t="str">
        <f t="shared" si="73"/>
        <v>47.9001290540115-154.418213949494i</v>
      </c>
      <c r="AD56" s="20">
        <f t="shared" si="74"/>
        <v>44.17295733632087</v>
      </c>
      <c r="AE56" s="44">
        <f t="shared" si="75"/>
        <v>-72.766245618561001</v>
      </c>
      <c r="AF56" t="str">
        <f t="shared" si="60"/>
        <v>-0.0000333790427773504</v>
      </c>
      <c r="AG56" t="str">
        <f t="shared" si="61"/>
        <v>8.1691929691298E-07i</v>
      </c>
      <c r="AH56">
        <f t="shared" si="76"/>
        <v>8.1691929691298005E-7</v>
      </c>
      <c r="AI56">
        <f t="shared" si="77"/>
        <v>1.5707963267948966</v>
      </c>
      <c r="AJ56" t="str">
        <f t="shared" si="62"/>
        <v>1+0.018820923603665i</v>
      </c>
      <c r="AK56">
        <f t="shared" si="78"/>
        <v>1.0001770979008142</v>
      </c>
      <c r="AL56">
        <f t="shared" si="79"/>
        <v>1.8818701781724911E-2</v>
      </c>
      <c r="AM56" t="str">
        <f t="shared" si="63"/>
        <v>1+0.141679730460923i</v>
      </c>
      <c r="AN56">
        <f t="shared" si="80"/>
        <v>1.0099867058647256</v>
      </c>
      <c r="AO56">
        <f t="shared" si="81"/>
        <v>0.14074300073649662</v>
      </c>
      <c r="AP56" s="42" t="str">
        <f t="shared" si="82"/>
        <v>-5.01819120449215+40.9541046161221i</v>
      </c>
      <c r="AQ56">
        <f t="shared" si="83"/>
        <v>32.310669494330625</v>
      </c>
      <c r="AR56" s="44">
        <f t="shared" si="84"/>
        <v>96.985747750199735</v>
      </c>
      <c r="AS56" s="42" t="str">
        <f t="shared" si="85"/>
        <v>6083.68768240942+2736.60701945847i</v>
      </c>
      <c r="AT56" s="20">
        <f t="shared" si="86"/>
        <v>76.483626830651474</v>
      </c>
      <c r="AU56" s="44">
        <f t="shared" si="87"/>
        <v>24.219502131638713</v>
      </c>
    </row>
    <row r="57" spans="1:47" x14ac:dyDescent="0.3">
      <c r="N57" s="8">
        <v>39</v>
      </c>
      <c r="O57" s="35">
        <f t="shared" si="64"/>
        <v>24.547089156850316</v>
      </c>
      <c r="P57" s="34" t="str">
        <f t="shared" si="55"/>
        <v>545.10556621881</v>
      </c>
      <c r="Q57" s="4" t="str">
        <f t="shared" si="56"/>
        <v>1+3.29486260548561i</v>
      </c>
      <c r="R57" s="4">
        <f t="shared" si="65"/>
        <v>3.4432716403193377</v>
      </c>
      <c r="S57" s="4">
        <f t="shared" si="66"/>
        <v>1.2761290678379189</v>
      </c>
      <c r="T57" s="4" t="str">
        <f t="shared" si="57"/>
        <v>1+0.0000771169549621745i</v>
      </c>
      <c r="U57" s="4">
        <f t="shared" si="67"/>
        <v>1.0000000029735123</v>
      </c>
      <c r="V57" s="4">
        <f t="shared" si="68"/>
        <v>7.7116954809302354E-5</v>
      </c>
      <c r="W57" t="str">
        <f t="shared" si="58"/>
        <v>1-0.0000801090928147066i</v>
      </c>
      <c r="X57" s="4">
        <f t="shared" si="69"/>
        <v>1.0000000032087333</v>
      </c>
      <c r="Y57" s="4">
        <f t="shared" si="70"/>
        <v>-8.0109092643340795E-5</v>
      </c>
      <c r="Z57" t="str">
        <f t="shared" si="59"/>
        <v>0.999999961436187+0.000346907433287937i</v>
      </c>
      <c r="AA57" s="4">
        <f t="shared" si="71"/>
        <v>1.0000000216085712</v>
      </c>
      <c r="AB57" s="4">
        <f t="shared" si="72"/>
        <v>3.4690743274984554E-4</v>
      </c>
      <c r="AC57" s="48" t="str">
        <f t="shared" si="73"/>
        <v>45.923717618586-151.503072083068i</v>
      </c>
      <c r="AD57" s="20">
        <f t="shared" si="74"/>
        <v>43.99018648843839</v>
      </c>
      <c r="AE57" s="44">
        <f t="shared" si="75"/>
        <v>-73.136857469724532</v>
      </c>
      <c r="AF57" t="str">
        <f t="shared" si="60"/>
        <v>-0.0000333790427773504</v>
      </c>
      <c r="AG57" t="str">
        <f t="shared" si="61"/>
        <v>8.35947791789973E-07i</v>
      </c>
      <c r="AH57">
        <f t="shared" si="76"/>
        <v>8.3594779178997305E-7</v>
      </c>
      <c r="AI57">
        <f t="shared" si="77"/>
        <v>1.5707963267948966</v>
      </c>
      <c r="AJ57" t="str">
        <f t="shared" si="62"/>
        <v>1+0.0192593192318818i</v>
      </c>
      <c r="AK57">
        <f t="shared" si="78"/>
        <v>1.000185443493993</v>
      </c>
      <c r="AL57">
        <f t="shared" si="79"/>
        <v>1.9256938530619511E-2</v>
      </c>
      <c r="AM57" t="str">
        <f t="shared" si="63"/>
        <v>1+0.144979875328888i</v>
      </c>
      <c r="AN57">
        <f t="shared" si="80"/>
        <v>1.0104549293513194</v>
      </c>
      <c r="AO57">
        <f t="shared" si="81"/>
        <v>0.14397671138972687</v>
      </c>
      <c r="AP57" s="42" t="str">
        <f t="shared" si="82"/>
        <v>-5.01810746080672+40.0262235980714i</v>
      </c>
      <c r="AQ57">
        <f t="shared" si="83"/>
        <v>32.114622809297529</v>
      </c>
      <c r="AR57" s="44">
        <f t="shared" si="84"/>
        <v>97.145916606657138</v>
      </c>
      <c r="AS57" s="42" t="str">
        <f t="shared" si="85"/>
        <v>5833.6456889818+2598.4116862114i</v>
      </c>
      <c r="AT57" s="20">
        <f t="shared" si="86"/>
        <v>76.104809297735926</v>
      </c>
      <c r="AU57" s="44">
        <f t="shared" si="87"/>
        <v>24.009059136932649</v>
      </c>
    </row>
    <row r="58" spans="1:47" x14ac:dyDescent="0.3">
      <c r="N58" s="8">
        <v>40</v>
      </c>
      <c r="O58" s="35">
        <f t="shared" si="64"/>
        <v>25.118864315095799</v>
      </c>
      <c r="P58" s="34" t="str">
        <f t="shared" si="55"/>
        <v>545.10556621881</v>
      </c>
      <c r="Q58" s="4" t="str">
        <f t="shared" si="56"/>
        <v>1+3.37160981472135i</v>
      </c>
      <c r="R58" s="4">
        <f t="shared" si="65"/>
        <v>3.5167815887150757</v>
      </c>
      <c r="S58" s="4">
        <f t="shared" si="66"/>
        <v>1.2824670179587434</v>
      </c>
      <c r="T58" s="4" t="str">
        <f t="shared" si="57"/>
        <v>1+0.000078913239598824i</v>
      </c>
      <c r="U58" s="4">
        <f t="shared" si="67"/>
        <v>1.0000000031136496</v>
      </c>
      <c r="V58" s="4">
        <f t="shared" si="68"/>
        <v>7.8913239435018546E-5</v>
      </c>
      <c r="W58" t="str">
        <f t="shared" si="58"/>
        <v>1-0.0000819750732952581i</v>
      </c>
      <c r="X58" s="4">
        <f t="shared" si="69"/>
        <v>1.0000000033599563</v>
      </c>
      <c r="Y58" s="4">
        <f t="shared" si="70"/>
        <v>-8.197507311163632E-5</v>
      </c>
      <c r="Z58" t="str">
        <f t="shared" si="59"/>
        <v>0.99999995961873+0.000354987945453651i</v>
      </c>
      <c r="AA58" s="4">
        <f t="shared" si="71"/>
        <v>1.0000000226269512</v>
      </c>
      <c r="AB58" s="4">
        <f t="shared" si="72"/>
        <v>3.549879448770758E-4</v>
      </c>
      <c r="AC58" s="48" t="str">
        <f t="shared" si="73"/>
        <v>44.0215356922391-148.61861671901i</v>
      </c>
      <c r="AD58" s="20">
        <f t="shared" si="74"/>
        <v>43.806704252594521</v>
      </c>
      <c r="AE58" s="44">
        <f t="shared" si="75"/>
        <v>-73.500462234931121</v>
      </c>
      <c r="AF58" t="str">
        <f t="shared" si="60"/>
        <v>-0.0000333790427773504</v>
      </c>
      <c r="AG58" t="str">
        <f t="shared" si="61"/>
        <v>8.5541951725125E-07i</v>
      </c>
      <c r="AH58">
        <f t="shared" si="76"/>
        <v>8.5541951725125005E-7</v>
      </c>
      <c r="AI58">
        <f t="shared" si="77"/>
        <v>1.5707963267948966</v>
      </c>
      <c r="AJ58" t="str">
        <f t="shared" si="62"/>
        <v>1+0.0197079264060827i</v>
      </c>
      <c r="AK58">
        <f t="shared" si="78"/>
        <v>1.0001941823282254</v>
      </c>
      <c r="AL58">
        <f t="shared" si="79"/>
        <v>1.9705375465467655E-2</v>
      </c>
      <c r="AM58" t="str">
        <f t="shared" si="63"/>
        <v>1+0.14835689044579i</v>
      </c>
      <c r="AN58">
        <f t="shared" si="80"/>
        <v>1.0109449871000618</v>
      </c>
      <c r="AO58">
        <f t="shared" si="81"/>
        <v>0.14728260844632121</v>
      </c>
      <c r="AP58" s="42" t="str">
        <f t="shared" si="82"/>
        <v>-5.01801977339874+39.119564861579i</v>
      </c>
      <c r="AQ58">
        <f t="shared" si="83"/>
        <v>31.91875844362216</v>
      </c>
      <c r="AR58" s="44">
        <f t="shared" si="84"/>
        <v>97.309637011760088</v>
      </c>
      <c r="AS58" s="42" t="str">
        <f t="shared" si="85"/>
        <v>5592.99467981843+2467.87447821002i</v>
      </c>
      <c r="AT58" s="20">
        <f t="shared" si="86"/>
        <v>75.725462696216681</v>
      </c>
      <c r="AU58" s="44">
        <f t="shared" si="87"/>
        <v>23.809174776828943</v>
      </c>
    </row>
    <row r="59" spans="1:47" x14ac:dyDescent="0.3">
      <c r="N59" s="8">
        <v>41</v>
      </c>
      <c r="O59" s="35">
        <f t="shared" si="64"/>
        <v>25.703957827688647</v>
      </c>
      <c r="P59" s="34" t="str">
        <f t="shared" si="55"/>
        <v>545.10556621881</v>
      </c>
      <c r="Q59" s="4" t="str">
        <f t="shared" si="56"/>
        <v>1+3.45014469610936i</v>
      </c>
      <c r="R59" s="4">
        <f t="shared" si="65"/>
        <v>3.5921439871045742</v>
      </c>
      <c r="S59" s="4">
        <f t="shared" si="66"/>
        <v>1.2886838087975976</v>
      </c>
      <c r="T59" s="4" t="str">
        <f t="shared" si="57"/>
        <v>1+0.0000807513650796485i</v>
      </c>
      <c r="U59" s="4">
        <f t="shared" si="67"/>
        <v>1.0000000032603915</v>
      </c>
      <c r="V59" s="4">
        <f t="shared" si="68"/>
        <v>8.0751364904127802E-5</v>
      </c>
      <c r="W59" t="str">
        <f t="shared" si="58"/>
        <v>1-0.0000838845180447386i</v>
      </c>
      <c r="X59" s="4">
        <f t="shared" si="69"/>
        <v>1.0000000035183061</v>
      </c>
      <c r="Y59" s="4">
        <f t="shared" si="70"/>
        <v>-8.3884517847984327E-5</v>
      </c>
      <c r="Z59" t="str">
        <f t="shared" si="59"/>
        <v>0.999999957715619+0.000363256676926862i</v>
      </c>
      <c r="AA59" s="4">
        <f t="shared" si="71"/>
        <v>1.0000000236933264</v>
      </c>
      <c r="AB59" s="4">
        <f t="shared" si="72"/>
        <v>3.632566763090506E-4</v>
      </c>
      <c r="AC59" s="48" t="str">
        <f t="shared" si="73"/>
        <v>42.191383741754-145.766099965612i</v>
      </c>
      <c r="AD59" s="20">
        <f t="shared" si="74"/>
        <v>43.622537456903139</v>
      </c>
      <c r="AE59" s="44">
        <f t="shared" si="75"/>
        <v>-73.857135961818969</v>
      </c>
      <c r="AF59" t="str">
        <f t="shared" si="60"/>
        <v>-0.0000333790427773504</v>
      </c>
      <c r="AG59" t="str">
        <f t="shared" si="61"/>
        <v>8.7534479746339E-07i</v>
      </c>
      <c r="AH59">
        <f t="shared" si="76"/>
        <v>8.7534479746339001E-7</v>
      </c>
      <c r="AI59">
        <f t="shared" si="77"/>
        <v>1.5707963267948966</v>
      </c>
      <c r="AJ59" t="str">
        <f t="shared" si="62"/>
        <v>1+0.0201669829837292i</v>
      </c>
      <c r="AK59">
        <f t="shared" si="78"/>
        <v>1.0002033329291931</v>
      </c>
      <c r="AL59">
        <f t="shared" si="79"/>
        <v>2.0164249631624089E-2</v>
      </c>
      <c r="AM59" t="str">
        <f t="shared" si="63"/>
        <v>1+0.15181256634974i</v>
      </c>
      <c r="AN59">
        <f t="shared" si="80"/>
        <v>1.0114578860742023</v>
      </c>
      <c r="AO59">
        <f t="shared" si="81"/>
        <v>0.15066215554639753</v>
      </c>
      <c r="AP59" s="42" t="str">
        <f t="shared" si="82"/>
        <v>-5.01792795669498+38.2336476733183i</v>
      </c>
      <c r="AQ59">
        <f t="shared" si="83"/>
        <v>31.723084612850727</v>
      </c>
      <c r="AR59" s="44">
        <f t="shared" si="84"/>
        <v>97.476979244211819</v>
      </c>
      <c r="AS59" s="42" t="str">
        <f t="shared" si="85"/>
        <v>5361.45638478951+2344.57428898783i</v>
      </c>
      <c r="AT59" s="20">
        <f t="shared" si="86"/>
        <v>75.345622069753858</v>
      </c>
      <c r="AU59" s="44">
        <f t="shared" si="87"/>
        <v>23.619843282392843</v>
      </c>
    </row>
    <row r="60" spans="1:47" x14ac:dyDescent="0.3">
      <c r="N60" s="8">
        <v>42</v>
      </c>
      <c r="O60" s="35">
        <f t="shared" si="64"/>
        <v>26.302679918953825</v>
      </c>
      <c r="P60" s="34" t="str">
        <f t="shared" si="55"/>
        <v>545.10556621881</v>
      </c>
      <c r="Q60" s="4" t="str">
        <f t="shared" si="56"/>
        <v>1+3.53050888988331i</v>
      </c>
      <c r="R60" s="4">
        <f t="shared" si="65"/>
        <v>3.6693995450952297</v>
      </c>
      <c r="S60" s="4">
        <f t="shared" si="66"/>
        <v>1.2947808136901566</v>
      </c>
      <c r="T60" s="4" t="str">
        <f t="shared" si="57"/>
        <v>1+0.000082632306003109i</v>
      </c>
      <c r="U60" s="4">
        <f t="shared" si="67"/>
        <v>1.000000003414049</v>
      </c>
      <c r="V60" s="4">
        <f t="shared" si="68"/>
        <v>8.2632305815035179E-5</v>
      </c>
      <c r="W60" t="str">
        <f t="shared" si="58"/>
        <v>1-0.0000858384394760294i</v>
      </c>
      <c r="X60" s="4">
        <f t="shared" si="69"/>
        <v>1.0000000036841188</v>
      </c>
      <c r="Y60" s="4">
        <f t="shared" si="70"/>
        <v>-8.5838439265203381E-5</v>
      </c>
      <c r="Z60" t="str">
        <f t="shared" si="59"/>
        <v>0.999999955722818+0.000371718011898452i</v>
      </c>
      <c r="AA60" s="4">
        <f t="shared" si="71"/>
        <v>1.000000024809959</v>
      </c>
      <c r="AB60" s="4">
        <f t="shared" si="72"/>
        <v>3.7171801123645501E-4</v>
      </c>
      <c r="AC60" s="48" t="str">
        <f t="shared" si="73"/>
        <v>40.431078680507-142.946655938872i</v>
      </c>
      <c r="AD60" s="20">
        <f t="shared" si="74"/>
        <v>43.43771212542255</v>
      </c>
      <c r="AE60" s="44">
        <f t="shared" si="75"/>
        <v>-74.206957590088621</v>
      </c>
      <c r="AF60" t="str">
        <f t="shared" si="60"/>
        <v>-0.0000333790427773504</v>
      </c>
      <c r="AG60" t="str">
        <f t="shared" si="61"/>
        <v>8.95734197073703E-07i</v>
      </c>
      <c r="AH60">
        <f t="shared" si="76"/>
        <v>8.95734197073703E-7</v>
      </c>
      <c r="AI60">
        <f t="shared" si="77"/>
        <v>1.5707963267948966</v>
      </c>
      <c r="AJ60" t="str">
        <f t="shared" si="62"/>
        <v>1+0.0206367323626953i</v>
      </c>
      <c r="AK60">
        <f t="shared" si="78"/>
        <v>1.0002129146949712</v>
      </c>
      <c r="AL60">
        <f t="shared" si="79"/>
        <v>2.0633803556818008E-2</v>
      </c>
      <c r="AM60" t="str">
        <f t="shared" si="63"/>
        <v>1+0.155348735285845i</v>
      </c>
      <c r="AN60">
        <f t="shared" si="80"/>
        <v>1.0119946786198588</v>
      </c>
      <c r="AO60">
        <f t="shared" si="81"/>
        <v>0.15411683561919728</v>
      </c>
      <c r="AP60" s="42" t="str">
        <f t="shared" si="82"/>
        <v>-5.0178318164045+37.3680022966318i</v>
      </c>
      <c r="AQ60">
        <f t="shared" si="83"/>
        <v>31.527609884583462</v>
      </c>
      <c r="AR60" s="44">
        <f t="shared" si="84"/>
        <v>97.648014373783809</v>
      </c>
      <c r="AS60" s="42" t="str">
        <f t="shared" si="85"/>
        <v>5138.754614445+2228.11091920719i</v>
      </c>
      <c r="AT60" s="20">
        <f t="shared" si="86"/>
        <v>74.96532201000602</v>
      </c>
      <c r="AU60" s="44">
        <f t="shared" si="87"/>
        <v>23.441056783695245</v>
      </c>
    </row>
    <row r="61" spans="1:47" ht="15.6" x14ac:dyDescent="0.3">
      <c r="A61" s="36" t="s">
        <v>215</v>
      </c>
      <c r="N61" s="8">
        <v>43</v>
      </c>
      <c r="O61" s="35">
        <f t="shared" si="64"/>
        <v>26.915348039269158</v>
      </c>
      <c r="P61" s="34" t="str">
        <f t="shared" si="55"/>
        <v>545.10556621881</v>
      </c>
      <c r="Q61" s="4" t="str">
        <f t="shared" si="56"/>
        <v>1+3.61274500620251i</v>
      </c>
      <c r="R61" s="4">
        <f t="shared" si="65"/>
        <v>3.7485899322066656</v>
      </c>
      <c r="S61" s="4">
        <f t="shared" si="66"/>
        <v>1.3007594514701408</v>
      </c>
      <c r="T61" s="4" t="str">
        <f t="shared" si="57"/>
        <v>1+0.0000845570596689805i</v>
      </c>
      <c r="U61" s="4">
        <f t="shared" si="67"/>
        <v>1.0000000035749481</v>
      </c>
      <c r="V61" s="4">
        <f t="shared" si="68"/>
        <v>8.4557059467455764E-5</v>
      </c>
      <c r="W61" t="str">
        <f t="shared" si="58"/>
        <v>1-0.0000878378735841367i</v>
      </c>
      <c r="X61" s="4">
        <f t="shared" si="69"/>
        <v>1.0000000038577459</v>
      </c>
      <c r="Y61" s="4">
        <f t="shared" si="70"/>
        <v>-8.7837873358232569E-5</v>
      </c>
      <c r="Z61" t="str">
        <f t="shared" si="59"/>
        <v>0.999999953636099+0.00038037643668022i</v>
      </c>
      <c r="AA61" s="4">
        <f t="shared" si="71"/>
        <v>1.0000000259792163</v>
      </c>
      <c r="AB61" s="4">
        <f t="shared" si="72"/>
        <v>3.8037643597087738E-4</v>
      </c>
      <c r="AC61" s="48" t="str">
        <f t="shared" si="73"/>
        <v>38.7384583932738-140.161305801694i</v>
      </c>
      <c r="AD61" s="20">
        <f t="shared" si="74"/>
        <v>43.25225348503335</v>
      </c>
      <c r="AE61" s="44">
        <f t="shared" si="75"/>
        <v>-74.550008672187744</v>
      </c>
      <c r="AF61" t="str">
        <f t="shared" si="60"/>
        <v>-0.0000333790427773504</v>
      </c>
      <c r="AG61" t="str">
        <f t="shared" si="61"/>
        <v>9.16598526811748E-07i</v>
      </c>
      <c r="AH61">
        <f t="shared" si="76"/>
        <v>9.1659852681174798E-7</v>
      </c>
      <c r="AI61">
        <f t="shared" si="77"/>
        <v>1.5707963267948966</v>
      </c>
      <c r="AJ61" t="str">
        <f t="shared" si="62"/>
        <v>1+0.0211174236103196i</v>
      </c>
      <c r="AK61">
        <f t="shared" si="78"/>
        <v>1.0002229479370774</v>
      </c>
      <c r="AL61">
        <f t="shared" si="79"/>
        <v>2.1114285376059604E-2</v>
      </c>
      <c r="AM61" t="str">
        <f t="shared" si="63"/>
        <v>1+0.158967272177684i</v>
      </c>
      <c r="AN61">
        <f t="shared" si="80"/>
        <v>1.0125564644125353</v>
      </c>
      <c r="AO61">
        <f t="shared" si="81"/>
        <v>0.15764815036430371</v>
      </c>
      <c r="AP61" s="42" t="str">
        <f t="shared" si="82"/>
        <v>-5.01773114911016+36.5221697424126i</v>
      </c>
      <c r="AQ61">
        <f t="shared" si="83"/>
        <v>31.332343191852715</v>
      </c>
      <c r="AR61" s="44">
        <f t="shared" si="84"/>
        <v>97.82281422443539</v>
      </c>
      <c r="AS61" s="42" t="str">
        <f t="shared" si="85"/>
        <v>4924.61583245923+2118.10430301965i</v>
      </c>
      <c r="AT61" s="20">
        <f t="shared" si="86"/>
        <v>74.584596676886065</v>
      </c>
      <c r="AU61" s="44">
        <f t="shared" si="87"/>
        <v>23.272805552247664</v>
      </c>
    </row>
    <row r="62" spans="1:47" x14ac:dyDescent="0.3">
      <c r="A62" t="s">
        <v>180</v>
      </c>
      <c r="N62" s="8">
        <v>44</v>
      </c>
      <c r="O62" s="35">
        <f t="shared" si="64"/>
        <v>27.542287033381665</v>
      </c>
      <c r="P62" s="34" t="str">
        <f t="shared" si="55"/>
        <v>545.10556621881</v>
      </c>
      <c r="Q62" s="4" t="str">
        <f t="shared" si="56"/>
        <v>1+3.69689664774432i</v>
      </c>
      <c r="R62" s="4">
        <f t="shared" si="65"/>
        <v>3.8297578022772134</v>
      </c>
      <c r="S62" s="4">
        <f t="shared" si="66"/>
        <v>1.3066211818053517</v>
      </c>
      <c r="T62" s="4" t="str">
        <f t="shared" si="57"/>
        <v>1+0.0000865266466071335i</v>
      </c>
      <c r="U62" s="4">
        <f t="shared" si="67"/>
        <v>1.0000000037434302</v>
      </c>
      <c r="V62" s="4">
        <f t="shared" si="68"/>
        <v>8.652664639119585E-5</v>
      </c>
      <c r="W62" t="str">
        <f t="shared" si="58"/>
        <v>1-0.00008988388049549i</v>
      </c>
      <c r="X62" s="4">
        <f t="shared" si="69"/>
        <v>1.000000004039556</v>
      </c>
      <c r="Y62" s="4">
        <f t="shared" si="70"/>
        <v>-8.9883880253429358E-5</v>
      </c>
      <c r="Z62" t="str">
        <f t="shared" si="59"/>
        <v>0.999999951451035+0.000389236542083594i</v>
      </c>
      <c r="AA62" s="4">
        <f t="shared" si="71"/>
        <v>1.0000000272035787</v>
      </c>
      <c r="AB62" s="4">
        <f t="shared" si="72"/>
        <v>3.8923654132351986E-4</v>
      </c>
      <c r="AC62" s="48" t="str">
        <f t="shared" si="73"/>
        <v>37.1113858059142-137.410962821493i</v>
      </c>
      <c r="AD62" s="20">
        <f t="shared" si="74"/>
        <v>43.066185973892516</v>
      </c>
      <c r="AE62" s="44">
        <f t="shared" si="75"/>
        <v>-74.886373106223672</v>
      </c>
      <c r="AF62" t="str">
        <f t="shared" si="60"/>
        <v>-0.0000333790427773504</v>
      </c>
      <c r="AG62" t="str">
        <f t="shared" si="61"/>
        <v>9.37948849221325E-07i</v>
      </c>
      <c r="AH62">
        <f t="shared" si="76"/>
        <v>9.3794884922132496E-7</v>
      </c>
      <c r="AI62">
        <f t="shared" si="77"/>
        <v>1.5707963267948966</v>
      </c>
      <c r="AJ62" t="str">
        <f t="shared" si="62"/>
        <v>1+0.0216093115954642i</v>
      </c>
      <c r="AK62">
        <f t="shared" si="78"/>
        <v>1.0002334539234476</v>
      </c>
      <c r="AL62">
        <f t="shared" si="79"/>
        <v>2.1605948959257538E-2</v>
      </c>
      <c r="AM62" t="str">
        <f t="shared" si="63"/>
        <v>1+0.162670095621411i</v>
      </c>
      <c r="AN62">
        <f t="shared" si="80"/>
        <v>1.0131443924779326</v>
      </c>
      <c r="AO62">
        <f t="shared" si="81"/>
        <v>0.16125761966197563</v>
      </c>
      <c r="AP62" s="42" t="str">
        <f t="shared" si="82"/>
        <v>-5.01762574184147+35.6957015256845i</v>
      </c>
      <c r="AQ62">
        <f t="shared" si="83"/>
        <v>31.137293846847449</v>
      </c>
      <c r="AR62" s="44">
        <f t="shared" si="84"/>
        <v>98.001451333216494</v>
      </c>
      <c r="AS62" s="42" t="str">
        <f t="shared" si="85"/>
        <v>4718.76967049778+2014.19373519678i</v>
      </c>
      <c r="AT62" s="20">
        <f t="shared" si="86"/>
        <v>74.203479820739972</v>
      </c>
      <c r="AU62" s="44">
        <f t="shared" si="87"/>
        <v>23.115078226992782</v>
      </c>
    </row>
    <row r="63" spans="1:47" x14ac:dyDescent="0.3">
      <c r="A63" t="s">
        <v>178</v>
      </c>
      <c r="B63" s="3">
        <f>RFBT</f>
        <v>29400000</v>
      </c>
      <c r="C63" s="2" t="s">
        <v>35</v>
      </c>
      <c r="E63" t="s">
        <v>181</v>
      </c>
      <c r="N63" s="8">
        <v>45</v>
      </c>
      <c r="O63" s="35">
        <f t="shared" si="64"/>
        <v>28.183829312644548</v>
      </c>
      <c r="P63" s="34" t="str">
        <f t="shared" si="55"/>
        <v>545.10556621881</v>
      </c>
      <c r="Q63" s="4" t="str">
        <f t="shared" si="56"/>
        <v>1+3.78300843282298i</v>
      </c>
      <c r="R63" s="4">
        <f t="shared" si="65"/>
        <v>3.9129468182956146</v>
      </c>
      <c r="S63" s="4">
        <f t="shared" si="66"/>
        <v>1.3123675007472222</v>
      </c>
      <c r="T63" s="4" t="str">
        <f t="shared" si="57"/>
        <v>1+0.000088542111118633i</v>
      </c>
      <c r="U63" s="4">
        <f t="shared" si="67"/>
        <v>1.0000000039198527</v>
      </c>
      <c r="V63" s="4">
        <f t="shared" si="68"/>
        <v>8.8542110887251645E-5</v>
      </c>
      <c r="W63" t="str">
        <f t="shared" si="58"/>
        <v>1-0.0000919775450300357i</v>
      </c>
      <c r="X63" s="4">
        <f t="shared" si="69"/>
        <v>1.0000000042299344</v>
      </c>
      <c r="Y63" s="4">
        <f t="shared" si="70"/>
        <v>-9.1977544770663046E-5</v>
      </c>
      <c r="Z63" t="str">
        <f t="shared" si="59"/>
        <v>0.999999949162993+0.000398303025853735i</v>
      </c>
      <c r="AA63" s="4">
        <f t="shared" si="71"/>
        <v>1.0000000284856441</v>
      </c>
      <c r="AB63" s="4">
        <f t="shared" si="72"/>
        <v>3.9830302503930084E-4</v>
      </c>
      <c r="AC63" s="48" t="str">
        <f t="shared" si="73"/>
        <v>35.5477525218851-134.696437417975i</v>
      </c>
      <c r="AD63" s="20">
        <f t="shared" si="74"/>
        <v>42.879533251299407</v>
      </c>
      <c r="AE63" s="44">
        <f t="shared" si="75"/>
        <v>-75.216136881112135</v>
      </c>
      <c r="AF63" t="str">
        <f t="shared" si="60"/>
        <v>-0.0000333790427773504</v>
      </c>
      <c r="AG63" t="str">
        <f t="shared" si="61"/>
        <v>9.59796484525979E-07i</v>
      </c>
      <c r="AH63">
        <f t="shared" si="76"/>
        <v>9.5979648452597894E-7</v>
      </c>
      <c r="AI63">
        <f t="shared" si="77"/>
        <v>1.5707963267948966</v>
      </c>
      <c r="AJ63" t="str">
        <f t="shared" si="62"/>
        <v>1+0.0221126571236497i</v>
      </c>
      <c r="AK63">
        <f t="shared" si="78"/>
        <v>1.0002444549234293</v>
      </c>
      <c r="AL63">
        <f t="shared" si="79"/>
        <v>2.2109054041595622E-2</v>
      </c>
      <c r="AM63" t="str">
        <f t="shared" si="63"/>
        <v>1+0.16645916890303i</v>
      </c>
      <c r="AN63">
        <f t="shared" si="80"/>
        <v>1.01375966328903</v>
      </c>
      <c r="AO63">
        <f t="shared" si="81"/>
        <v>0.16494678090792778</v>
      </c>
      <c r="AP63" s="42" t="str">
        <f t="shared" si="82"/>
        <v>-5.01751537162772+34.8881594277448i</v>
      </c>
      <c r="AQ63">
        <f t="shared" si="83"/>
        <v>30.942471554975</v>
      </c>
      <c r="AR63" s="44">
        <f t="shared" si="84"/>
        <v>98.18399890468325</v>
      </c>
      <c r="AS63" s="42" t="str">
        <f t="shared" si="85"/>
        <v>4520.94938828219+1916.03710252973i</v>
      </c>
      <c r="AT63" s="20">
        <f t="shared" si="86"/>
        <v>73.822004806274407</v>
      </c>
      <c r="AU63" s="44">
        <f t="shared" si="87"/>
        <v>22.967862023571147</v>
      </c>
    </row>
    <row r="64" spans="1:47" x14ac:dyDescent="0.3">
      <c r="A64" t="s">
        <v>179</v>
      </c>
      <c r="B64" s="3">
        <f>RFBB</f>
        <v>499000</v>
      </c>
      <c r="C64" s="2" t="s">
        <v>35</v>
      </c>
      <c r="E64" t="s">
        <v>182</v>
      </c>
      <c r="N64" s="8">
        <v>46</v>
      </c>
      <c r="O64" s="35">
        <f t="shared" si="64"/>
        <v>28.840315031266066</v>
      </c>
      <c r="P64" s="34" t="str">
        <f t="shared" si="55"/>
        <v>545.10556621881</v>
      </c>
      <c r="Q64" s="4" t="str">
        <f t="shared" si="56"/>
        <v>1+3.87112601904675i</v>
      </c>
      <c r="R64" s="4">
        <f t="shared" si="65"/>
        <v>3.9982016776721929</v>
      </c>
      <c r="S64" s="4">
        <f t="shared" si="66"/>
        <v>1.3179999364929025</v>
      </c>
      <c r="T64" s="4" t="str">
        <f t="shared" si="57"/>
        <v>1+0.000090604521829441i</v>
      </c>
      <c r="U64" s="4">
        <f t="shared" si="67"/>
        <v>1.0000000041045896</v>
      </c>
      <c r="V64" s="4">
        <f t="shared" si="68"/>
        <v>9.0604521581511409E-5</v>
      </c>
      <c r="W64" t="str">
        <f t="shared" si="58"/>
        <v>1-0.000094119977276423i</v>
      </c>
      <c r="X64" s="4">
        <f t="shared" si="69"/>
        <v>1.0000000044292849</v>
      </c>
      <c r="Y64" s="4">
        <f t="shared" si="70"/>
        <v>-9.4119976998500207E-5</v>
      </c>
      <c r="Z64" t="str">
        <f t="shared" si="59"/>
        <v>0.999999946767119+0.000407580695160347i</v>
      </c>
      <c r="AA64" s="4">
        <f t="shared" si="71"/>
        <v>1.0000000298281315</v>
      </c>
      <c r="AB64" s="4">
        <f t="shared" si="72"/>
        <v>4.075806942876649E-4</v>
      </c>
      <c r="AC64" s="48" t="str">
        <f t="shared" si="73"/>
        <v>34.0454820481661-132.018442176016i</v>
      </c>
      <c r="AD64" s="20">
        <f t="shared" si="74"/>
        <v>42.692318208820609</v>
      </c>
      <c r="AE64" s="44">
        <f t="shared" si="75"/>
        <v>-75.539387833905977</v>
      </c>
      <c r="AF64" t="str">
        <f t="shared" si="60"/>
        <v>-0.0000333790427773504</v>
      </c>
      <c r="AG64" t="str">
        <f t="shared" si="61"/>
        <v>9.82153016631138E-07i</v>
      </c>
      <c r="AH64">
        <f t="shared" si="76"/>
        <v>9.8215301663113793E-7</v>
      </c>
      <c r="AI64">
        <f t="shared" si="77"/>
        <v>1.5707963267948966</v>
      </c>
      <c r="AJ64" t="str">
        <f t="shared" si="62"/>
        <v>1+0.0226277270753379i</v>
      </c>
      <c r="AK64">
        <f t="shared" si="78"/>
        <v>1.0002559742548884</v>
      </c>
      <c r="AL64">
        <f t="shared" si="79"/>
        <v>2.2623866356717672E-2</v>
      </c>
      <c r="AM64" t="str">
        <f t="shared" si="63"/>
        <v>1+0.170336501039349i</v>
      </c>
      <c r="AN64">
        <f t="shared" si="80"/>
        <v>1.0144035309413746</v>
      </c>
      <c r="AO64">
        <f t="shared" si="81"/>
        <v>0.16871718826763857</v>
      </c>
      <c r="AP64" s="42" t="str">
        <f t="shared" si="82"/>
        <v>-5.01739980503009+34.0991152637482i</v>
      </c>
      <c r="AQ64">
        <f t="shared" si="83"/>
        <v>30.747886429251263</v>
      </c>
      <c r="AR64" s="44">
        <f t="shared" si="84"/>
        <v>98.370530760541882</v>
      </c>
      <c r="AS64" s="42" t="str">
        <f t="shared" si="85"/>
        <v>4330.89228170982+1823.31012260461i</v>
      </c>
      <c r="AT64" s="20">
        <f t="shared" si="86"/>
        <v>73.440204638071862</v>
      </c>
      <c r="AU64" s="44">
        <f t="shared" si="87"/>
        <v>22.831142926635977</v>
      </c>
    </row>
    <row r="65" spans="1:47" x14ac:dyDescent="0.3">
      <c r="A65" t="s">
        <v>168</v>
      </c>
      <c r="B65" s="3">
        <f>RCOMP</f>
        <v>200000</v>
      </c>
      <c r="C65" s="2" t="s">
        <v>35</v>
      </c>
      <c r="E65" t="s">
        <v>175</v>
      </c>
      <c r="N65" s="8">
        <v>47</v>
      </c>
      <c r="O65" s="35">
        <f t="shared" si="64"/>
        <v>29.512092266663863</v>
      </c>
      <c r="P65" s="34" t="str">
        <f t="shared" si="55"/>
        <v>545.10556621881</v>
      </c>
      <c r="Q65" s="4" t="str">
        <f t="shared" si="56"/>
        <v>1+3.96129612752623i</v>
      </c>
      <c r="R65" s="4">
        <f t="shared" si="65"/>
        <v>4.0855681379649393</v>
      </c>
      <c r="S65" s="4">
        <f t="shared" si="66"/>
        <v>1.3235200453579468</v>
      </c>
      <c r="T65" s="4" t="str">
        <f t="shared" si="57"/>
        <v>1+0.0000927149722570155i</v>
      </c>
      <c r="U65" s="4">
        <f t="shared" si="67"/>
        <v>1.000000004298033</v>
      </c>
      <c r="V65" s="4">
        <f t="shared" si="68"/>
        <v>9.2714971991354165E-5</v>
      </c>
      <c r="W65" t="str">
        <f t="shared" si="58"/>
        <v>1-0.0000963123131805874i</v>
      </c>
      <c r="X65" s="4">
        <f t="shared" si="69"/>
        <v>1.0000000046380308</v>
      </c>
      <c r="Y65" s="4">
        <f t="shared" si="70"/>
        <v>-9.6312312882787748E-5</v>
      </c>
      <c r="Z65" t="str">
        <f t="shared" si="59"/>
        <v>0.99999994425833+0.000417074469146501i</v>
      </c>
      <c r="AA65" s="4">
        <f t="shared" si="71"/>
        <v>1.0000000312338875</v>
      </c>
      <c r="AB65" s="4">
        <f t="shared" si="72"/>
        <v>4.1707446821140549E-4</v>
      </c>
      <c r="AC65" s="48" t="str">
        <f t="shared" si="73"/>
        <v>32.6025326335106-129.37759680149i</v>
      </c>
      <c r="AD65" s="20">
        <f t="shared" si="74"/>
        <v>42.504562982526444</v>
      </c>
      <c r="AE65" s="44">
        <f t="shared" si="75"/>
        <v>-75.856215419195379</v>
      </c>
      <c r="AF65" t="str">
        <f t="shared" si="60"/>
        <v>-0.0000333790427773504</v>
      </c>
      <c r="AG65" t="str">
        <f t="shared" si="61"/>
        <v>1.00503029926605E-06i</v>
      </c>
      <c r="AH65">
        <f t="shared" si="76"/>
        <v>1.0050302992660501E-6</v>
      </c>
      <c r="AI65">
        <f t="shared" si="77"/>
        <v>1.5707963267948966</v>
      </c>
      <c r="AJ65" t="str">
        <f t="shared" si="62"/>
        <v>1+0.0231547945474347i</v>
      </c>
      <c r="AK65">
        <f t="shared" si="78"/>
        <v>1.0002680363335288</v>
      </c>
      <c r="AL65">
        <f t="shared" si="79"/>
        <v>2.3150657772768885E-2</v>
      </c>
      <c r="AM65" t="str">
        <f t="shared" si="63"/>
        <v>1+0.17430414784319i</v>
      </c>
      <c r="AN65">
        <f t="shared" si="80"/>
        <v>1.0150773054084801</v>
      </c>
      <c r="AO65">
        <f t="shared" si="81"/>
        <v>0.17257041184512342</v>
      </c>
      <c r="AP65" s="42" t="str">
        <f t="shared" si="82"/>
        <v>-5.01727879765226+33.328150655603i</v>
      </c>
      <c r="AQ65">
        <f t="shared" si="83"/>
        <v>30.553549005005728</v>
      </c>
      <c r="AR65" s="44">
        <f t="shared" si="84"/>
        <v>98.561121284228633</v>
      </c>
      <c r="AS65" s="42" t="str">
        <f t="shared" si="85"/>
        <v>4148.34004192804+1735.70559268717i</v>
      </c>
      <c r="AT65" s="20">
        <f t="shared" si="86"/>
        <v>73.058111987532172</v>
      </c>
      <c r="AU65" s="44">
        <f t="shared" si="87"/>
        <v>22.704905865033247</v>
      </c>
    </row>
    <row r="66" spans="1:47" x14ac:dyDescent="0.3">
      <c r="A66" t="s">
        <v>173</v>
      </c>
      <c r="B66" s="3">
        <f>CCOMP</f>
        <v>4.7000000000000007E-9</v>
      </c>
      <c r="C66" s="2" t="s">
        <v>151</v>
      </c>
      <c r="E66" t="s">
        <v>176</v>
      </c>
      <c r="N66" s="8">
        <v>48</v>
      </c>
      <c r="O66" s="35">
        <f t="shared" si="64"/>
        <v>30.199517204020164</v>
      </c>
      <c r="P66" s="34" t="str">
        <f t="shared" si="55"/>
        <v>545.10556621881</v>
      </c>
      <c r="Q66" s="4" t="str">
        <f t="shared" si="56"/>
        <v>1+4.05356656764648i</v>
      </c>
      <c r="R66" s="4">
        <f t="shared" si="65"/>
        <v>4.1750930430759583</v>
      </c>
      <c r="S66" s="4">
        <f t="shared" si="66"/>
        <v>1.3289294079567635</v>
      </c>
      <c r="T66" s="4" t="str">
        <f t="shared" si="57"/>
        <v>1+0.0000948745813901085i</v>
      </c>
      <c r="U66" s="4">
        <f t="shared" si="67"/>
        <v>1.000000004500593</v>
      </c>
      <c r="V66" s="4">
        <f t="shared" si="68"/>
        <v>9.4874581105447249E-5</v>
      </c>
      <c r="W66" t="str">
        <f t="shared" si="58"/>
        <v>1-0.0000985557151480444i</v>
      </c>
      <c r="X66" s="4">
        <f t="shared" si="69"/>
        <v>1.0000000048566144</v>
      </c>
      <c r="Y66" s="4">
        <f t="shared" si="70"/>
        <v>-9.8555714828946328E-5</v>
      </c>
      <c r="Z66" t="str">
        <f t="shared" si="59"/>
        <v>0.999999941631306+0.00042678938153683i</v>
      </c>
      <c r="AA66" s="4">
        <f t="shared" si="71"/>
        <v>1.0000000327058953</v>
      </c>
      <c r="AB66" s="4">
        <f t="shared" si="72"/>
        <v>4.2678938053485716E-4</v>
      </c>
      <c r="AC66" s="48" t="str">
        <f t="shared" si="73"/>
        <v>31.2168997420611-126.77443300068i</v>
      </c>
      <c r="AD66" s="20">
        <f t="shared" si="74"/>
        <v>42.316288966200617</v>
      </c>
      <c r="AE66" s="44">
        <f t="shared" si="75"/>
        <v>-76.16671049041355</v>
      </c>
      <c r="AF66" t="str">
        <f t="shared" si="60"/>
        <v>-0.0000333790427773504</v>
      </c>
      <c r="AG66" t="str">
        <f t="shared" si="61"/>
        <v>1.02844046226877E-06i</v>
      </c>
      <c r="AH66">
        <f t="shared" si="76"/>
        <v>1.0284404622687699E-6</v>
      </c>
      <c r="AI66">
        <f t="shared" si="77"/>
        <v>1.5707963267948966</v>
      </c>
      <c r="AJ66" t="str">
        <f t="shared" si="62"/>
        <v>1+0.0236941389980906i</v>
      </c>
      <c r="AK66">
        <f t="shared" si="78"/>
        <v>1.0002806667245252</v>
      </c>
      <c r="AL66">
        <f t="shared" si="79"/>
        <v>2.3689706431345221E-2</v>
      </c>
      <c r="AM66" t="str">
        <f t="shared" si="63"/>
        <v>1+0.178364213013404i</v>
      </c>
      <c r="AN66">
        <f t="shared" si="80"/>
        <v>1.0157823548791793</v>
      </c>
      <c r="AO66">
        <f t="shared" si="81"/>
        <v>0.17650803676087554</v>
      </c>
      <c r="AP66" s="42" t="str">
        <f t="shared" si="82"/>
        <v>-5.01715209362811+32.5748568100652i</v>
      </c>
      <c r="AQ66">
        <f t="shared" si="83"/>
        <v>30.359470254887839</v>
      </c>
      <c r="AR66" s="44">
        <f t="shared" si="84"/>
        <v>98.75584536011813</v>
      </c>
      <c r="AS66" s="42" t="str">
        <f t="shared" si="85"/>
        <v>3973.03906827689+1652.93265109968i</v>
      </c>
      <c r="AT66" s="20">
        <f t="shared" si="86"/>
        <v>72.675759221088441</v>
      </c>
      <c r="AU66" s="44">
        <f t="shared" si="87"/>
        <v>22.589134869704612</v>
      </c>
    </row>
    <row r="67" spans="1:47" x14ac:dyDescent="0.3">
      <c r="A67" t="s">
        <v>174</v>
      </c>
      <c r="B67" s="3">
        <f>CHF</f>
        <v>7.2E-10</v>
      </c>
      <c r="C67" s="2" t="s">
        <v>151</v>
      </c>
      <c r="E67" t="s">
        <v>177</v>
      </c>
      <c r="N67" s="8">
        <v>49</v>
      </c>
      <c r="O67" s="35">
        <f t="shared" si="64"/>
        <v>30.902954325135919</v>
      </c>
      <c r="P67" s="34" t="str">
        <f t="shared" si="55"/>
        <v>545.10556621881</v>
      </c>
      <c r="Q67" s="4" t="str">
        <f t="shared" si="56"/>
        <v>1+4.14798626241619i</v>
      </c>
      <c r="R67" s="4">
        <f t="shared" si="65"/>
        <v>4.2668243499344367</v>
      </c>
      <c r="S67" s="4">
        <f t="shared" si="66"/>
        <v>1.3342296255872448</v>
      </c>
      <c r="T67" s="4" t="str">
        <f t="shared" si="57"/>
        <v>1+0.000097084494282068i</v>
      </c>
      <c r="U67" s="4">
        <f t="shared" si="67"/>
        <v>1.0000000047126996</v>
      </c>
      <c r="V67" s="4">
        <f t="shared" si="68"/>
        <v>9.7084493977047967E-5</v>
      </c>
      <c r="W67" t="str">
        <f t="shared" si="58"/>
        <v>1-0.000100851372660212i</v>
      </c>
      <c r="X67" s="4">
        <f t="shared" si="69"/>
        <v>1.0000000050854996</v>
      </c>
      <c r="Y67" s="4">
        <f t="shared" si="70"/>
        <v>-1.0085137231829226E-4</v>
      </c>
      <c r="Z67" t="str">
        <f t="shared" si="59"/>
        <v>0.999999938880474+0.000436730583306475i</v>
      </c>
      <c r="AA67" s="4">
        <f t="shared" si="71"/>
        <v>1.0000000342472766</v>
      </c>
      <c r="AB67" s="4">
        <f t="shared" si="72"/>
        <v>4.3673058223284183E-4</v>
      </c>
      <c r="AC67" s="48" t="str">
        <f t="shared" si="73"/>
        <v>29.8866181852571-124.209399266553i</v>
      </c>
      <c r="AD67" s="20">
        <f t="shared" si="74"/>
        <v>42.127516825394423</v>
      </c>
      <c r="AE67" s="44">
        <f t="shared" si="75"/>
        <v>-76.470965092846328</v>
      </c>
      <c r="AF67" t="str">
        <f t="shared" si="60"/>
        <v>-0.0000333790427773504</v>
      </c>
      <c r="AG67" t="str">
        <f t="shared" si="61"/>
        <v>1.05239591801762E-06i</v>
      </c>
      <c r="AH67">
        <f t="shared" si="76"/>
        <v>1.0523959180176201E-6</v>
      </c>
      <c r="AI67">
        <f t="shared" si="77"/>
        <v>1.5707963267948966</v>
      </c>
      <c r="AJ67" t="str">
        <f t="shared" si="62"/>
        <v>1+0.0242460463948722i</v>
      </c>
      <c r="AK67">
        <f t="shared" si="78"/>
        <v>1.0002938921965796</v>
      </c>
      <c r="AL67">
        <f t="shared" si="79"/>
        <v>2.4241296889396486E-2</v>
      </c>
      <c r="AM67" t="str">
        <f t="shared" si="63"/>
        <v>1+0.182518849250288i</v>
      </c>
      <c r="AN67">
        <f t="shared" si="80"/>
        <v>1.0165201081787065</v>
      </c>
      <c r="AO67">
        <f t="shared" si="81"/>
        <v>0.18053166213351815</v>
      </c>
      <c r="AP67" s="42" t="str">
        <f t="shared" si="82"/>
        <v>-5.01701942508601+31.8388343019047i</v>
      </c>
      <c r="AQ67">
        <f t="shared" si="83"/>
        <v>30.165661604154916</v>
      </c>
      <c r="AR67" s="44">
        <f t="shared" si="84"/>
        <v>98.954778307046269</v>
      </c>
      <c r="AS67" s="42" t="str">
        <f t="shared" si="85"/>
        <v>3804.74073800134+1574.71605314325i</v>
      </c>
      <c r="AT67" s="20">
        <f t="shared" si="86"/>
        <v>72.293178429549329</v>
      </c>
      <c r="AU67" s="44">
        <f t="shared" si="87"/>
        <v>22.48381321419992</v>
      </c>
    </row>
    <row r="68" spans="1:47" x14ac:dyDescent="0.3">
      <c r="N68" s="8">
        <v>50</v>
      </c>
      <c r="O68" s="35">
        <f t="shared" si="64"/>
        <v>31.622776601683803</v>
      </c>
      <c r="P68" s="34" t="str">
        <f t="shared" si="55"/>
        <v>545.10556621881</v>
      </c>
      <c r="Q68" s="4" t="str">
        <f t="shared" si="56"/>
        <v>1+4.24460527440732i</v>
      </c>
      <c r="R68" s="4">
        <f t="shared" si="65"/>
        <v>4.3608111556826721</v>
      </c>
      <c r="S68" s="4">
        <f t="shared" si="66"/>
        <v>1.339422316815329</v>
      </c>
      <c r="T68" s="4" t="str">
        <f t="shared" si="57"/>
        <v>1+0.000099345882657961i</v>
      </c>
      <c r="U68" s="4">
        <f t="shared" si="67"/>
        <v>1.0000000049348021</v>
      </c>
      <c r="V68" s="4">
        <f t="shared" si="68"/>
        <v>9.9345882331126149E-5</v>
      </c>
      <c r="W68" t="str">
        <f t="shared" si="58"/>
        <v>1-0.00010320050290509i</v>
      </c>
      <c r="X68" s="4">
        <f t="shared" si="69"/>
        <v>1.0000000053251719</v>
      </c>
      <c r="Y68" s="4">
        <f t="shared" si="70"/>
        <v>-1.0320050253871638E-4</v>
      </c>
      <c r="Z68" t="str">
        <f t="shared" si="59"/>
        <v>0.999999936+0.000446903345412201i</v>
      </c>
      <c r="AA68" s="4">
        <f t="shared" si="71"/>
        <v>1.0000000358613015</v>
      </c>
      <c r="AB68" s="4">
        <f t="shared" si="72"/>
        <v>4.4690334426178207E-4</v>
      </c>
      <c r="AC68" s="48" t="str">
        <f t="shared" si="73"/>
        <v>28.6097639346905-121.682865557574i</v>
      </c>
      <c r="AD68" s="20">
        <f t="shared" si="74"/>
        <v>41.938266512203555</v>
      </c>
      <c r="AE68" s="44">
        <f t="shared" si="75"/>
        <v>-76.769072268098981</v>
      </c>
      <c r="AF68" t="str">
        <f t="shared" si="60"/>
        <v>-0.0000333790427773504</v>
      </c>
      <c r="AG68" t="str">
        <f t="shared" si="61"/>
        <v>0.0000010769093680123i</v>
      </c>
      <c r="AH68">
        <f t="shared" si="76"/>
        <v>1.0769093680123001E-6</v>
      </c>
      <c r="AI68">
        <f t="shared" si="77"/>
        <v>1.5707963267948966</v>
      </c>
      <c r="AJ68" t="str">
        <f t="shared" si="62"/>
        <v>1+0.0248108093663867i</v>
      </c>
      <c r="AK68">
        <f t="shared" si="78"/>
        <v>1.0003077407785144</v>
      </c>
      <c r="AL68">
        <f t="shared" si="79"/>
        <v>2.4805720264135345E-2</v>
      </c>
      <c r="AM68" t="str">
        <f t="shared" si="63"/>
        <v>1+0.186770259396967i</v>
      </c>
      <c r="AN68">
        <f t="shared" si="80"/>
        <v>1.0172920572752007</v>
      </c>
      <c r="AO68">
        <f t="shared" si="81"/>
        <v>0.18464289995948208</v>
      </c>
      <c r="AP68" s="42" t="str">
        <f t="shared" si="82"/>
        <v>-5.01688051158811+31.1196928620388i</v>
      </c>
      <c r="AQ68">
        <f t="shared" si="83"/>
        <v>29.972134946223203</v>
      </c>
      <c r="AR68" s="44">
        <f t="shared" si="84"/>
        <v>99.157995805817492</v>
      </c>
      <c r="AS68" s="42" t="str">
        <f t="shared" si="85"/>
        <v>3643.20163559938+1500.79546331299i</v>
      </c>
      <c r="AT68" s="20">
        <f t="shared" si="86"/>
        <v>71.910401458426762</v>
      </c>
      <c r="AU68" s="44">
        <f t="shared" si="87"/>
        <v>22.388923537718483</v>
      </c>
    </row>
    <row r="69" spans="1:47" x14ac:dyDescent="0.3">
      <c r="A69" t="s">
        <v>218</v>
      </c>
      <c r="B69" s="1">
        <f>-(RFBB*gm_ea)/(RFBB+RFBT)</f>
        <v>-3.3379042777350415E-5</v>
      </c>
      <c r="C69" t="s">
        <v>144</v>
      </c>
      <c r="N69" s="8">
        <v>51</v>
      </c>
      <c r="O69" s="35">
        <f t="shared" si="64"/>
        <v>32.359365692962832</v>
      </c>
      <c r="P69" s="34" t="str">
        <f t="shared" si="55"/>
        <v>545.10556621881</v>
      </c>
      <c r="Q69" s="4" t="str">
        <f t="shared" si="56"/>
        <v>1+4.34347483229893i</v>
      </c>
      <c r="R69" s="4">
        <f t="shared" si="65"/>
        <v>4.4571037253820132</v>
      </c>
      <c r="S69" s="4">
        <f t="shared" si="66"/>
        <v>1.3445091142546952</v>
      </c>
      <c r="T69" s="4" t="str">
        <f t="shared" si="57"/>
        <v>1+0.000101659945535837i</v>
      </c>
      <c r="U69" s="4">
        <f t="shared" si="67"/>
        <v>1.0000000051673723</v>
      </c>
      <c r="V69" s="4">
        <f t="shared" si="68"/>
        <v>1.0165994518562715E-4</v>
      </c>
      <c r="W69" t="str">
        <f t="shared" si="58"/>
        <v>1-0.000105604351422628i</v>
      </c>
      <c r="X69" s="4">
        <f t="shared" si="69"/>
        <v>1.0000000055761396</v>
      </c>
      <c r="Y69" s="4">
        <f t="shared" si="70"/>
        <v>-1.0560435103005161E-4</v>
      </c>
      <c r="Z69" t="str">
        <f t="shared" si="59"/>
        <v>0.999999932983773+0.00045731306158713i</v>
      </c>
      <c r="AA69" s="4">
        <f t="shared" si="71"/>
        <v>1.0000000375513927</v>
      </c>
      <c r="AB69" s="4">
        <f t="shared" si="72"/>
        <v>4.573130603544339E-4</v>
      </c>
      <c r="AC69" s="48" t="str">
        <f t="shared" si="73"/>
        <v>27.3844556381244-119.195127857029i</v>
      </c>
      <c r="AD69" s="20">
        <f t="shared" si="74"/>
        <v>41.748557280655298</v>
      </c>
      <c r="AE69" s="44">
        <f t="shared" si="75"/>
        <v>-77.06112586974875</v>
      </c>
      <c r="AF69" t="str">
        <f t="shared" si="60"/>
        <v>-0.0000333790427773504</v>
      </c>
      <c r="AG69" t="str">
        <f t="shared" si="61"/>
        <v>1.10199380960848E-06i</v>
      </c>
      <c r="AH69">
        <f t="shared" si="76"/>
        <v>1.10199380960848E-6</v>
      </c>
      <c r="AI69">
        <f t="shared" si="77"/>
        <v>1.5707963267948966</v>
      </c>
      <c r="AJ69" t="str">
        <f t="shared" si="62"/>
        <v>1+0.0253887273574372i</v>
      </c>
      <c r="AK69">
        <f t="shared" si="78"/>
        <v>1.0003222418185205</v>
      </c>
      <c r="AL69">
        <f t="shared" si="79"/>
        <v>2.5383274380998331E-2</v>
      </c>
      <c r="AM69" t="str">
        <f t="shared" si="63"/>
        <v>1+0.191120697607375i</v>
      </c>
      <c r="AN69">
        <f t="shared" si="80"/>
        <v>1.0180997598732306</v>
      </c>
      <c r="AO69">
        <f t="shared" si="81"/>
        <v>0.18884337388490158</v>
      </c>
      <c r="AP69" s="42" t="str">
        <f t="shared" si="82"/>
        <v>-5.01673505954345+30.417051170507i</v>
      </c>
      <c r="AQ69">
        <f t="shared" si="83"/>
        <v>29.778902658454101</v>
      </c>
      <c r="AR69" s="44">
        <f t="shared" si="84"/>
        <v>99.365573820362115</v>
      </c>
      <c r="AS69" s="42" t="str">
        <f t="shared" si="85"/>
        <v>3488.18374461608+1430.92476526843i</v>
      </c>
      <c r="AT69" s="20">
        <f t="shared" si="86"/>
        <v>71.527459939109391</v>
      </c>
      <c r="AU69" s="44">
        <f t="shared" si="87"/>
        <v>22.30444795061339</v>
      </c>
    </row>
    <row r="70" spans="1:47" x14ac:dyDescent="0.3">
      <c r="A70" t="s">
        <v>217</v>
      </c>
      <c r="B70" s="1">
        <f>1/(RCOMP*CCOMP)</f>
        <v>1063.8297872340424</v>
      </c>
      <c r="E70" t="s">
        <v>230</v>
      </c>
      <c r="N70" s="8">
        <v>52</v>
      </c>
      <c r="O70" s="35">
        <f t="shared" si="64"/>
        <v>33.113112148259127</v>
      </c>
      <c r="P70" s="34" t="str">
        <f t="shared" si="55"/>
        <v>545.10556621881</v>
      </c>
      <c r="Q70" s="4" t="str">
        <f t="shared" si="56"/>
        <v>1+4.44464735803933i</v>
      </c>
      <c r="R70" s="4">
        <f t="shared" si="65"/>
        <v>4.5557535202561166</v>
      </c>
      <c r="S70" s="4">
        <f t="shared" si="66"/>
        <v>1.3494916615363259</v>
      </c>
      <c r="T70" s="4" t="str">
        <f t="shared" si="57"/>
        <v>1+0.000104027909862466i</v>
      </c>
      <c r="U70" s="4">
        <f t="shared" si="67"/>
        <v>1.0000000054109031</v>
      </c>
      <c r="V70" s="4">
        <f t="shared" si="68"/>
        <v>1.0402790948720938E-4</v>
      </c>
      <c r="W70" t="str">
        <f t="shared" si="58"/>
        <v>1-0.000108064192765129i</v>
      </c>
      <c r="X70" s="4">
        <f t="shared" si="69"/>
        <v>1.0000000058389349</v>
      </c>
      <c r="Y70" s="4">
        <f t="shared" si="70"/>
        <v>-1.0806419234447581E-4</v>
      </c>
      <c r="Z70" t="str">
        <f t="shared" si="59"/>
        <v>0.999999929825395+0.000467965251200569i</v>
      </c>
      <c r="AA70" s="4">
        <f t="shared" si="71"/>
        <v>1.0000000393211348</v>
      </c>
      <c r="AB70" s="4">
        <f t="shared" si="72"/>
        <v>4.6796524987971152E-4</v>
      </c>
      <c r="AC70" s="48" t="str">
        <f t="shared" si="73"/>
        <v>26.2088558603359-116.746412602858i</v>
      </c>
      <c r="AD70" s="20">
        <f t="shared" si="74"/>
        <v>41.558407702599986</v>
      </c>
      <c r="AE70" s="44">
        <f t="shared" si="75"/>
        <v>-77.347220389877933</v>
      </c>
      <c r="AF70" t="str">
        <f t="shared" si="60"/>
        <v>-0.0000333790427773504</v>
      </c>
      <c r="AG70" t="str">
        <f t="shared" si="61"/>
        <v>1.12766254290913E-06i</v>
      </c>
      <c r="AH70">
        <f t="shared" si="76"/>
        <v>1.1276625429091301E-6</v>
      </c>
      <c r="AI70">
        <f t="shared" si="77"/>
        <v>1.5707963267948966</v>
      </c>
      <c r="AJ70" t="str">
        <f t="shared" si="62"/>
        <v>1+0.0259801067877922i</v>
      </c>
      <c r="AK70">
        <f t="shared" si="78"/>
        <v>1.0003374260461841</v>
      </c>
      <c r="AL70">
        <f t="shared" si="79"/>
        <v>2.5974263924708082E-2</v>
      </c>
      <c r="AM70" t="str">
        <f t="shared" si="63"/>
        <v>1+0.195572470541437i</v>
      </c>
      <c r="AN70">
        <f t="shared" si="80"/>
        <v>1.0189448420958227</v>
      </c>
      <c r="AO70">
        <f t="shared" si="81"/>
        <v>0.193134717863714</v>
      </c>
      <c r="AP70" s="42" t="str">
        <f t="shared" si="82"/>
        <v>-5.0165827615945+29.7305366541889i</v>
      </c>
      <c r="AQ70">
        <f t="shared" si="83"/>
        <v>29.585977618150508</v>
      </c>
      <c r="AR70" s="44">
        <f t="shared" si="84"/>
        <v>99.57758851219603</v>
      </c>
      <c r="AS70" s="42" t="str">
        <f t="shared" si="85"/>
        <v>3339.45460462425+1364.87139076157i</v>
      </c>
      <c r="AT70" s="20">
        <f t="shared" si="86"/>
        <v>71.144385320750487</v>
      </c>
      <c r="AU70" s="44">
        <f t="shared" si="87"/>
        <v>22.230368122318193</v>
      </c>
    </row>
    <row r="71" spans="1:47" x14ac:dyDescent="0.3">
      <c r="A71" t="s">
        <v>222</v>
      </c>
      <c r="B71" s="1">
        <f>(CCOMP+CHF)</f>
        <v>5.4200000000000007E-9</v>
      </c>
      <c r="E71" t="s">
        <v>231</v>
      </c>
      <c r="N71" s="8">
        <v>53</v>
      </c>
      <c r="O71" s="35">
        <f t="shared" si="64"/>
        <v>33.884415613920268</v>
      </c>
      <c r="P71" s="34" t="str">
        <f t="shared" si="55"/>
        <v>545.10556621881</v>
      </c>
      <c r="Q71" s="4" t="str">
        <f t="shared" si="56"/>
        <v>1+4.5481764946408i</v>
      </c>
      <c r="R71" s="4">
        <f t="shared" si="65"/>
        <v>4.6568132264890192</v>
      </c>
      <c r="S71" s="4">
        <f t="shared" si="66"/>
        <v>1.3543716104622858</v>
      </c>
      <c r="T71" s="4" t="str">
        <f t="shared" si="57"/>
        <v>1+0.000106451031163875i</v>
      </c>
      <c r="U71" s="4">
        <f t="shared" si="67"/>
        <v>1.0000000056659109</v>
      </c>
      <c r="V71" s="4">
        <f t="shared" si="68"/>
        <v>1.0645103076178029E-4</v>
      </c>
      <c r="W71" t="str">
        <f t="shared" si="58"/>
        <v>1-0.000110581331173033i</v>
      </c>
      <c r="X71" s="4">
        <f t="shared" si="69"/>
        <v>1.0000000061141154</v>
      </c>
      <c r="Y71" s="4">
        <f t="shared" si="70"/>
        <v>-1.1058133072229499E-4</v>
      </c>
      <c r="Z71" t="str">
        <f t="shared" si="59"/>
        <v>0.999999926518168+0.000478865562184443i</v>
      </c>
      <c r="AA71" s="4">
        <f t="shared" si="71"/>
        <v>1.0000000411742831</v>
      </c>
      <c r="AB71" s="4">
        <f t="shared" si="72"/>
        <v>4.7886556076911856E-4</v>
      </c>
      <c r="AC71" s="48" t="str">
        <f t="shared" si="73"/>
        <v>25.0811720697745-114.336880979958i</v>
      </c>
      <c r="AD71" s="20">
        <f t="shared" si="74"/>
        <v>41.367835684011567</v>
      </c>
      <c r="AE71" s="44">
        <f t="shared" si="75"/>
        <v>-77.627450796167395</v>
      </c>
      <c r="AF71" t="str">
        <f t="shared" si="60"/>
        <v>-0.0000333790427773504</v>
      </c>
      <c r="AG71" t="str">
        <f t="shared" si="61"/>
        <v>1.15392917781641E-06i</v>
      </c>
      <c r="AH71">
        <f t="shared" si="76"/>
        <v>1.1539291778164101E-6</v>
      </c>
      <c r="AI71">
        <f t="shared" si="77"/>
        <v>1.5707963267948966</v>
      </c>
      <c r="AJ71" t="str">
        <f t="shared" si="62"/>
        <v>1+0.0265852612146533i</v>
      </c>
      <c r="AK71">
        <f t="shared" si="78"/>
        <v>1.0003533256374226</v>
      </c>
      <c r="AL71">
        <f t="shared" si="79"/>
        <v>2.6579000593484423E-2</v>
      </c>
      <c r="AM71" t="str">
        <f t="shared" si="63"/>
        <v>1+0.200127938588086i</v>
      </c>
      <c r="AN71">
        <f t="shared" si="80"/>
        <v>1.0198290012563462</v>
      </c>
      <c r="AO71">
        <f t="shared" si="81"/>
        <v>0.19751857469581491</v>
      </c>
      <c r="AP71" s="42" t="str">
        <f t="shared" si="82"/>
        <v>-5.01642329597484+29.059785289151i</v>
      </c>
      <c r="AQ71">
        <f t="shared" si="83"/>
        <v>29.393373218729316</v>
      </c>
      <c r="AR71" s="44">
        <f t="shared" si="84"/>
        <v>99.79411614782731</v>
      </c>
      <c r="AS71" s="42" t="str">
        <f t="shared" si="85"/>
        <v>3196.78743604762+1302.41566848486i</v>
      </c>
      <c r="AT71" s="20">
        <f t="shared" si="86"/>
        <v>70.761208902740862</v>
      </c>
      <c r="AU71" s="44">
        <f t="shared" si="87"/>
        <v>22.166665351659898</v>
      </c>
    </row>
    <row r="72" spans="1:47" x14ac:dyDescent="0.3">
      <c r="A72" t="s">
        <v>223</v>
      </c>
      <c r="B72" s="1">
        <f>(CCOMP+CHF)/(RCOMP*CHF*CCOMP)</f>
        <v>8008.274231678487</v>
      </c>
      <c r="E72" t="s">
        <v>232</v>
      </c>
      <c r="N72" s="8">
        <v>54</v>
      </c>
      <c r="O72" s="35">
        <f t="shared" si="64"/>
        <v>34.67368504525318</v>
      </c>
      <c r="P72" s="34" t="str">
        <f t="shared" si="55"/>
        <v>545.10556621881</v>
      </c>
      <c r="Q72" s="4" t="str">
        <f t="shared" si="56"/>
        <v>1+4.65411713462198i</v>
      </c>
      <c r="R72" s="4">
        <f t="shared" si="65"/>
        <v>4.7603367845964328</v>
      </c>
      <c r="S72" s="4">
        <f t="shared" si="66"/>
        <v>1.3591506183377868</v>
      </c>
      <c r="T72" s="4" t="str">
        <f t="shared" si="57"/>
        <v>1+0.000108930594211054i</v>
      </c>
      <c r="U72" s="4">
        <f t="shared" si="67"/>
        <v>1.000000005932937</v>
      </c>
      <c r="V72" s="4">
        <f t="shared" si="68"/>
        <v>1.0893059378020175E-4</v>
      </c>
      <c r="W72" t="str">
        <f t="shared" si="58"/>
        <v>1-0.000113157101266442i</v>
      </c>
      <c r="X72" s="4">
        <f t="shared" si="69"/>
        <v>1.0000000064022647</v>
      </c>
      <c r="Y72" s="4">
        <f t="shared" si="70"/>
        <v>-1.1315710078346752E-4</v>
      </c>
      <c r="Z72" t="str">
        <f t="shared" si="59"/>
        <v>0.999999923055076+0.000490019774027925i</v>
      </c>
      <c r="AA72" s="4">
        <f t="shared" si="71"/>
        <v>1.0000000431147675</v>
      </c>
      <c r="AB72" s="4">
        <f t="shared" si="72"/>
        <v>4.9001977251137752E-4</v>
      </c>
      <c r="AC72" s="48" t="str">
        <f t="shared" si="73"/>
        <v>23.9996573912756-111.966633068578i</v>
      </c>
      <c r="AD72" s="20">
        <f t="shared" si="74"/>
        <v>41.176858481605279</v>
      </c>
      <c r="AE72" s="44">
        <f t="shared" si="75"/>
        <v>-77.901912379207573</v>
      </c>
      <c r="AF72" t="str">
        <f t="shared" si="60"/>
        <v>-0.0000333790427773504</v>
      </c>
      <c r="AG72" t="str">
        <f t="shared" si="61"/>
        <v>1.18080764124782E-06i</v>
      </c>
      <c r="AH72">
        <f t="shared" si="76"/>
        <v>1.1808076412478201E-6</v>
      </c>
      <c r="AI72">
        <f t="shared" si="77"/>
        <v>1.5707963267948966</v>
      </c>
      <c r="AJ72" t="str">
        <f t="shared" si="62"/>
        <v>1+0.0272045114989081i</v>
      </c>
      <c r="AK72">
        <f t="shared" si="78"/>
        <v>1.0003699742824623</v>
      </c>
      <c r="AL72">
        <f t="shared" si="79"/>
        <v>2.719780325645214E-2</v>
      </c>
      <c r="AM72" t="str">
        <f t="shared" si="63"/>
        <v>1+0.204789517116781i</v>
      </c>
      <c r="AN72">
        <f t="shared" si="80"/>
        <v>1.0207540087214571</v>
      </c>
      <c r="AO72">
        <f t="shared" si="81"/>
        <v>0.20199659443900678</v>
      </c>
      <c r="AP72" s="42" t="str">
        <f t="shared" si="82"/>
        <v>-5.01625632583779+28.4044414075181i</v>
      </c>
      <c r="AQ72">
        <f t="shared" si="83"/>
        <v>29.201103386033726</v>
      </c>
      <c r="AR72" s="44">
        <f t="shared" si="84"/>
        <v>100.01523299874898</v>
      </c>
      <c r="AS72" s="42" t="str">
        <f t="shared" si="85"/>
        <v>3059.96123538658+1243.35019358401i</v>
      </c>
      <c r="AT72" s="20">
        <f t="shared" si="86"/>
        <v>70.377961867639016</v>
      </c>
      <c r="AU72" s="44">
        <f t="shared" si="87"/>
        <v>22.11332061954139</v>
      </c>
    </row>
    <row r="73" spans="1:47" x14ac:dyDescent="0.3">
      <c r="N73" s="8">
        <v>55</v>
      </c>
      <c r="O73" s="35">
        <f t="shared" si="64"/>
        <v>35.481338923357555</v>
      </c>
      <c r="P73" s="34" t="str">
        <f t="shared" si="55"/>
        <v>545.10556621881</v>
      </c>
      <c r="Q73" s="4" t="str">
        <f t="shared" si="56"/>
        <v>1+4.76252544911245i</v>
      </c>
      <c r="R73" s="4">
        <f t="shared" si="65"/>
        <v>4.8663794193880667</v>
      </c>
      <c r="S73" s="4">
        <f t="shared" si="66"/>
        <v>1.3638303454753249</v>
      </c>
      <c r="T73" s="4" t="str">
        <f t="shared" si="57"/>
        <v>1+0.000111467913701149i</v>
      </c>
      <c r="U73" s="4">
        <f t="shared" si="67"/>
        <v>1.0000000062125478</v>
      </c>
      <c r="V73" s="4">
        <f t="shared" si="68"/>
        <v>1.114679132394825E-4</v>
      </c>
      <c r="W73" t="str">
        <f t="shared" si="58"/>
        <v>1-0.000115792868752754i</v>
      </c>
      <c r="X73" s="4">
        <f t="shared" si="69"/>
        <v>1.0000000067039942</v>
      </c>
      <c r="Y73" s="4">
        <f t="shared" si="70"/>
        <v>-1.1579286823523752E-4</v>
      </c>
      <c r="Z73" t="str">
        <f t="shared" si="59"/>
        <v>0.999999919428774+0.000501433800841774i</v>
      </c>
      <c r="AA73" s="4">
        <f t="shared" si="71"/>
        <v>1.0000000451467046</v>
      </c>
      <c r="AB73" s="4">
        <f t="shared" si="72"/>
        <v>5.0143379921676375E-4</v>
      </c>
      <c r="AC73" s="48" t="str">
        <f t="shared" si="73"/>
        <v>22.9626111442613-109.635711844064i</v>
      </c>
      <c r="AD73" s="20">
        <f t="shared" si="74"/>
        <v>40.985492719692488</v>
      </c>
      <c r="AE73" s="44">
        <f t="shared" si="75"/>
        <v>-78.17070060967329</v>
      </c>
      <c r="AF73" t="str">
        <f t="shared" si="60"/>
        <v>-0.0000333790427773504</v>
      </c>
      <c r="AG73" t="str">
        <f t="shared" si="61"/>
        <v>1.20831218452046E-06i</v>
      </c>
      <c r="AH73">
        <f t="shared" si="76"/>
        <v>1.2083121845204599E-6</v>
      </c>
      <c r="AI73">
        <f t="shared" si="77"/>
        <v>1.5707963267948966</v>
      </c>
      <c r="AJ73" t="str">
        <f t="shared" si="62"/>
        <v>1+0.0278381859752539i</v>
      </c>
      <c r="AK73">
        <f t="shared" si="78"/>
        <v>1.0003874072570049</v>
      </c>
      <c r="AL73">
        <f t="shared" si="79"/>
        <v>2.7830998114289247E-2</v>
      </c>
      <c r="AM73" t="str">
        <f t="shared" si="63"/>
        <v>1+0.209559677758162i</v>
      </c>
      <c r="AN73">
        <f t="shared" si="80"/>
        <v>1.0217217128661331</v>
      </c>
      <c r="AO73">
        <f t="shared" si="81"/>
        <v>0.20657043268832417</v>
      </c>
      <c r="AP73" s="42" t="str">
        <f t="shared" si="82"/>
        <v>-5.01608149855342+27.7641575087669i</v>
      </c>
      <c r="AQ73">
        <f t="shared" si="83"/>
        <v>29.009182594744271</v>
      </c>
      <c r="AR73" s="44">
        <f t="shared" si="84"/>
        <v>100.24101523364695</v>
      </c>
      <c r="AS73" s="42" t="str">
        <f t="shared" si="85"/>
        <v>2928.76084330517+1187.47921838358i</v>
      </c>
      <c r="AT73" s="20">
        <f t="shared" si="86"/>
        <v>69.994675314436762</v>
      </c>
      <c r="AU73" s="44">
        <f t="shared" si="87"/>
        <v>22.070314623973644</v>
      </c>
    </row>
    <row r="74" spans="1:47" x14ac:dyDescent="0.3">
      <c r="N74" s="8">
        <v>56</v>
      </c>
      <c r="O74" s="35">
        <f t="shared" si="64"/>
        <v>36.307805477010156</v>
      </c>
      <c r="P74" s="34" t="str">
        <f t="shared" si="55"/>
        <v>545.10556621881</v>
      </c>
      <c r="Q74" s="4" t="str">
        <f t="shared" si="56"/>
        <v>1+4.87345891763554i</v>
      </c>
      <c r="R74" s="4">
        <f t="shared" si="65"/>
        <v>4.9749976705402954</v>
      </c>
      <c r="S74" s="4">
        <f t="shared" si="66"/>
        <v>1.3684124528645669</v>
      </c>
      <c r="T74" s="4" t="str">
        <f t="shared" si="57"/>
        <v>1+0.000114064334954543i</v>
      </c>
      <c r="U74" s="4">
        <f t="shared" si="67"/>
        <v>1.0000000065053363</v>
      </c>
      <c r="V74" s="4">
        <f t="shared" si="68"/>
        <v>1.1406433445985843E-4</v>
      </c>
      <c r="W74" t="str">
        <f t="shared" si="58"/>
        <v>1-0.000118490031150778i</v>
      </c>
      <c r="X74" s="4">
        <f t="shared" si="69"/>
        <v>1.0000000070199437</v>
      </c>
      <c r="Y74" s="4">
        <f t="shared" si="70"/>
        <v>-1.184900305962491E-4</v>
      </c>
      <c r="Z74" t="str">
        <f t="shared" si="59"/>
        <v>0.999999915631569+0.000513113694494092i</v>
      </c>
      <c r="AA74" s="4">
        <f t="shared" si="71"/>
        <v>1.0000000472744031</v>
      </c>
      <c r="AB74" s="4">
        <f t="shared" si="72"/>
        <v>5.1311369275286217E-4</v>
      </c>
      <c r="AC74" s="48" t="str">
        <f t="shared" si="73"/>
        <v>21.9683791849862-107.344107024576i</v>
      </c>
      <c r="AD74" s="20">
        <f t="shared" si="74"/>
        <v>40.793754407196275</v>
      </c>
      <c r="AE74" s="44">
        <f t="shared" si="75"/>
        <v>-78.433911004999516</v>
      </c>
      <c r="AF74" t="str">
        <f t="shared" si="60"/>
        <v>-0.0000333790427773504</v>
      </c>
      <c r="AG74" t="str">
        <f t="shared" si="61"/>
        <v>1.23645739090724E-06i</v>
      </c>
      <c r="AH74">
        <f t="shared" si="76"/>
        <v>1.23645739090724E-6</v>
      </c>
      <c r="AI74">
        <f t="shared" si="77"/>
        <v>1.5707963267948966</v>
      </c>
      <c r="AJ74" t="str">
        <f t="shared" si="62"/>
        <v>1+0.0284866206262857i</v>
      </c>
      <c r="AK74">
        <f t="shared" si="78"/>
        <v>1.000405661496728</v>
      </c>
      <c r="AL74">
        <f t="shared" si="79"/>
        <v>2.8478918863164403E-2</v>
      </c>
      <c r="AM74" t="str">
        <f t="shared" si="63"/>
        <v>1+0.21444094971454i</v>
      </c>
      <c r="AN74">
        <f t="shared" si="80"/>
        <v>1.0227340421216427</v>
      </c>
      <c r="AO74">
        <f t="shared" si="81"/>
        <v>0.21124174871627846</v>
      </c>
      <c r="AP74" s="42" t="str">
        <f t="shared" si="82"/>
        <v>-5.01589844497364+27.1385940753418i</v>
      </c>
      <c r="AQ74">
        <f t="shared" si="83"/>
        <v>28.817625884842464</v>
      </c>
      <c r="AR74" s="44">
        <f t="shared" si="84"/>
        <v>100.47153880245098</v>
      </c>
      <c r="AS74" s="42" t="str">
        <f t="shared" si="85"/>
        <v>2802.97698792745+1134.61806469618i</v>
      </c>
      <c r="AT74" s="20">
        <f t="shared" si="86"/>
        <v>69.611380292038731</v>
      </c>
      <c r="AU74" s="44">
        <f t="shared" si="87"/>
        <v>22.037627797451417</v>
      </c>
    </row>
    <row r="75" spans="1:47" x14ac:dyDescent="0.3">
      <c r="N75" s="8">
        <v>57</v>
      </c>
      <c r="O75" s="35">
        <f t="shared" si="64"/>
        <v>37.15352290971726</v>
      </c>
      <c r="P75" s="34" t="str">
        <f t="shared" si="55"/>
        <v>545.10556621881</v>
      </c>
      <c r="Q75" s="4" t="str">
        <f t="shared" si="56"/>
        <v>1+4.9869763585846i</v>
      </c>
      <c r="R75" s="4">
        <f t="shared" si="65"/>
        <v>5.0862494237976295</v>
      </c>
      <c r="S75" s="4">
        <f t="shared" si="66"/>
        <v>1.3728986000014896</v>
      </c>
      <c r="T75" s="4" t="str">
        <f t="shared" si="57"/>
        <v>1+0.000116721234628148i</v>
      </c>
      <c r="U75" s="4">
        <f t="shared" si="67"/>
        <v>1.0000000068119232</v>
      </c>
      <c r="V75" s="4">
        <f t="shared" si="68"/>
        <v>1.1672123409808394E-4</v>
      </c>
      <c r="W75" t="str">
        <f t="shared" si="58"/>
        <v>1-0.00012125001853172i</v>
      </c>
      <c r="X75" s="4">
        <f t="shared" si="69"/>
        <v>1.0000000073507835</v>
      </c>
      <c r="Y75" s="4">
        <f t="shared" si="70"/>
        <v>-1.2125001793753158E-4</v>
      </c>
      <c r="Z75" t="str">
        <f t="shared" si="59"/>
        <v>0.999999911655407+0.000525065647819092i</v>
      </c>
      <c r="AA75" s="4">
        <f t="shared" si="71"/>
        <v>1.0000000495023769</v>
      </c>
      <c r="AB75" s="4">
        <f t="shared" si="72"/>
        <v>5.2506564595333077E-4</v>
      </c>
      <c r="AC75" s="48" t="str">
        <f t="shared" si="73"/>
        <v>21.0153540704973-105.091758764676i</v>
      </c>
      <c r="AD75" s="20">
        <f t="shared" si="74"/>
        <v>40.601658954759159</v>
      </c>
      <c r="AE75" s="44">
        <f t="shared" si="75"/>
        <v>-78.691639005185451</v>
      </c>
      <c r="AF75" t="str">
        <f t="shared" si="60"/>
        <v>-0.0000333790427773504</v>
      </c>
      <c r="AG75" t="str">
        <f t="shared" si="61"/>
        <v>1.26525818336912E-06i</v>
      </c>
      <c r="AH75">
        <f t="shared" si="76"/>
        <v>1.26525818336912E-6</v>
      </c>
      <c r="AI75">
        <f t="shared" si="77"/>
        <v>1.5707963267948966</v>
      </c>
      <c r="AJ75" t="str">
        <f t="shared" si="62"/>
        <v>1+0.0291501592606386i</v>
      </c>
      <c r="AK75">
        <f t="shared" si="78"/>
        <v>1.0004247756752731</v>
      </c>
      <c r="AL75">
        <f t="shared" si="79"/>
        <v>2.9141906862005684E-2</v>
      </c>
      <c r="AM75" t="str">
        <f t="shared" si="63"/>
        <v>1+0.219435921100919i</v>
      </c>
      <c r="AN75">
        <f t="shared" si="80"/>
        <v>1.0237930081170747</v>
      </c>
      <c r="AO75">
        <f t="shared" si="81"/>
        <v>0.21601220346749253</v>
      </c>
      <c r="AP75" s="42" t="str">
        <f t="shared" si="82"/>
        <v>-5.01570677866378+26.5274193924935i</v>
      </c>
      <c r="AQ75">
        <f t="shared" si="83"/>
        <v>28.626448878075422</v>
      </c>
      <c r="AR75" s="44">
        <f t="shared" si="84"/>
        <v>100.70687931185228</v>
      </c>
      <c r="AS75" s="42" t="str">
        <f t="shared" si="85"/>
        <v>2682.4063055779+1084.59255792751i</v>
      </c>
      <c r="AT75" s="20">
        <f t="shared" si="86"/>
        <v>69.228107832834581</v>
      </c>
      <c r="AU75" s="44">
        <f t="shared" si="87"/>
        <v>22.015240306666822</v>
      </c>
    </row>
    <row r="76" spans="1:47" x14ac:dyDescent="0.3">
      <c r="N76" s="8">
        <v>58</v>
      </c>
      <c r="O76" s="35">
        <f t="shared" si="64"/>
        <v>38.018939632056139</v>
      </c>
      <c r="P76" s="34" t="str">
        <f t="shared" si="55"/>
        <v>545.10556621881</v>
      </c>
      <c r="Q76" s="4" t="str">
        <f t="shared" si="56"/>
        <v>1+5.10313796040941i</v>
      </c>
      <c r="R76" s="4">
        <f t="shared" si="65"/>
        <v>5.200193942822855</v>
      </c>
      <c r="S76" s="4">
        <f t="shared" si="66"/>
        <v>1.3772904428702595</v>
      </c>
      <c r="T76" s="4" t="str">
        <f t="shared" si="57"/>
        <v>1+0.000119440021445341i</v>
      </c>
      <c r="U76" s="4">
        <f t="shared" si="67"/>
        <v>1.0000000071329593</v>
      </c>
      <c r="V76" s="4">
        <f t="shared" si="68"/>
        <v>1.1944002087736712E-4</v>
      </c>
      <c r="W76" t="str">
        <f t="shared" si="58"/>
        <v>1-0.00012407429427742i</v>
      </c>
      <c r="X76" s="4">
        <f t="shared" si="69"/>
        <v>1.0000000076972151</v>
      </c>
      <c r="Y76" s="4">
        <f t="shared" si="70"/>
        <v>-1.2407429364073565E-4</v>
      </c>
      <c r="Z76" t="str">
        <f t="shared" si="59"/>
        <v>0.999999907491855+0.000537295997900631i</v>
      </c>
      <c r="AA76" s="4">
        <f t="shared" si="71"/>
        <v>1.0000000518353525</v>
      </c>
      <c r="AB76" s="4">
        <f t="shared" si="72"/>
        <v>5.3729599590143155E-4</v>
      </c>
      <c r="AC76" s="48" t="str">
        <f t="shared" si="73"/>
        <v>20.1019750610507-102.878561193811i</v>
      </c>
      <c r="AD76" s="20">
        <f t="shared" si="74"/>
        <v>40.409221191881016</v>
      </c>
      <c r="AE76" s="44">
        <f t="shared" si="75"/>
        <v>-78.943979857354748</v>
      </c>
      <c r="AF76" t="str">
        <f t="shared" si="60"/>
        <v>-0.0000333790427773504</v>
      </c>
      <c r="AG76" t="str">
        <f t="shared" si="61"/>
        <v>0.0000012947298324675i</v>
      </c>
      <c r="AH76">
        <f t="shared" si="76"/>
        <v>1.2947298324675E-6</v>
      </c>
      <c r="AI76">
        <f t="shared" si="77"/>
        <v>1.5707963267948966</v>
      </c>
      <c r="AJ76" t="str">
        <f t="shared" si="62"/>
        <v>1+0.0298291536952794i</v>
      </c>
      <c r="AK76">
        <f t="shared" si="78"/>
        <v>1.0004447902858891</v>
      </c>
      <c r="AL76">
        <f t="shared" si="79"/>
        <v>2.982031130314405E-2</v>
      </c>
      <c r="AM76" t="str">
        <f t="shared" si="63"/>
        <v>1+0.224547240317243i</v>
      </c>
      <c r="AN76">
        <f t="shared" si="80"/>
        <v>1.0249007089148146</v>
      </c>
      <c r="AO76">
        <f t="shared" si="81"/>
        <v>0.22088345740115412</v>
      </c>
      <c r="AP76" s="42" t="str">
        <f t="shared" si="82"/>
        <v>-5.0155060950979+25.9303093722434i</v>
      </c>
      <c r="AQ76">
        <f t="shared" si="83"/>
        <v>28.43566779436367</v>
      </c>
      <c r="AR76" s="44">
        <f t="shared" si="84"/>
        <v>100.94711189190737</v>
      </c>
      <c r="AS76" s="42" t="str">
        <f t="shared" si="85"/>
        <v>2566.85134108459+1037.23848304863i</v>
      </c>
      <c r="AT76" s="20">
        <f t="shared" si="86"/>
        <v>68.844888986244698</v>
      </c>
      <c r="AU76" s="44">
        <f t="shared" si="87"/>
        <v>22.003132034552674</v>
      </c>
    </row>
    <row r="77" spans="1:47" x14ac:dyDescent="0.3">
      <c r="N77" s="8">
        <v>59</v>
      </c>
      <c r="O77" s="35">
        <f t="shared" si="64"/>
        <v>38.904514499428053</v>
      </c>
      <c r="P77" s="34" t="str">
        <f t="shared" si="55"/>
        <v>545.10556621881</v>
      </c>
      <c r="Q77" s="4" t="str">
        <f t="shared" si="56"/>
        <v>1+5.22200531352885i</v>
      </c>
      <c r="R77" s="4">
        <f t="shared" si="65"/>
        <v>5.3168919017150937</v>
      </c>
      <c r="S77" s="4">
        <f t="shared" si="66"/>
        <v>1.3815896320712846</v>
      </c>
      <c r="T77" s="4" t="str">
        <f t="shared" si="57"/>
        <v>1+0.000122222136942881i</v>
      </c>
      <c r="U77" s="4">
        <f t="shared" si="67"/>
        <v>1.0000000074691253</v>
      </c>
      <c r="V77" s="4">
        <f t="shared" si="68"/>
        <v>1.2222213633428605E-4</v>
      </c>
      <c r="W77" t="str">
        <f t="shared" si="58"/>
        <v>1-0.000126964355856264i</v>
      </c>
      <c r="X77" s="4">
        <f t="shared" si="69"/>
        <v>1.0000000080599738</v>
      </c>
      <c r="Y77" s="4">
        <f t="shared" si="70"/>
        <v>-1.2696435517404442E-4</v>
      </c>
      <c r="Z77" t="str">
        <f t="shared" si="59"/>
        <v>0.99999990313208+0.000549811229432211i</v>
      </c>
      <c r="AA77" s="4">
        <f t="shared" si="71"/>
        <v>1.0000000542782774</v>
      </c>
      <c r="AB77" s="4">
        <f t="shared" si="72"/>
        <v>5.4981122729003042E-4</v>
      </c>
      <c r="AC77" s="48" t="str">
        <f t="shared" si="73"/>
        <v>19.2267279768064-100.704365799701i</v>
      </c>
      <c r="AD77" s="20">
        <f t="shared" si="74"/>
        <v>40.216455384030468</v>
      </c>
      <c r="AE77" s="44">
        <f t="shared" si="75"/>
        <v>-79.191028508694558</v>
      </c>
      <c r="AF77" t="str">
        <f t="shared" si="60"/>
        <v>-0.0000333790427773504</v>
      </c>
      <c r="AG77" t="str">
        <f t="shared" si="61"/>
        <v>1.32488796446083E-06i</v>
      </c>
      <c r="AH77">
        <f t="shared" si="76"/>
        <v>1.3248879644608299E-6</v>
      </c>
      <c r="AI77">
        <f t="shared" si="77"/>
        <v>1.5707963267948966</v>
      </c>
      <c r="AJ77" t="str">
        <f t="shared" si="62"/>
        <v>1+0.030523963942045i</v>
      </c>
      <c r="AK77">
        <f t="shared" si="78"/>
        <v>1.000465747726895</v>
      </c>
      <c r="AL77">
        <f t="shared" si="79"/>
        <v>3.051448938637415E-2</v>
      </c>
      <c r="AM77" t="str">
        <f t="shared" si="63"/>
        <v>1+0.229777617452617i</v>
      </c>
      <c r="AN77">
        <f t="shared" si="80"/>
        <v>1.0260593323400948</v>
      </c>
      <c r="AO77">
        <f t="shared" si="81"/>
        <v>0.22585716817477075</v>
      </c>
      <c r="AP77" s="42" t="str">
        <f t="shared" si="82"/>
        <v>-5.01529597081847+25.3469473813826i</v>
      </c>
      <c r="AQ77">
        <f t="shared" si="83"/>
        <v>28.245299468090181</v>
      </c>
      <c r="AR77" s="44">
        <f t="shared" si="84"/>
        <v>101.19231105335489</v>
      </c>
      <c r="AS77" s="42" t="str">
        <f t="shared" si="85"/>
        <v>2456.12052964643+992.401062383338i</v>
      </c>
      <c r="AT77" s="20">
        <f t="shared" si="86"/>
        <v>68.461754852120663</v>
      </c>
      <c r="AU77" s="44">
        <f t="shared" si="87"/>
        <v>22.001282544660281</v>
      </c>
    </row>
    <row r="78" spans="1:47" x14ac:dyDescent="0.3">
      <c r="N78" s="8">
        <v>60</v>
      </c>
      <c r="O78" s="35">
        <f t="shared" si="64"/>
        <v>39.810717055349755</v>
      </c>
      <c r="P78" s="34" t="str">
        <f t="shared" si="55"/>
        <v>545.10556621881</v>
      </c>
      <c r="Q78" s="4" t="str">
        <f t="shared" si="56"/>
        <v>1+5.34364144298692i</v>
      </c>
      <c r="R78" s="4">
        <f t="shared" si="65"/>
        <v>5.4364054182159123</v>
      </c>
      <c r="S78" s="4">
        <f t="shared" si="66"/>
        <v>1.3857978110889055</v>
      </c>
      <c r="T78" s="4" t="str">
        <f t="shared" si="57"/>
        <v>1+0.000125069056235229i</v>
      </c>
      <c r="U78" s="4">
        <f t="shared" si="67"/>
        <v>1.0000000078211344</v>
      </c>
      <c r="V78" s="4">
        <f t="shared" si="68"/>
        <v>1.2506905558310773E-4</v>
      </c>
      <c r="W78" t="str">
        <f t="shared" si="58"/>
        <v>1-0.000129921735617155i</v>
      </c>
      <c r="X78" s="4">
        <f t="shared" si="69"/>
        <v>1.0000000084398286</v>
      </c>
      <c r="Y78" s="4">
        <f t="shared" si="70"/>
        <v>-1.2992173488614355E-4</v>
      </c>
      <c r="Z78" t="str">
        <f t="shared" si="59"/>
        <v>0.999999898566836+0.000562617978155246i</v>
      </c>
      <c r="AA78" s="4">
        <f t="shared" si="71"/>
        <v>1.0000000568363343</v>
      </c>
      <c r="AB78" s="4">
        <f t="shared" si="72"/>
        <v>5.6261797585985794E-4</v>
      </c>
      <c r="AC78" s="48" t="str">
        <f t="shared" si="73"/>
        <v>18.3881449236881-98.5689846575111i</v>
      </c>
      <c r="AD78" s="20">
        <f t="shared" si="74"/>
        <v>40.02337524967934</v>
      </c>
      <c r="AE78" s="44">
        <f t="shared" si="75"/>
        <v>-79.432879507400401</v>
      </c>
      <c r="AF78" t="str">
        <f t="shared" si="60"/>
        <v>-0.0000333790427773504</v>
      </c>
      <c r="AG78" t="str">
        <f t="shared" si="61"/>
        <v>1.35574856958988E-06i</v>
      </c>
      <c r="AH78">
        <f t="shared" si="76"/>
        <v>1.35574856958988E-6</v>
      </c>
      <c r="AI78">
        <f t="shared" si="77"/>
        <v>1.5707963267948966</v>
      </c>
      <c r="AJ78" t="str">
        <f t="shared" si="62"/>
        <v>1+0.031234958398525i</v>
      </c>
      <c r="AK78">
        <f t="shared" si="78"/>
        <v>1.0004876923911445</v>
      </c>
      <c r="AL78">
        <f t="shared" si="79"/>
        <v>3.1224806496471035E-2</v>
      </c>
      <c r="AM78" t="str">
        <f t="shared" si="63"/>
        <v>1+0.23512982572223i</v>
      </c>
      <c r="AN78">
        <f t="shared" si="80"/>
        <v>1.0272711594044517</v>
      </c>
      <c r="AO78">
        <f t="shared" si="81"/>
        <v>0.2309349881627335</v>
      </c>
      <c r="AP78" s="42" t="str">
        <f t="shared" si="82"/>
        <v>-5.01507596255645+24.7770240734105i</v>
      </c>
      <c r="AQ78">
        <f t="shared" si="83"/>
        <v>28.055361364199747</v>
      </c>
      <c r="AR78" s="44">
        <f t="shared" si="84"/>
        <v>101.44255053526783</v>
      </c>
      <c r="AS78" s="42" t="str">
        <f t="shared" si="85"/>
        <v>2350.02816214799+949.93445504906i</v>
      </c>
      <c r="AT78" s="20">
        <f t="shared" si="86"/>
        <v>68.078736613879087</v>
      </c>
      <c r="AU78" s="44">
        <f t="shared" si="87"/>
        <v>22.009671027867444</v>
      </c>
    </row>
    <row r="79" spans="1:47" x14ac:dyDescent="0.3">
      <c r="N79" s="8">
        <v>61</v>
      </c>
      <c r="O79" s="35">
        <f t="shared" si="64"/>
        <v>40.738027780411279</v>
      </c>
      <c r="P79" s="34" t="str">
        <f t="shared" si="55"/>
        <v>545.10556621881</v>
      </c>
      <c r="Q79" s="4" t="str">
        <f t="shared" si="56"/>
        <v>1+5.46811084186954i</v>
      </c>
      <c r="R79" s="4">
        <f t="shared" si="65"/>
        <v>5.5587980876239067</v>
      </c>
      <c r="S79" s="4">
        <f t="shared" si="66"/>
        <v>1.389916614692253</v>
      </c>
      <c r="T79" s="4" t="str">
        <f t="shared" si="57"/>
        <v>1+0.000127982288796677i</v>
      </c>
      <c r="U79" s="4">
        <f t="shared" si="67"/>
        <v>1.0000000081897331</v>
      </c>
      <c r="V79" s="4">
        <f t="shared" si="68"/>
        <v>1.2798228809791649E-4</v>
      </c>
      <c r="W79" t="str">
        <f t="shared" si="58"/>
        <v>1-0.000132948001601988i</v>
      </c>
      <c r="X79" s="4">
        <f t="shared" si="69"/>
        <v>1.0000000088375856</v>
      </c>
      <c r="Y79" s="4">
        <f t="shared" si="70"/>
        <v>-1.329480008186951E-4</v>
      </c>
      <c r="Z79" t="str">
        <f t="shared" si="59"/>
        <v>0.999999893786438+0.00057572303437743i</v>
      </c>
      <c r="AA79" s="4">
        <f t="shared" si="71"/>
        <v>1.0000000595149481</v>
      </c>
      <c r="AB79" s="4">
        <f t="shared" si="72"/>
        <v>5.7572303191787751E-4</v>
      </c>
      <c r="AC79" s="48" t="str">
        <f t="shared" si="73"/>
        <v>17.5848039023784-96.4721935064502i</v>
      </c>
      <c r="AD79" s="20">
        <f t="shared" si="74"/>
        <v>39.829993977215082</v>
      </c>
      <c r="AE79" s="44">
        <f t="shared" si="75"/>
        <v>-79.669626911255691</v>
      </c>
      <c r="AF79" t="str">
        <f t="shared" si="60"/>
        <v>-0.0000333790427773504</v>
      </c>
      <c r="AG79" t="str">
        <f t="shared" si="61"/>
        <v>1.38732801055598E-06i</v>
      </c>
      <c r="AH79">
        <f t="shared" si="76"/>
        <v>1.3873280105559799E-6</v>
      </c>
      <c r="AI79">
        <f t="shared" si="77"/>
        <v>1.5707963267948966</v>
      </c>
      <c r="AJ79" t="str">
        <f t="shared" si="62"/>
        <v>1+0.0319625140433915i</v>
      </c>
      <c r="AK79">
        <f t="shared" si="78"/>
        <v>1.0005106707596745</v>
      </c>
      <c r="AL79">
        <f t="shared" si="79"/>
        <v>3.1951636384202606E-2</v>
      </c>
      <c r="AM79" t="str">
        <f t="shared" si="63"/>
        <v>1+0.240606702937753i</v>
      </c>
      <c r="AN79">
        <f t="shared" si="80"/>
        <v>1.0285385678226053</v>
      </c>
      <c r="AO79">
        <f t="shared" si="81"/>
        <v>0.23611856180333327</v>
      </c>
      <c r="AP79" s="42" t="str">
        <f t="shared" si="82"/>
        <v>-5.01484560631191+24.2202372243244i</v>
      </c>
      <c r="AQ79">
        <f t="shared" si="83"/>
        <v>27.865871594033216</v>
      </c>
      <c r="AR79" s="44">
        <f t="shared" si="84"/>
        <v>101.69790314267841</v>
      </c>
      <c r="AS79" s="42" t="str">
        <f t="shared" si="85"/>
        <v>2248.39433568945+909.701277795924i</v>
      </c>
      <c r="AT79" s="20">
        <f t="shared" si="86"/>
        <v>67.695865571248277</v>
      </c>
      <c r="AU79" s="44">
        <f t="shared" si="87"/>
        <v>22.028276231422748</v>
      </c>
    </row>
    <row r="80" spans="1:47" x14ac:dyDescent="0.3">
      <c r="N80" s="8">
        <v>62</v>
      </c>
      <c r="O80" s="35">
        <f t="shared" si="64"/>
        <v>41.686938347033561</v>
      </c>
      <c r="P80" s="34" t="str">
        <f t="shared" si="55"/>
        <v>545.10556621881</v>
      </c>
      <c r="Q80" s="4" t="str">
        <f t="shared" si="56"/>
        <v>1+5.59547950549952i</v>
      </c>
      <c r="R80" s="4">
        <f t="shared" si="65"/>
        <v>5.684135017438023</v>
      </c>
      <c r="S80" s="4">
        <f t="shared" si="66"/>
        <v>1.3939476674628595</v>
      </c>
      <c r="T80" s="4" t="str">
        <f t="shared" si="57"/>
        <v>1+0.000130963379261691i</v>
      </c>
      <c r="U80" s="4">
        <f t="shared" si="67"/>
        <v>1.0000000085757033</v>
      </c>
      <c r="V80" s="4">
        <f t="shared" si="68"/>
        <v>1.3096337851295562E-4</v>
      </c>
      <c r="W80" t="str">
        <f t="shared" si="58"/>
        <v>1-0.000136044758377045i</v>
      </c>
      <c r="X80" s="4">
        <f t="shared" si="69"/>
        <v>1.0000000092540882</v>
      </c>
      <c r="Y80" s="4">
        <f t="shared" si="70"/>
        <v>-1.3604475753773153E-4</v>
      </c>
      <c r="Z80" t="str">
        <f t="shared" si="59"/>
        <v>0.999999888780747+0.000589133346573037i</v>
      </c>
      <c r="AA80" s="4">
        <f t="shared" si="71"/>
        <v>1.0000000623198013</v>
      </c>
      <c r="AB80" s="4">
        <f t="shared" si="72"/>
        <v>5.8913334393757898E-4</v>
      </c>
      <c r="AC80" s="48" t="str">
        <f t="shared" si="73"/>
        <v>16.8153283135151-94.4137346760629i</v>
      </c>
      <c r="AD80" s="20">
        <f t="shared" si="74"/>
        <v>39.636324241689671</v>
      </c>
      <c r="AE80" s="44">
        <f t="shared" si="75"/>
        <v>-79.901364203477641</v>
      </c>
      <c r="AF80" t="str">
        <f t="shared" si="60"/>
        <v>-0.0000333790427773504</v>
      </c>
      <c r="AG80" t="str">
        <f t="shared" si="61"/>
        <v>1.41964303119673E-06i</v>
      </c>
      <c r="AH80">
        <f t="shared" si="76"/>
        <v>1.41964303119673E-6</v>
      </c>
      <c r="AI80">
        <f t="shared" si="77"/>
        <v>1.5707963267948966</v>
      </c>
      <c r="AJ80" t="str">
        <f t="shared" si="62"/>
        <v>1+0.0327070166362778i</v>
      </c>
      <c r="AK80">
        <f t="shared" si="78"/>
        <v>1.0005347314997344</v>
      </c>
      <c r="AL80">
        <f t="shared" si="79"/>
        <v>3.2695361350872164E-2</v>
      </c>
      <c r="AM80" t="str">
        <f t="shared" si="63"/>
        <v>1+0.246211153011981i</v>
      </c>
      <c r="AN80">
        <f t="shared" si="80"/>
        <v>1.0298640356219306</v>
      </c>
      <c r="AO80">
        <f t="shared" si="81"/>
        <v>0.2414095227680198</v>
      </c>
      <c r="AP80" s="42" t="str">
        <f t="shared" si="82"/>
        <v>-5.01460441639231+23.6762915721725i</v>
      </c>
      <c r="AQ80">
        <f t="shared" si="83"/>
        <v>27.676848930813115</v>
      </c>
      <c r="AR80" s="44">
        <f t="shared" si="84"/>
        <v>101.95844057381477</v>
      </c>
      <c r="AS80" s="42" t="str">
        <f t="shared" si="85"/>
        <v>2151.04489098416+871.572146907268i</v>
      </c>
      <c r="AT80" s="20">
        <f t="shared" si="86"/>
        <v>67.313173172502786</v>
      </c>
      <c r="AU80" s="44">
        <f t="shared" si="87"/>
        <v>22.057076370337121</v>
      </c>
    </row>
    <row r="81" spans="14:47" x14ac:dyDescent="0.3">
      <c r="N81" s="8">
        <v>63</v>
      </c>
      <c r="O81" s="35">
        <f t="shared" si="64"/>
        <v>42.657951880159267</v>
      </c>
      <c r="P81" s="34" t="str">
        <f t="shared" si="55"/>
        <v>545.10556621881</v>
      </c>
      <c r="Q81" s="4" t="str">
        <f t="shared" si="56"/>
        <v>1+5.72581496642824i</v>
      </c>
      <c r="R81" s="4">
        <f t="shared" si="65"/>
        <v>5.8124828627509624</v>
      </c>
      <c r="S81" s="4">
        <f t="shared" si="66"/>
        <v>1.3978925824427491</v>
      </c>
      <c r="T81" s="4" t="str">
        <f t="shared" si="57"/>
        <v>1+0.000134013908243895i</v>
      </c>
      <c r="U81" s="4">
        <f t="shared" si="67"/>
        <v>1.0000000089798637</v>
      </c>
      <c r="V81" s="4">
        <f t="shared" si="68"/>
        <v>1.3401390744161056E-4</v>
      </c>
      <c r="W81" t="str">
        <f t="shared" si="58"/>
        <v>1-0.000139213647883758i</v>
      </c>
      <c r="X81" s="4">
        <f t="shared" si="69"/>
        <v>1.0000000096902197</v>
      </c>
      <c r="Y81" s="4">
        <f t="shared" si="70"/>
        <v>-1.3921364698441744E-4</v>
      </c>
      <c r="Z81" t="str">
        <f t="shared" si="59"/>
        <v>0.999999883539145+0.000602856025067098i</v>
      </c>
      <c r="AA81" s="4">
        <f t="shared" si="71"/>
        <v>1.0000000652568433</v>
      </c>
      <c r="AB81" s="4">
        <f t="shared" si="72"/>
        <v>6.0285602224315364E-4</v>
      </c>
      <c r="AC81" s="48" t="str">
        <f t="shared" si="73"/>
        <v>16.078386371267-92.3933198650712i</v>
      </c>
      <c r="AD81" s="20">
        <f t="shared" si="74"/>
        <v>39.442378221370269</v>
      </c>
      <c r="AE81" s="44">
        <f t="shared" si="75"/>
        <v>-80.128184215471961</v>
      </c>
      <c r="AF81" t="str">
        <f t="shared" si="60"/>
        <v>-0.0000333790427773504</v>
      </c>
      <c r="AG81" t="str">
        <f t="shared" si="61"/>
        <v>1.45271076536382E-06i</v>
      </c>
      <c r="AH81">
        <f t="shared" si="76"/>
        <v>1.45271076536382E-6</v>
      </c>
      <c r="AI81">
        <f t="shared" si="77"/>
        <v>1.5707963267948966</v>
      </c>
      <c r="AJ81" t="str">
        <f t="shared" si="62"/>
        <v>1+0.0334688609223131i</v>
      </c>
      <c r="AK81">
        <f t="shared" si="78"/>
        <v>1.000559925567398</v>
      </c>
      <c r="AL81">
        <f t="shared" si="79"/>
        <v>3.3456372436425769E-2</v>
      </c>
      <c r="AM81" t="str">
        <f t="shared" si="63"/>
        <v>1+0.251946147498524i</v>
      </c>
      <c r="AN81">
        <f t="shared" si="80"/>
        <v>1.03125014484331</v>
      </c>
      <c r="AO81">
        <f t="shared" si="81"/>
        <v>0.24680949094693716</v>
      </c>
      <c r="AP81" s="42" t="str">
        <f t="shared" si="82"/>
        <v>-5.01435188440666+23.1448986602831i</v>
      </c>
      <c r="AQ81">
        <f t="shared" si="83"/>
        <v>27.488312824689952</v>
      </c>
      <c r="AR81" s="44">
        <f t="shared" si="84"/>
        <v>102.22423323660678</v>
      </c>
      <c r="AS81" s="42" t="str">
        <f t="shared" si="85"/>
        <v>2057.81133816521+835.425240755859i</v>
      </c>
      <c r="AT81" s="20">
        <f t="shared" si="86"/>
        <v>66.930691046060218</v>
      </c>
      <c r="AU81" s="44">
        <f t="shared" si="87"/>
        <v>22.096049021134863</v>
      </c>
    </row>
    <row r="82" spans="14:47" x14ac:dyDescent="0.3">
      <c r="N82" s="8">
        <v>64</v>
      </c>
      <c r="O82" s="35">
        <f t="shared" si="64"/>
        <v>43.651583224016633</v>
      </c>
      <c r="P82" s="34" t="str">
        <f t="shared" si="55"/>
        <v>545.10556621881</v>
      </c>
      <c r="Q82" s="4" t="str">
        <f t="shared" si="56"/>
        <v>1+5.85918633024227i</v>
      </c>
      <c r="R82" s="4">
        <f t="shared" si="65"/>
        <v>5.9439098624136184</v>
      </c>
      <c r="S82" s="4">
        <f t="shared" si="66"/>
        <v>1.4017529598968368</v>
      </c>
      <c r="T82" s="4" t="str">
        <f t="shared" si="57"/>
        <v>1+0.000137135493174134i</v>
      </c>
      <c r="U82" s="4">
        <f t="shared" si="67"/>
        <v>1.0000000094030717</v>
      </c>
      <c r="V82" s="4">
        <f t="shared" si="68"/>
        <v>1.3713549231447075E-4</v>
      </c>
      <c r="W82" t="str">
        <f t="shared" si="58"/>
        <v>1-0.00014245635030929i</v>
      </c>
      <c r="X82" s="4">
        <f t="shared" si="69"/>
        <v>1.0000000101469058</v>
      </c>
      <c r="Y82" s="4">
        <f t="shared" si="70"/>
        <v>-1.4245634934562923E-4</v>
      </c>
      <c r="Z82" t="str">
        <f t="shared" si="59"/>
        <v>0.999999878050514+0.000616898345805391i</v>
      </c>
      <c r="AA82" s="4">
        <f t="shared" si="71"/>
        <v>1.0000000683323036</v>
      </c>
      <c r="AB82" s="4">
        <f t="shared" si="72"/>
        <v>6.168983427794802E-4</v>
      </c>
      <c r="AC82" s="48" t="str">
        <f t="shared" si="73"/>
        <v>15.3726904366159-90.4106327760596i</v>
      </c>
      <c r="AD82" s="20">
        <f t="shared" si="74"/>
        <v>39.248167614059518</v>
      </c>
      <c r="AE82" s="44">
        <f t="shared" si="75"/>
        <v>-80.35017905614086</v>
      </c>
      <c r="AF82" t="str">
        <f t="shared" si="60"/>
        <v>-0.0000333790427773504</v>
      </c>
      <c r="AG82" t="str">
        <f t="shared" si="61"/>
        <v>1.48654874600761E-06i</v>
      </c>
      <c r="AH82">
        <f t="shared" si="76"/>
        <v>1.48654874600761E-6</v>
      </c>
      <c r="AI82">
        <f t="shared" si="77"/>
        <v>1.5707963267948966</v>
      </c>
      <c r="AJ82" t="str">
        <f t="shared" si="62"/>
        <v>1+0.0342484508414221i</v>
      </c>
      <c r="AK82">
        <f t="shared" si="78"/>
        <v>1.0005863063149711</v>
      </c>
      <c r="AL82">
        <f t="shared" si="79"/>
        <v>3.4235069611156098E-2</v>
      </c>
      <c r="AM82" t="str">
        <f t="shared" si="63"/>
        <v>1+0.257814727167373i</v>
      </c>
      <c r="AN82">
        <f t="shared" si="80"/>
        <v>1.0326995853317591</v>
      </c>
      <c r="AO82">
        <f t="shared" si="81"/>
        <v>0.25232006924507155</v>
      </c>
      <c r="AP82" s="42" t="str">
        <f t="shared" si="82"/>
        <v>-5.01408747821474+22.6257766840877i</v>
      </c>
      <c r="AQ82">
        <f t="shared" si="83"/>
        <v>27.300283417251446</v>
      </c>
      <c r="AR82" s="44">
        <f t="shared" si="84"/>
        <v>102.49535005413547</v>
      </c>
      <c r="AS82" s="42" t="str">
        <f t="shared" si="85"/>
        <v>1968.53077243348+801.145882552394i</v>
      </c>
      <c r="AT82" s="20">
        <f t="shared" si="86"/>
        <v>66.548451031310975</v>
      </c>
      <c r="AU82" s="44">
        <f t="shared" si="87"/>
        <v>22.145170997994594</v>
      </c>
    </row>
    <row r="83" spans="14:47" x14ac:dyDescent="0.3">
      <c r="N83" s="8">
        <v>65</v>
      </c>
      <c r="O83" s="35">
        <f t="shared" si="64"/>
        <v>44.668359215096324</v>
      </c>
      <c r="P83" s="34" t="str">
        <f t="shared" ref="P83:P146" si="88">COMPLEX(Adc,0)</f>
        <v>545.10556621881</v>
      </c>
      <c r="Q83" s="4" t="str">
        <f t="shared" ref="Q83:Q146" si="89">IMSUM(COMPLEX(1,0),IMDIV(COMPLEX(0,2*PI()*O83),COMPLEX(wp_lf,0)))</f>
        <v>1+5.9956643122041i</v>
      </c>
      <c r="R83" s="4">
        <f t="shared" si="65"/>
        <v>6.0784858759922979</v>
      </c>
      <c r="S83" s="4">
        <f t="shared" si="66"/>
        <v>1.4055303861836295</v>
      </c>
      <c r="T83" s="4" t="str">
        <f t="shared" ref="T83:T146" si="90">IMSUM(COMPLEX(1,0),IMDIV(COMPLEX(0,2*PI()*O83),COMPLEX(wz_esr,0)))</f>
        <v>1+0.000140329789158057i</v>
      </c>
      <c r="U83" s="4">
        <f t="shared" si="67"/>
        <v>1.0000000098462247</v>
      </c>
      <c r="V83" s="4">
        <f t="shared" si="68"/>
        <v>1.4032978823691125E-4</v>
      </c>
      <c r="W83" t="str">
        <f t="shared" ref="W83:W146" si="91">IMSUB(COMPLEX(1,0),IMDIV(COMPLEX(0,2*PI()*O83),COMPLEX(wz_rhp,0)))</f>
        <v>1-0.000145774584977389i</v>
      </c>
      <c r="X83" s="4">
        <f t="shared" si="69"/>
        <v>1.0000000106251148</v>
      </c>
      <c r="Y83" s="4">
        <f t="shared" si="70"/>
        <v>-1.4577458394480789E-4</v>
      </c>
      <c r="Z83" t="str">
        <f t="shared" ref="Z83:Z146" si="92">IMSUM(COMPLEX(1,0),IMDIV(COMPLEX(0,2*PI()*O83),COMPLEX(Q*(wsl/2),0)),IMDIV(IMPOWER(COMPLEX(0,2*PI()*O83),2),IMPOWER(COMPLEX(wsl/2,0),2)))</f>
        <v>0.999999872303212+0.000631267754212246i</v>
      </c>
      <c r="AA83" s="4">
        <f t="shared" si="71"/>
        <v>1.0000000715527062</v>
      </c>
      <c r="AB83" s="4">
        <f t="shared" si="72"/>
        <v>6.3126775096992386E-4</v>
      </c>
      <c r="AC83" s="48" t="str">
        <f t="shared" si="73"/>
        <v>14.6969962808356-88.4653316096981i</v>
      </c>
      <c r="AD83" s="20">
        <f t="shared" si="74"/>
        <v>39.053703653158024</v>
      </c>
      <c r="AE83" s="44">
        <f t="shared" si="75"/>
        <v>-80.567440047402386</v>
      </c>
      <c r="AF83" t="str">
        <f t="shared" ref="AF83:AF146" si="93">COMPLEX(Adc_ea,0)</f>
        <v>-0.0000333790427773504</v>
      </c>
      <c r="AG83" t="str">
        <f t="shared" ref="AG83:AG146" si="94">COMPLEX(0,2*PI()*O83*wp0_ea)</f>
        <v>1.52117491447333E-06i</v>
      </c>
      <c r="AH83">
        <f t="shared" si="76"/>
        <v>1.5211749144733301E-6</v>
      </c>
      <c r="AI83">
        <f t="shared" si="77"/>
        <v>1.5707963267948966</v>
      </c>
      <c r="AJ83" t="str">
        <f t="shared" ref="AJ83:AJ146" si="95">IMSUM(COMPLEX(1,0),IMDIV(COMPLEX(0,2*PI()*O83),COMPLEX(wp1_ea,0)))</f>
        <v>1+0.0350461997424991i</v>
      </c>
      <c r="AK83">
        <f t="shared" si="78"/>
        <v>1.0006139296034167</v>
      </c>
      <c r="AL83">
        <f t="shared" si="79"/>
        <v>3.5031861971029449E-2</v>
      </c>
      <c r="AM83" t="str">
        <f t="shared" ref="AM83:AM146" si="96">IMSUM(COMPLEX(1,0),IMDIV(COMPLEX(0,2*PI()*O83),COMPLEX(wz_ea,0)))</f>
        <v>1+0.263820003617147i</v>
      </c>
      <c r="AN83">
        <f t="shared" si="80"/>
        <v>1.0342151586147592</v>
      </c>
      <c r="AO83">
        <f t="shared" si="81"/>
        <v>0.25794284018368246</v>
      </c>
      <c r="AP83" s="42" t="str">
        <f t="shared" si="82"/>
        <v>-5.01381064082761+22.1186503414534i</v>
      </c>
      <c r="AQ83">
        <f t="shared" si="83"/>
        <v>27.112781555387848</v>
      </c>
      <c r="AR83" s="44">
        <f t="shared" si="84"/>
        <v>102.77185825871767</v>
      </c>
      <c r="AS83" s="42" t="str">
        <f t="shared" si="85"/>
        <v>1883.04578087458+768.626142774491i</v>
      </c>
      <c r="AT83" s="20">
        <f t="shared" si="86"/>
        <v>66.166485208545865</v>
      </c>
      <c r="AU83" s="44">
        <f t="shared" si="87"/>
        <v>22.204418211315286</v>
      </c>
    </row>
    <row r="84" spans="14:47" x14ac:dyDescent="0.3">
      <c r="N84" s="8">
        <v>66</v>
      </c>
      <c r="O84" s="35">
        <f t="shared" ref="O84:O118" si="97">10^(1+(N84/100))</f>
        <v>45.70881896148753</v>
      </c>
      <c r="P84" s="34" t="str">
        <f t="shared" si="88"/>
        <v>545.10556621881</v>
      </c>
      <c r="Q84" s="4" t="str">
        <f t="shared" si="89"/>
        <v>1+6.13532127474627i</v>
      </c>
      <c r="R84" s="4">
        <f t="shared" ref="R84:R147" si="98">IMABS(Q84)</f>
        <v>6.2162824215405621</v>
      </c>
      <c r="S84" s="4">
        <f t="shared" ref="S84:S147" si="99">IMARGUMENT(Q84)</f>
        <v>1.4092264327283748</v>
      </c>
      <c r="T84" s="4" t="str">
        <f t="shared" si="90"/>
        <v>1+0.000143598489853675i</v>
      </c>
      <c r="U84" s="4">
        <f t="shared" ref="U84:U147" si="100">IMABS(T84)</f>
        <v>1.0000000103102631</v>
      </c>
      <c r="V84" s="4">
        <f t="shared" ref="V84:V147" si="101">IMARGUMENT(T84)</f>
        <v>1.4359848886664954E-4</v>
      </c>
      <c r="W84" t="str">
        <f t="shared" si="91"/>
        <v>1-0.000149170111259997i</v>
      </c>
      <c r="X84" s="4">
        <f t="shared" ref="X84:X147" si="102">IMABS(W84)</f>
        <v>1.0000000111258609</v>
      </c>
      <c r="Y84" s="4">
        <f t="shared" ref="Y84:Y147" si="103">IMARGUMENT(W84)</f>
        <v>-1.491701101535664E-4</v>
      </c>
      <c r="Z84" t="str">
        <f t="shared" si="92"/>
        <v>0.999999866285048+0.0006459718691382i</v>
      </c>
      <c r="AA84" s="4">
        <f t="shared" ref="AA84:AA147" si="104">IMABS(Z84)</f>
        <v>1.0000000749248819</v>
      </c>
      <c r="AB84" s="4">
        <f t="shared" ref="AB84:AB147" si="105">IMARGUMENT(Z84)</f>
        <v>6.4597186566398913E-4</v>
      </c>
      <c r="AC84" s="48" t="str">
        <f t="shared" ref="AC84:AC147" si="106">(IMDIV(IMPRODUCT(P84,T84,W84),IMPRODUCT(Q84,Z84)))</f>
        <v>14.0501022888702-86.5570514225123i</v>
      </c>
      <c r="AD84" s="20">
        <f t="shared" ref="AD84:AD147" si="107">20*LOG(IMABS(AC84))</f>
        <v>38.858997123445654</v>
      </c>
      <c r="AE84" s="44">
        <f t="shared" ref="AE84:AE147" si="108">(180/PI())*IMARGUMENT(AC84)</f>
        <v>-80.780057665584053</v>
      </c>
      <c r="AF84" t="str">
        <f t="shared" si="93"/>
        <v>-0.0000333790427773504</v>
      </c>
      <c r="AG84" t="str">
        <f t="shared" si="94"/>
        <v>1.55660763001384E-06i</v>
      </c>
      <c r="AH84">
        <f t="shared" ref="AH84:AH147" si="109">IMABS(AG84)</f>
        <v>1.5566076300138401E-6</v>
      </c>
      <c r="AI84">
        <f t="shared" ref="AI84:AI147" si="110">IMARGUMENT(AG84)</f>
        <v>1.5707963267948966</v>
      </c>
      <c r="AJ84" t="str">
        <f t="shared" si="95"/>
        <v>1+0.0358625306025709i</v>
      </c>
      <c r="AK84">
        <f t="shared" ref="AK84:AK147" si="111">IMABS(AJ84)</f>
        <v>1.0006428539200289</v>
      </c>
      <c r="AL84">
        <f t="shared" ref="AL84:AL147" si="112">IMARGUMENT(AJ84)</f>
        <v>3.5847167936661775E-2</v>
      </c>
      <c r="AM84" t="str">
        <f t="shared" si="96"/>
        <v>1+0.26996516092491i</v>
      </c>
      <c r="AN84">
        <f t="shared" ref="AN84:AN147" si="113">IMABS(AM84)</f>
        <v>1.0357997818657874</v>
      </c>
      <c r="AO84">
        <f t="shared" ref="AO84:AO147" si="114">IMARGUMENT(AM84)</f>
        <v>0.26367936230220579</v>
      </c>
      <c r="AP84" s="42" t="str">
        <f t="shared" ref="AP84:AP147" si="115">IMPRODUCT(AF84,IMDIV(AM84,IMPRODUCT(AG84,AJ84)))</f>
        <v>-5.01352078925895+21.623250686446i</v>
      </c>
      <c r="AQ84">
        <f t="shared" ref="AQ84:AQ147" si="116">20*LOG(IMABS(AP84))</f>
        <v>26.92582880439987</v>
      </c>
      <c r="AR84" s="44">
        <f t="shared" ref="AR84:AR147" si="117">(180/PI())*IMARGUMENT(AP84)</f>
        <v>103.05382317434994</v>
      </c>
      <c r="AS84" s="42" t="str">
        <f t="shared" ref="AS84:AS147" si="118">IMPRODUCT(AC84,AP84)</f>
        <v>1801.20434167212+737.76446072617i</v>
      </c>
      <c r="AT84" s="20">
        <f t="shared" ref="AT84:AT147" si="119">20*LOG(IMABS(AS84))</f>
        <v>65.784825927845546</v>
      </c>
      <c r="AU84" s="44">
        <f t="shared" ref="AU84:AU147" si="120">(180/PI())*IMARGUMENT(AS84)</f>
        <v>22.273765508765834</v>
      </c>
    </row>
    <row r="85" spans="14:47" x14ac:dyDescent="0.3">
      <c r="N85" s="8">
        <v>67</v>
      </c>
      <c r="O85" s="35">
        <f t="shared" si="97"/>
        <v>46.773514128719818</v>
      </c>
      <c r="P85" s="34" t="str">
        <f t="shared" si="88"/>
        <v>545.10556621881</v>
      </c>
      <c r="Q85" s="4" t="str">
        <f t="shared" si="89"/>
        <v>1+6.27823126583887i</v>
      </c>
      <c r="R85" s="4">
        <f t="shared" si="98"/>
        <v>6.3573727142080267</v>
      </c>
      <c r="S85" s="4">
        <f t="shared" si="99"/>
        <v>1.4128426550929893</v>
      </c>
      <c r="T85" s="4" t="str">
        <f t="shared" si="90"/>
        <v>1+0.000146943328369365i</v>
      </c>
      <c r="U85" s="4">
        <f t="shared" si="100"/>
        <v>1.0000000107961708</v>
      </c>
      <c r="V85" s="4">
        <f t="shared" si="101"/>
        <v>1.4694332731174817E-4</v>
      </c>
      <c r="W85" t="str">
        <f t="shared" si="91"/>
        <v>1-0.000152644729510095i</v>
      </c>
      <c r="X85" s="4">
        <f t="shared" si="102"/>
        <v>1.0000000116502066</v>
      </c>
      <c r="Y85" s="4">
        <f t="shared" si="103"/>
        <v>-1.5264472832453326E-4</v>
      </c>
      <c r="Z85" t="str">
        <f t="shared" si="92"/>
        <v>0.999999859983256+0.00066101848689962i</v>
      </c>
      <c r="AA85" s="4">
        <f t="shared" si="104"/>
        <v>1.0000000784559828</v>
      </c>
      <c r="AB85" s="4">
        <f t="shared" si="105"/>
        <v>6.6101848317693605E-4</v>
      </c>
      <c r="AC85" s="48" t="str">
        <f t="shared" si="106"/>
        <v>13.430848611545-84.6854063524499i</v>
      </c>
      <c r="AD85" s="20">
        <f t="shared" si="107"/>
        <v>38.664058376560611</v>
      </c>
      <c r="AE85" s="44">
        <f t="shared" si="108"/>
        <v>-80.988121488367256</v>
      </c>
      <c r="AF85" t="str">
        <f t="shared" si="93"/>
        <v>-0.0000333790427773504</v>
      </c>
      <c r="AG85" t="str">
        <f t="shared" si="94"/>
        <v>1.59286567952391E-06i</v>
      </c>
      <c r="AH85">
        <f t="shared" si="109"/>
        <v>1.5928656795239099E-6</v>
      </c>
      <c r="AI85">
        <f t="shared" si="110"/>
        <v>1.5707963267948966</v>
      </c>
      <c r="AJ85" t="str">
        <f t="shared" si="95"/>
        <v>1+0.0366978762510649i</v>
      </c>
      <c r="AK85">
        <f t="shared" si="111"/>
        <v>1.0006731405016018</v>
      </c>
      <c r="AL85">
        <f t="shared" si="112"/>
        <v>3.6681415455965122E-2</v>
      </c>
      <c r="AM85" t="str">
        <f t="shared" si="96"/>
        <v>1+0.276253457334406i</v>
      </c>
      <c r="AN85">
        <f t="shared" si="113"/>
        <v>1.0374564919500058</v>
      </c>
      <c r="AO85">
        <f t="shared" si="114"/>
        <v>0.26953116635630781</v>
      </c>
      <c r="AP85" s="42" t="str">
        <f t="shared" si="115"/>
        <v>-5.01321731332387+21.1393149864439i</v>
      </c>
      <c r="AQ85">
        <f t="shared" si="116"/>
        <v>26.739447460226224</v>
      </c>
      <c r="AR85" s="44">
        <f t="shared" si="117"/>
        <v>103.34130798726214</v>
      </c>
      <c r="AS85" s="42" t="str">
        <f t="shared" si="118"/>
        <v>1722.85971684741+708.465284646662i</v>
      </c>
      <c r="AT85" s="20">
        <f t="shared" si="119"/>
        <v>65.403505836786849</v>
      </c>
      <c r="AU85" s="44">
        <f t="shared" si="120"/>
        <v>22.353186498894871</v>
      </c>
    </row>
    <row r="86" spans="14:47" x14ac:dyDescent="0.3">
      <c r="N86" s="8">
        <v>68</v>
      </c>
      <c r="O86" s="35">
        <f t="shared" si="97"/>
        <v>47.863009232263877</v>
      </c>
      <c r="P86" s="34" t="str">
        <f t="shared" si="88"/>
        <v>545.10556621881</v>
      </c>
      <c r="Q86" s="4" t="str">
        <f t="shared" si="89"/>
        <v>1+6.42447005825085i</v>
      </c>
      <c r="R86" s="4">
        <f t="shared" si="98"/>
        <v>6.5018317057089128</v>
      </c>
      <c r="S86" s="4">
        <f t="shared" si="99"/>
        <v>1.4163805921372767</v>
      </c>
      <c r="T86" s="4" t="str">
        <f t="shared" si="90"/>
        <v>1+0.000150366078182781i</v>
      </c>
      <c r="U86" s="4">
        <f t="shared" si="100"/>
        <v>1.0000000113049787</v>
      </c>
      <c r="V86" s="4">
        <f t="shared" si="101"/>
        <v>1.5036607704952413E-4</v>
      </c>
      <c r="W86" t="str">
        <f t="shared" si="91"/>
        <v>1-0.000156200282016272i</v>
      </c>
      <c r="X86" s="4">
        <f t="shared" si="102"/>
        <v>1.000000012199264</v>
      </c>
      <c r="Y86" s="4">
        <f t="shared" si="103"/>
        <v>-1.5620028074591968E-4</v>
      </c>
      <c r="Z86" t="str">
        <f t="shared" si="92"/>
        <v>0.99999985338447+0.00067641558541241i</v>
      </c>
      <c r="AA86" s="4">
        <f t="shared" si="104"/>
        <v>1.0000000821534993</v>
      </c>
      <c r="AB86" s="4">
        <f t="shared" si="105"/>
        <v>6.7641558142348247E-4</v>
      </c>
      <c r="AC86" s="48" t="str">
        <f t="shared" si="106"/>
        <v>12.8381162748223-82.8499917166967i</v>
      </c>
      <c r="AD86" s="20">
        <f t="shared" si="107"/>
        <v>38.468897346159451</v>
      </c>
      <c r="AE86" s="44">
        <f t="shared" si="108"/>
        <v>-81.191720146967455</v>
      </c>
      <c r="AF86" t="str">
        <f t="shared" si="93"/>
        <v>-0.0000333790427773504</v>
      </c>
      <c r="AG86" t="str">
        <f t="shared" si="94"/>
        <v>1.62996828750134E-06i</v>
      </c>
      <c r="AH86">
        <f t="shared" si="109"/>
        <v>1.6299682875013401E-6</v>
      </c>
      <c r="AI86">
        <f t="shared" si="110"/>
        <v>1.5707963267948966</v>
      </c>
      <c r="AJ86" t="str">
        <f t="shared" si="95"/>
        <v>1+0.037552679599301i</v>
      </c>
      <c r="AK86">
        <f t="shared" si="111"/>
        <v>1.0007048534633416</v>
      </c>
      <c r="AL86">
        <f t="shared" si="112"/>
        <v>3.7535042210481644E-2</v>
      </c>
      <c r="AM86" t="str">
        <f t="shared" si="96"/>
        <v>1+0.282688226983628i</v>
      </c>
      <c r="AN86">
        <f t="shared" si="113"/>
        <v>1.0391884495485635</v>
      </c>
      <c r="AO86">
        <f t="shared" si="114"/>
        <v>0.27549975130846055</v>
      </c>
      <c r="AP86" s="42" t="str">
        <f t="shared" si="115"/>
        <v>-5.01289957438386+20.6665865825259i</v>
      </c>
      <c r="AQ86">
        <f t="shared" si="116"/>
        <v>26.553660560659921</v>
      </c>
      <c r="AR86" s="44">
        <f t="shared" si="117"/>
        <v>103.63437350437249</v>
      </c>
      <c r="AS86" s="42" t="str">
        <f t="shared" si="118"/>
        <v>1647.87033956472+680.638729764485i</v>
      </c>
      <c r="AT86" s="20">
        <f t="shared" si="119"/>
        <v>65.022557906819372</v>
      </c>
      <c r="AU86" s="44">
        <f t="shared" si="120"/>
        <v>22.442653357405025</v>
      </c>
    </row>
    <row r="87" spans="14:47" x14ac:dyDescent="0.3">
      <c r="N87" s="8">
        <v>69</v>
      </c>
      <c r="O87" s="35">
        <f t="shared" si="97"/>
        <v>48.977881936844632</v>
      </c>
      <c r="P87" s="34" t="str">
        <f t="shared" si="88"/>
        <v>545.10556621881</v>
      </c>
      <c r="Q87" s="4" t="str">
        <f t="shared" si="89"/>
        <v>1+6.57411518972563i</v>
      </c>
      <c r="R87" s="4">
        <f t="shared" si="98"/>
        <v>6.6497361246730122</v>
      </c>
      <c r="S87" s="4">
        <f t="shared" si="99"/>
        <v>1.419841765266125</v>
      </c>
      <c r="T87" s="4" t="str">
        <f t="shared" si="90"/>
        <v>1+0.000153868554081179i</v>
      </c>
      <c r="U87" s="4">
        <f t="shared" si="100"/>
        <v>1.0000000118377659</v>
      </c>
      <c r="V87" s="4">
        <f t="shared" si="101"/>
        <v>1.5386855286687241E-4</v>
      </c>
      <c r="W87" t="str">
        <f t="shared" si="91"/>
        <v>1-0.000159838653979529i</v>
      </c>
      <c r="X87" s="4">
        <f t="shared" si="102"/>
        <v>1.0000000127741977</v>
      </c>
      <c r="Y87" s="4">
        <f t="shared" si="103"/>
        <v>-1.5983865261832197E-4</v>
      </c>
      <c r="Z87" t="str">
        <f t="shared" si="92"/>
        <v>0.999999846474693+0.000692171328422003i</v>
      </c>
      <c r="AA87" s="4">
        <f t="shared" si="104"/>
        <v>1.0000000860252751</v>
      </c>
      <c r="AB87" s="4">
        <f t="shared" si="105"/>
        <v>6.9217132414778999E-4</v>
      </c>
      <c r="AC87" s="48" t="str">
        <f t="shared" si="106"/>
        <v>12.2708262536247-81.0503859863278i</v>
      </c>
      <c r="AD87" s="20">
        <f t="shared" si="107"/>
        <v>38.273523562743669</v>
      </c>
      <c r="AE87" s="44">
        <f t="shared" si="108"/>
        <v>-81.390941283246164</v>
      </c>
      <c r="AF87" t="str">
        <f t="shared" si="93"/>
        <v>-0.0000333790427773504</v>
      </c>
      <c r="AG87" t="str">
        <f t="shared" si="94"/>
        <v>1.66793512623998E-06i</v>
      </c>
      <c r="AH87">
        <f t="shared" si="109"/>
        <v>1.66793512623998E-6</v>
      </c>
      <c r="AI87">
        <f t="shared" si="110"/>
        <v>1.5707963267948966</v>
      </c>
      <c r="AJ87" t="str">
        <f t="shared" si="95"/>
        <v>1+0.0384273938753292i</v>
      </c>
      <c r="AK87">
        <f t="shared" si="111"/>
        <v>1.0007380599337918</v>
      </c>
      <c r="AL87">
        <f t="shared" si="112"/>
        <v>3.8408495825418477E-2</v>
      </c>
      <c r="AM87" t="str">
        <f t="shared" si="96"/>
        <v>1+0.289272881672618i</v>
      </c>
      <c r="AN87">
        <f t="shared" si="113"/>
        <v>1.0409989433573794</v>
      </c>
      <c r="AO87">
        <f t="shared" si="114"/>
        <v>0.28158658010812215</v>
      </c>
      <c r="AP87" s="42" t="str">
        <f t="shared" si="115"/>
        <v>-5.01256690403486+20.2048147530583i</v>
      </c>
      <c r="AQ87">
        <f t="shared" si="116"/>
        <v>26.368491895414209</v>
      </c>
      <c r="AR87" s="44">
        <f t="shared" si="117"/>
        <v>103.93307789947549</v>
      </c>
      <c r="AS87" s="42" t="str">
        <f t="shared" si="118"/>
        <v>1576.09969695354+654.200253675769i</v>
      </c>
      <c r="AT87" s="20">
        <f t="shared" si="119"/>
        <v>64.642015458157857</v>
      </c>
      <c r="AU87" s="44">
        <f t="shared" si="120"/>
        <v>22.542136616229399</v>
      </c>
    </row>
    <row r="88" spans="14:47" x14ac:dyDescent="0.3">
      <c r="N88" s="8">
        <v>70</v>
      </c>
      <c r="O88" s="35">
        <f t="shared" si="97"/>
        <v>50.118723362727238</v>
      </c>
      <c r="P88" s="34" t="str">
        <f t="shared" si="88"/>
        <v>545.10556621881</v>
      </c>
      <c r="Q88" s="4" t="str">
        <f t="shared" si="89"/>
        <v>1+6.72724600409269i</v>
      </c>
      <c r="R88" s="4">
        <f t="shared" si="98"/>
        <v>6.8011645179028752</v>
      </c>
      <c r="S88" s="4">
        <f t="shared" si="99"/>
        <v>1.4232276777575945</v>
      </c>
      <c r="T88" s="4" t="str">
        <f t="shared" si="90"/>
        <v>1+0.000157452613123643i</v>
      </c>
      <c r="U88" s="4">
        <f t="shared" si="100"/>
        <v>1.0000000123956627</v>
      </c>
      <c r="V88" s="4">
        <f t="shared" si="101"/>
        <v>1.5745261182249003E-4</v>
      </c>
      <c r="W88" t="str">
        <f t="shared" si="91"/>
        <v>1-0.00016356177451284i</v>
      </c>
      <c r="X88" s="4">
        <f t="shared" si="102"/>
        <v>1.000000013376227</v>
      </c>
      <c r="Y88" s="4">
        <f t="shared" si="103"/>
        <v>-1.6356177305428042E-4</v>
      </c>
      <c r="Z88" t="str">
        <f t="shared" si="92"/>
        <v>0.999999839239268+0.000708294069831896i</v>
      </c>
      <c r="AA88" s="4">
        <f t="shared" si="104"/>
        <v>1.0000000900795216</v>
      </c>
      <c r="AB88" s="4">
        <f t="shared" si="105"/>
        <v>7.0829406525199407E-4</v>
      </c>
      <c r="AC88" s="48" t="str">
        <f t="shared" si="106"/>
        <v>11.7279385170938-79.2861526424768i</v>
      </c>
      <c r="AD88" s="20">
        <f t="shared" si="107"/>
        <v>38.077946168141075</v>
      </c>
      <c r="AE88" s="44">
        <f t="shared" si="108"/>
        <v>-81.585871511463367</v>
      </c>
      <c r="AF88" t="str">
        <f t="shared" si="93"/>
        <v>-0.0000333790427773504</v>
      </c>
      <c r="AG88" t="str">
        <f t="shared" si="94"/>
        <v>1.70678632626029E-06i</v>
      </c>
      <c r="AH88">
        <f t="shared" si="109"/>
        <v>1.7067863262602899E-6</v>
      </c>
      <c r="AI88">
        <f t="shared" si="110"/>
        <v>1.5707963267948966</v>
      </c>
      <c r="AJ88" t="str">
        <f t="shared" si="95"/>
        <v>1+0.0393224828642367i</v>
      </c>
      <c r="AK88">
        <f t="shared" si="111"/>
        <v>1.0007728301960481</v>
      </c>
      <c r="AL88">
        <f t="shared" si="112"/>
        <v>3.9302234083390938E-2</v>
      </c>
      <c r="AM88" t="str">
        <f t="shared" si="96"/>
        <v>1+0.29601091267245i</v>
      </c>
      <c r="AN88">
        <f t="shared" si="113"/>
        <v>1.0428913943557003</v>
      </c>
      <c r="AO88">
        <f t="shared" si="114"/>
        <v>0.28779307525950559</v>
      </c>
      <c r="AP88" s="42" t="str">
        <f t="shared" si="115"/>
        <v>-5.01221860273632+19.7537545804062i</v>
      </c>
      <c r="AQ88">
        <f t="shared" si="116"/>
        <v>26.183966014889549</v>
      </c>
      <c r="AR88" s="44">
        <f t="shared" si="117"/>
        <v>104.23747644704702</v>
      </c>
      <c r="AS88" s="42" t="str">
        <f t="shared" si="118"/>
        <v>1507.41620931699+629.070348414778i</v>
      </c>
      <c r="AT88" s="20">
        <f t="shared" si="119"/>
        <v>64.261912183030645</v>
      </c>
      <c r="AU88" s="44">
        <f t="shared" si="120"/>
        <v>22.651604935583599</v>
      </c>
    </row>
    <row r="89" spans="14:47" x14ac:dyDescent="0.3">
      <c r="N89" s="8">
        <v>71</v>
      </c>
      <c r="O89" s="35">
        <f t="shared" si="97"/>
        <v>51.28613839913649</v>
      </c>
      <c r="P89" s="34" t="str">
        <f t="shared" si="88"/>
        <v>545.10556621881</v>
      </c>
      <c r="Q89" s="4" t="str">
        <f t="shared" si="89"/>
        <v>1+6.88394369333675i</v>
      </c>
      <c r="R89" s="4">
        <f t="shared" si="98"/>
        <v>6.9561972925608444</v>
      </c>
      <c r="S89" s="4">
        <f t="shared" si="99"/>
        <v>1.4265398141669834</v>
      </c>
      <c r="T89" s="4" t="str">
        <f t="shared" si="90"/>
        <v>1+0.000161120155625716i</v>
      </c>
      <c r="U89" s="4">
        <f t="shared" si="100"/>
        <v>1.0000000129798523</v>
      </c>
      <c r="V89" s="4">
        <f t="shared" si="101"/>
        <v>1.611201542315055E-4</v>
      </c>
      <c r="W89" t="str">
        <f t="shared" si="91"/>
        <v>1-0.000167371617663994i</v>
      </c>
      <c r="X89" s="4">
        <f t="shared" si="102"/>
        <v>1.0000000140066292</v>
      </c>
      <c r="Y89" s="4">
        <f t="shared" si="103"/>
        <v>-1.6737161610111921E-4</v>
      </c>
      <c r="Z89" t="str">
        <f t="shared" si="92"/>
        <v>0.999999831662849+0.000724792358132993i</v>
      </c>
      <c r="AA89" s="4">
        <f t="shared" si="104"/>
        <v>1.0000000943248399</v>
      </c>
      <c r="AB89" s="4">
        <f t="shared" si="105"/>
        <v>7.2479235322553892E-4</v>
      </c>
      <c r="AC89" s="48" t="str">
        <f t="shared" si="106"/>
        <v>11.2084510515406-77.5568419187564i</v>
      </c>
      <c r="AD89" s="20">
        <f t="shared" si="107"/>
        <v>37.882173929632437</v>
      </c>
      <c r="AE89" s="44">
        <f t="shared" si="108"/>
        <v>-81.776596384389023</v>
      </c>
      <c r="AF89" t="str">
        <f t="shared" si="93"/>
        <v>-0.0000333790427773504</v>
      </c>
      <c r="AG89" t="str">
        <f t="shared" si="94"/>
        <v>1.74654248698277E-06i</v>
      </c>
      <c r="AH89">
        <f t="shared" si="109"/>
        <v>1.7465424869827701E-6</v>
      </c>
      <c r="AI89">
        <f t="shared" si="110"/>
        <v>1.5707963267948966</v>
      </c>
      <c r="AJ89" t="str">
        <f t="shared" si="95"/>
        <v>1+0.0402384211540535i</v>
      </c>
      <c r="AK89">
        <f t="shared" si="111"/>
        <v>1.0008092378355482</v>
      </c>
      <c r="AL89">
        <f t="shared" si="112"/>
        <v>4.0216725141878691E-2</v>
      </c>
      <c r="AM89" t="str">
        <f t="shared" si="96"/>
        <v>1+0.302905892576348i</v>
      </c>
      <c r="AN89">
        <f t="shared" si="113"/>
        <v>1.0448693601390913</v>
      </c>
      <c r="AO89">
        <f t="shared" si="114"/>
        <v>0.29412061417588287</v>
      </c>
      <c r="AP89" s="42" t="str">
        <f t="shared" si="115"/>
        <v>-5.01185393837896+19.3131668206977i</v>
      </c>
      <c r="AQ89">
        <f t="shared" si="116"/>
        <v>26.000108237485673</v>
      </c>
      <c r="AR89" s="44">
        <f t="shared" si="117"/>
        <v>104.5476212436065</v>
      </c>
      <c r="AS89" s="42" t="str">
        <f t="shared" si="118"/>
        <v>1441.69310651763+605.174248578782i</v>
      </c>
      <c r="AT89" s="20">
        <f t="shared" si="119"/>
        <v>63.882282167118099</v>
      </c>
      <c r="AU89" s="44">
        <f t="shared" si="120"/>
        <v>22.771024859217512</v>
      </c>
    </row>
    <row r="90" spans="14:47" x14ac:dyDescent="0.3">
      <c r="N90" s="8">
        <v>72</v>
      </c>
      <c r="O90" s="35">
        <f t="shared" si="97"/>
        <v>52.480746024977286</v>
      </c>
      <c r="P90" s="34" t="str">
        <f t="shared" si="88"/>
        <v>545.10556621881</v>
      </c>
      <c r="Q90" s="4" t="str">
        <f t="shared" si="89"/>
        <v>1+7.04429134064681i</v>
      </c>
      <c r="R90" s="4">
        <f t="shared" si="98"/>
        <v>7.1149167593100922</v>
      </c>
      <c r="S90" s="4">
        <f t="shared" si="99"/>
        <v>1.4297796398021683</v>
      </c>
      <c r="T90" s="4" t="str">
        <f t="shared" si="90"/>
        <v>1+0.000164873126166981i</v>
      </c>
      <c r="U90" s="4">
        <f t="shared" si="100"/>
        <v>1.0000000135915739</v>
      </c>
      <c r="V90" s="4">
        <f t="shared" si="101"/>
        <v>1.648731246730575E-4</v>
      </c>
      <c r="W90" t="str">
        <f t="shared" si="91"/>
        <v>1-0.000171270203462259i</v>
      </c>
      <c r="X90" s="4">
        <f t="shared" si="102"/>
        <v>1.0000000146667412</v>
      </c>
      <c r="Y90" s="4">
        <f t="shared" si="103"/>
        <v>-1.7127020178760852E-4</v>
      </c>
      <c r="Z90" t="str">
        <f t="shared" si="92"/>
        <v>0.999999823729363+0.000741674940936136i</v>
      </c>
      <c r="AA90" s="4">
        <f t="shared" si="104"/>
        <v>1.0000000987702329</v>
      </c>
      <c r="AB90" s="4">
        <f t="shared" si="105"/>
        <v>7.4167493567770437E-4</v>
      </c>
      <c r="AC90" s="48" t="str">
        <f t="shared" si="106"/>
        <v>10.7113988667654-75.8619924346887i</v>
      </c>
      <c r="AD90" s="20">
        <f t="shared" si="107"/>
        <v>37.686215253716625</v>
      </c>
      <c r="AE90" s="44">
        <f t="shared" si="108"/>
        <v>-81.963200363504114</v>
      </c>
      <c r="AF90" t="str">
        <f t="shared" si="93"/>
        <v>-0.0000333790427773504</v>
      </c>
      <c r="AG90" t="str">
        <f t="shared" si="94"/>
        <v>1.78722468765007E-06i</v>
      </c>
      <c r="AH90">
        <f t="shared" si="109"/>
        <v>1.7872246876500699E-6</v>
      </c>
      <c r="AI90">
        <f t="shared" si="110"/>
        <v>1.5707963267948966</v>
      </c>
      <c r="AJ90" t="str">
        <f t="shared" si="95"/>
        <v>1+0.0411756943873846i</v>
      </c>
      <c r="AK90">
        <f t="shared" si="111"/>
        <v>1.000847359894746</v>
      </c>
      <c r="AL90">
        <f t="shared" si="112"/>
        <v>4.1152447754389844E-2</v>
      </c>
      <c r="AM90" t="str">
        <f t="shared" si="96"/>
        <v>1+0.309961477193924i</v>
      </c>
      <c r="AN90">
        <f t="shared" si="113"/>
        <v>1.0469365393108789</v>
      </c>
      <c r="AO90">
        <f t="shared" si="114"/>
        <v>0.30057052432049702</v>
      </c>
      <c r="AP90" s="42" t="str">
        <f t="shared" si="115"/>
        <v>-5.01147214478799+18.8828177765694i</v>
      </c>
      <c r="AQ90">
        <f t="shared" si="116"/>
        <v>25.816944655293518</v>
      </c>
      <c r="AR90" s="44">
        <f t="shared" si="117"/>
        <v>104.86356091663956</v>
      </c>
      <c r="AS90" s="42" t="str">
        <f t="shared" si="118"/>
        <v>1378.8083022592+582.441654867843i</v>
      </c>
      <c r="AT90" s="20">
        <f t="shared" si="119"/>
        <v>63.503159909010108</v>
      </c>
      <c r="AU90" s="44">
        <f t="shared" si="120"/>
        <v>22.900360553135538</v>
      </c>
    </row>
    <row r="91" spans="14:47" x14ac:dyDescent="0.3">
      <c r="N91" s="8">
        <v>73</v>
      </c>
      <c r="O91" s="35">
        <f t="shared" si="97"/>
        <v>53.703179637025293</v>
      </c>
      <c r="P91" s="34" t="str">
        <f t="shared" si="88"/>
        <v>545.10556621881</v>
      </c>
      <c r="Q91" s="4" t="str">
        <f t="shared" si="89"/>
        <v>1+7.20837396446786i</v>
      </c>
      <c r="R91" s="4">
        <f t="shared" si="98"/>
        <v>7.2774071764343455</v>
      </c>
      <c r="S91" s="4">
        <f t="shared" si="99"/>
        <v>1.4329486002657139</v>
      </c>
      <c r="T91" s="4" t="str">
        <f t="shared" si="90"/>
        <v>1+0.000168713514622092i</v>
      </c>
      <c r="U91" s="4">
        <f t="shared" si="100"/>
        <v>1.000000014232125</v>
      </c>
      <c r="V91" s="4">
        <f t="shared" si="101"/>
        <v>1.6871351302132415E-4</v>
      </c>
      <c r="W91" t="str">
        <f t="shared" si="91"/>
        <v>1-0.000175259598989428i</v>
      </c>
      <c r="X91" s="4">
        <f t="shared" si="102"/>
        <v>1.0000000153579633</v>
      </c>
      <c r="Y91" s="4">
        <f t="shared" si="103"/>
        <v>-1.7525959719500768E-4</v>
      </c>
      <c r="Z91" t="str">
        <f t="shared" si="92"/>
        <v>0.999999815421984+0.000758950769610189i</v>
      </c>
      <c r="AA91" s="4">
        <f t="shared" si="104"/>
        <v>1.0000001034251311</v>
      </c>
      <c r="AB91" s="4">
        <f t="shared" si="105"/>
        <v>7.5895076397567774E-4</v>
      </c>
      <c r="AC91" s="48" t="str">
        <f t="shared" si="106"/>
        <v>10.2358529908829-74.201132724887i</v>
      </c>
      <c r="AD91" s="20">
        <f t="shared" si="107"/>
        <v>37.490078199509099</v>
      </c>
      <c r="AE91" s="44">
        <f t="shared" si="108"/>
        <v>-82.145766793033772</v>
      </c>
      <c r="AF91" t="str">
        <f t="shared" si="93"/>
        <v>-0.0000333790427773504</v>
      </c>
      <c r="AG91" t="str">
        <f t="shared" si="94"/>
        <v>1.82885449850347E-06i</v>
      </c>
      <c r="AH91">
        <f t="shared" si="109"/>
        <v>1.8288544985034699E-6</v>
      </c>
      <c r="AI91">
        <f t="shared" si="110"/>
        <v>1.5707963267948966</v>
      </c>
      <c r="AJ91" t="str">
        <f t="shared" si="95"/>
        <v>1+0.0421347995189046i</v>
      </c>
      <c r="AK91">
        <f t="shared" si="111"/>
        <v>1.0008872770349808</v>
      </c>
      <c r="AL91">
        <f t="shared" si="112"/>
        <v>4.2109891495326388E-2</v>
      </c>
      <c r="AM91" t="str">
        <f t="shared" si="96"/>
        <v>1+0.317181407489533i</v>
      </c>
      <c r="AN91">
        <f t="shared" si="113"/>
        <v>1.0490967759253869</v>
      </c>
      <c r="AO91">
        <f t="shared" si="114"/>
        <v>0.30714407813539185</v>
      </c>
      <c r="AP91" s="42" t="str">
        <f t="shared" si="115"/>
        <v>-5.01107242015979+18.462479172824i</v>
      </c>
      <c r="AQ91">
        <f t="shared" si="116"/>
        <v>25.634502137994289</v>
      </c>
      <c r="AR91" s="44">
        <f t="shared" si="117"/>
        <v>105.18534032115829</v>
      </c>
      <c r="AS91" s="42" t="str">
        <f t="shared" si="118"/>
        <v>1318.64426691375+560.806472402561i</v>
      </c>
      <c r="AT91" s="20">
        <f t="shared" si="119"/>
        <v>63.124580337503374</v>
      </c>
      <c r="AU91" s="44">
        <f t="shared" si="120"/>
        <v>23.03957352812456</v>
      </c>
    </row>
    <row r="92" spans="14:47" x14ac:dyDescent="0.3">
      <c r="N92" s="8">
        <v>74</v>
      </c>
      <c r="O92" s="35">
        <f t="shared" si="97"/>
        <v>54.95408738576247</v>
      </c>
      <c r="P92" s="34" t="str">
        <f t="shared" si="88"/>
        <v>545.10556621881</v>
      </c>
      <c r="Q92" s="4" t="str">
        <f t="shared" si="89"/>
        <v>1+7.37627856357901i</v>
      </c>
      <c r="R92" s="4">
        <f t="shared" si="98"/>
        <v>7.443754794961694</v>
      </c>
      <c r="S92" s="4">
        <f t="shared" si="99"/>
        <v>1.4360481210594607</v>
      </c>
      <c r="T92" s="4" t="str">
        <f t="shared" si="90"/>
        <v>1+0.000172643357215843i</v>
      </c>
      <c r="U92" s="4">
        <f t="shared" si="100"/>
        <v>1.0000000149028643</v>
      </c>
      <c r="V92" s="4">
        <f t="shared" si="101"/>
        <v>1.7264335550058933E-4</v>
      </c>
      <c r="W92" t="str">
        <f t="shared" si="91"/>
        <v>1-0.000179341919475817i</v>
      </c>
      <c r="X92" s="4">
        <f t="shared" si="102"/>
        <v>1.0000000160817619</v>
      </c>
      <c r="Y92" s="4">
        <f t="shared" si="103"/>
        <v>-1.79341917553061E-4</v>
      </c>
      <c r="Z92" t="str">
        <f t="shared" si="92"/>
        <v>0.99999980672309+0.000776629004028193i</v>
      </c>
      <c r="AA92" s="4">
        <f t="shared" si="104"/>
        <v>1.0000001082994077</v>
      </c>
      <c r="AB92" s="4">
        <f t="shared" si="105"/>
        <v>7.7662899799070529E-4</v>
      </c>
      <c r="AC92" s="48" t="str">
        <f t="shared" si="106"/>
        <v>9.78091945828178-72.5737826686881i</v>
      </c>
      <c r="AD92" s="20">
        <f t="shared" si="107"/>
        <v>37.293770491769756</v>
      </c>
      <c r="AE92" s="44">
        <f t="shared" si="108"/>
        <v>-82.324377877565752</v>
      </c>
      <c r="AF92" t="str">
        <f t="shared" si="93"/>
        <v>-0.0000333790427773504</v>
      </c>
      <c r="AG92" t="str">
        <f t="shared" si="94"/>
        <v>1.87145399221974E-06i</v>
      </c>
      <c r="AH92">
        <f t="shared" si="109"/>
        <v>1.87145399221974E-6</v>
      </c>
      <c r="AI92">
        <f t="shared" si="110"/>
        <v>1.5707963267948966</v>
      </c>
      <c r="AJ92" t="str">
        <f t="shared" si="95"/>
        <v>1+0.0431162450788496i</v>
      </c>
      <c r="AK92">
        <f t="shared" si="111"/>
        <v>1.0009290737058743</v>
      </c>
      <c r="AL92">
        <f t="shared" si="112"/>
        <v>4.3089556988533416E-2</v>
      </c>
      <c r="AM92" t="str">
        <f t="shared" si="96"/>
        <v>1+0.324569511565786i</v>
      </c>
      <c r="AN92">
        <f t="shared" si="113"/>
        <v>1.0513540639756205</v>
      </c>
      <c r="AO92">
        <f t="shared" si="114"/>
        <v>0.31384248776087681</v>
      </c>
      <c r="AP92" s="42" t="str">
        <f t="shared" si="115"/>
        <v>-5.01065392542871+18.0519280349336i</v>
      </c>
      <c r="AQ92">
        <f t="shared" si="116"/>
        <v>25.452808334785921</v>
      </c>
      <c r="AR92" s="44">
        <f t="shared" si="117"/>
        <v>105.51300022405293</v>
      </c>
      <c r="AS92" s="42" t="str">
        <f t="shared" si="118"/>
        <v>1261.08789948013+540.206563188457i</v>
      </c>
      <c r="AT92" s="20">
        <f t="shared" si="119"/>
        <v>62.746578826555691</v>
      </c>
      <c r="AU92" s="44">
        <f t="shared" si="120"/>
        <v>23.188622346487154</v>
      </c>
    </row>
    <row r="93" spans="14:47" x14ac:dyDescent="0.3">
      <c r="N93" s="8">
        <v>75</v>
      </c>
      <c r="O93" s="35">
        <f t="shared" si="97"/>
        <v>56.234132519034915</v>
      </c>
      <c r="P93" s="34" t="str">
        <f t="shared" si="88"/>
        <v>545.10556621881</v>
      </c>
      <c r="Q93" s="4" t="str">
        <f t="shared" si="89"/>
        <v>1+7.54809416322114i</v>
      </c>
      <c r="R93" s="4">
        <f t="shared" si="98"/>
        <v>7.61404790481732</v>
      </c>
      <c r="S93" s="4">
        <f t="shared" si="99"/>
        <v>1.439079607247463</v>
      </c>
      <c r="T93" s="4" t="str">
        <f t="shared" si="90"/>
        <v>1+0.000176664737602795i</v>
      </c>
      <c r="U93" s="4">
        <f t="shared" si="100"/>
        <v>1.0000000156052147</v>
      </c>
      <c r="V93" s="4">
        <f t="shared" si="101"/>
        <v>1.7666473576486759E-4</v>
      </c>
      <c r="W93" t="str">
        <f t="shared" si="91"/>
        <v>1-0.000183519329421783i</v>
      </c>
      <c r="X93" s="4">
        <f t="shared" si="102"/>
        <v>1.0000000168396719</v>
      </c>
      <c r="Y93" s="4">
        <f t="shared" si="103"/>
        <v>-1.8351932736151281E-4</v>
      </c>
      <c r="Z93" t="str">
        <f t="shared" si="92"/>
        <v>0.99999979761423+0.00079471901742403i</v>
      </c>
      <c r="AA93" s="4">
        <f t="shared" si="104"/>
        <v>1.0000001134034024</v>
      </c>
      <c r="AB93" s="4">
        <f t="shared" si="105"/>
        <v>7.9471901095474497E-4</v>
      </c>
      <c r="AC93" s="48" t="str">
        <f t="shared" si="106"/>
        <v>9.34573829487872-70.9794548248863i</v>
      </c>
      <c r="AD93" s="20">
        <f t="shared" si="107"/>
        <v>37.097299533559429</v>
      </c>
      <c r="AE93" s="44">
        <f t="shared" si="108"/>
        <v>-82.499114663019029</v>
      </c>
      <c r="AF93" t="str">
        <f t="shared" si="93"/>
        <v>-0.0000333790427773504</v>
      </c>
      <c r="AG93" t="str">
        <f t="shared" si="94"/>
        <v>0.0000019150457556143i</v>
      </c>
      <c r="AH93">
        <f t="shared" si="109"/>
        <v>1.9150457556143E-6</v>
      </c>
      <c r="AI93">
        <f t="shared" si="110"/>
        <v>1.5707963267948966</v>
      </c>
      <c r="AJ93" t="str">
        <f t="shared" si="95"/>
        <v>1+0.0441205514426464i</v>
      </c>
      <c r="AK93">
        <f t="shared" si="111"/>
        <v>1.0009728383226006</v>
      </c>
      <c r="AL93">
        <f t="shared" si="112"/>
        <v>4.4091956139509232E-2</v>
      </c>
      <c r="AM93" t="str">
        <f t="shared" si="96"/>
        <v>1+0.332129706693255i</v>
      </c>
      <c r="AN93">
        <f t="shared" si="113"/>
        <v>1.0537125519173374</v>
      </c>
      <c r="AO93">
        <f t="shared" si="114"/>
        <v>0.32066689954984751</v>
      </c>
      <c r="AP93" s="42" t="str">
        <f t="shared" si="115"/>
        <v>-5.01021578256147+17.6509465703195i</v>
      </c>
      <c r="AQ93">
        <f t="shared" si="116"/>
        <v>25.271891674148172</v>
      </c>
      <c r="AR93" s="44">
        <f t="shared" si="117"/>
        <v>105.8465769764819</v>
      </c>
      <c r="AS93" s="42" t="str">
        <f t="shared" si="118"/>
        <v>1206.03039919978+520.583512104347i</v>
      </c>
      <c r="AT93" s="20">
        <f t="shared" si="119"/>
        <v>62.369191207707573</v>
      </c>
      <c r="AU93" s="44">
        <f t="shared" si="120"/>
        <v>23.347462313462934</v>
      </c>
    </row>
    <row r="94" spans="14:47" x14ac:dyDescent="0.3">
      <c r="N94" s="8">
        <v>76</v>
      </c>
      <c r="O94" s="35">
        <f t="shared" si="97"/>
        <v>57.543993733715695</v>
      </c>
      <c r="P94" s="34" t="str">
        <f t="shared" si="88"/>
        <v>545.10556621881</v>
      </c>
      <c r="Q94" s="4" t="str">
        <f t="shared" si="89"/>
        <v>1+7.72391186229947i</v>
      </c>
      <c r="R94" s="4">
        <f t="shared" si="98"/>
        <v>7.7883768820319981</v>
      </c>
      <c r="S94" s="4">
        <f t="shared" si="99"/>
        <v>1.4420444431733881</v>
      </c>
      <c r="T94" s="4" t="str">
        <f t="shared" si="90"/>
        <v>1+0.000180779787972059i</v>
      </c>
      <c r="U94" s="4">
        <f t="shared" si="100"/>
        <v>1.0000000163406657</v>
      </c>
      <c r="V94" s="4">
        <f t="shared" si="101"/>
        <v>1.807797860026843E-4</v>
      </c>
      <c r="W94" t="str">
        <f t="shared" si="91"/>
        <v>1-0.000187794043745374i</v>
      </c>
      <c r="X94" s="4">
        <f t="shared" si="102"/>
        <v>1.0000000176333013</v>
      </c>
      <c r="Y94" s="4">
        <f t="shared" si="103"/>
        <v>-1.8779404153775471E-4</v>
      </c>
      <c r="Z94" t="str">
        <f t="shared" si="92"/>
        <v>0.999999788076082+0.000813230401362258i</v>
      </c>
      <c r="AA94" s="4">
        <f t="shared" si="104"/>
        <v>1.0000001187479401</v>
      </c>
      <c r="AB94" s="4">
        <f t="shared" si="105"/>
        <v>8.1323039443029427E-4</v>
      </c>
      <c r="AC94" s="48" t="str">
        <f t="shared" si="106"/>
        <v>8.92948250438402-69.4176556761234i</v>
      </c>
      <c r="AD94" s="20">
        <f t="shared" si="107"/>
        <v>36.900672418523762</v>
      </c>
      <c r="AE94" s="44">
        <f t="shared" si="108"/>
        <v>-82.670057020739222</v>
      </c>
      <c r="AF94" t="str">
        <f t="shared" si="93"/>
        <v>-0.0000333790427773504</v>
      </c>
      <c r="AG94" t="str">
        <f t="shared" si="94"/>
        <v>1.95965290161711E-06i</v>
      </c>
      <c r="AH94">
        <f t="shared" si="109"/>
        <v>1.9596529016171099E-6</v>
      </c>
      <c r="AI94">
        <f t="shared" si="110"/>
        <v>1.5707963267948966</v>
      </c>
      <c r="AJ94" t="str">
        <f t="shared" si="95"/>
        <v>1+0.0451482511068226i</v>
      </c>
      <c r="AK94">
        <f t="shared" si="111"/>
        <v>1.0010186634513887</v>
      </c>
      <c r="AL94">
        <f t="shared" si="112"/>
        <v>4.5117612371245404E-2</v>
      </c>
      <c r="AM94" t="str">
        <f t="shared" si="96"/>
        <v>1+0.339866001387471i</v>
      </c>
      <c r="AN94">
        <f t="shared" si="113"/>
        <v>1.0561765472207325</v>
      </c>
      <c r="AO94">
        <f t="shared" si="114"/>
        <v>0.32761838838290208</v>
      </c>
      <c r="AP94" s="42" t="str">
        <f t="shared" si="115"/>
        <v>-5.00975707277588+17.2593220523456i</v>
      </c>
      <c r="AQ94">
        <f t="shared" si="116"/>
        <v>25.091781361253318</v>
      </c>
      <c r="AR94" s="44">
        <f t="shared" si="117"/>
        <v>106.18610217463852</v>
      </c>
      <c r="AS94" s="42" t="str">
        <f t="shared" si="118"/>
        <v>1153.36713730048+501.882405802929i</v>
      </c>
      <c r="AT94" s="20">
        <f t="shared" si="119"/>
        <v>61.992453779777051</v>
      </c>
      <c r="AU94" s="44">
        <f t="shared" si="120"/>
        <v>23.516045153899366</v>
      </c>
    </row>
    <row r="95" spans="14:47" x14ac:dyDescent="0.3">
      <c r="N95" s="8">
        <v>77</v>
      </c>
      <c r="O95" s="35">
        <f t="shared" si="97"/>
        <v>58.884365535558949</v>
      </c>
      <c r="P95" s="34" t="str">
        <f t="shared" si="88"/>
        <v>545.10556621881</v>
      </c>
      <c r="Q95" s="4" t="str">
        <f t="shared" si="89"/>
        <v>1+7.90382488168523i</v>
      </c>
      <c r="R95" s="4">
        <f t="shared" si="98"/>
        <v>7.9668342370320824</v>
      </c>
      <c r="S95" s="4">
        <f t="shared" si="99"/>
        <v>1.4449439922286387</v>
      </c>
      <c r="T95" s="4" t="str">
        <f t="shared" si="90"/>
        <v>1+0.000184990690177808i</v>
      </c>
      <c r="U95" s="4">
        <f t="shared" si="100"/>
        <v>1.0000000171107775</v>
      </c>
      <c r="V95" s="4">
        <f t="shared" si="101"/>
        <v>1.8499068806758498E-4</v>
      </c>
      <c r="W95" t="str">
        <f t="shared" si="91"/>
        <v>1-0.000192168328956706i</v>
      </c>
      <c r="X95" s="4">
        <f t="shared" si="102"/>
        <v>1.0000000184643332</v>
      </c>
      <c r="Y95" s="4">
        <f t="shared" si="103"/>
        <v>-1.9216832659119934E-4</v>
      </c>
      <c r="Z95" t="str">
        <f t="shared" si="92"/>
        <v>0.999999778088416+0.000832172970823663i</v>
      </c>
      <c r="AA95" s="4">
        <f t="shared" si="104"/>
        <v>1.0000001243443597</v>
      </c>
      <c r="AB95" s="4">
        <f t="shared" si="105"/>
        <v>8.3217296339592928E-4</v>
      </c>
      <c r="AC95" s="48" t="str">
        <f t="shared" si="106"/>
        <v>8.5313570588942-67.8878867874064i</v>
      </c>
      <c r="AD95" s="20">
        <f t="shared" si="107"/>
        <v>36.703895942806206</v>
      </c>
      <c r="AE95" s="44">
        <f t="shared" si="108"/>
        <v>-82.837283634506761</v>
      </c>
      <c r="AF95" t="str">
        <f t="shared" si="93"/>
        <v>-0.0000333790427773504</v>
      </c>
      <c r="AG95" t="str">
        <f t="shared" si="94"/>
        <v>2.00529908152744E-06i</v>
      </c>
      <c r="AH95">
        <f t="shared" si="109"/>
        <v>2.0052990815274398E-6</v>
      </c>
      <c r="AI95">
        <f t="shared" si="110"/>
        <v>1.5707963267948966</v>
      </c>
      <c r="AJ95" t="str">
        <f t="shared" si="95"/>
        <v>1+0.0461998889713433i</v>
      </c>
      <c r="AK95">
        <f t="shared" si="111"/>
        <v>1.0010666460036337</v>
      </c>
      <c r="AL95">
        <f t="shared" si="112"/>
        <v>4.6167060863656136E-2</v>
      </c>
      <c r="AM95" t="str">
        <f t="shared" si="96"/>
        <v>1+0.34778249753428i</v>
      </c>
      <c r="AN95">
        <f t="shared" si="113"/>
        <v>1.0587505209402173</v>
      </c>
      <c r="AO95">
        <f t="shared" si="114"/>
        <v>0.33469795179196843</v>
      </c>
      <c r="AP95" s="42" t="str">
        <f t="shared" si="115"/>
        <v>-5.00927683468077+16.8768467069599i</v>
      </c>
      <c r="AQ95">
        <f t="shared" si="116"/>
        <v>24.912507372822169</v>
      </c>
      <c r="AR95" s="44">
        <f t="shared" si="117"/>
        <v>106.53160230934184</v>
      </c>
      <c r="AS95" s="42" t="str">
        <f t="shared" si="118"/>
        <v>1102.997529287+484.051623924883i</v>
      </c>
      <c r="AT95" s="20">
        <f t="shared" si="119"/>
        <v>61.616403315628389</v>
      </c>
      <c r="AU95" s="44">
        <f t="shared" si="120"/>
        <v>23.694318674835014</v>
      </c>
    </row>
    <row r="96" spans="14:47" x14ac:dyDescent="0.3">
      <c r="N96" s="8">
        <v>78</v>
      </c>
      <c r="O96" s="35">
        <f t="shared" si="97"/>
        <v>60.255958607435822</v>
      </c>
      <c r="P96" s="34" t="str">
        <f t="shared" si="88"/>
        <v>545.10556621881</v>
      </c>
      <c r="Q96" s="4" t="str">
        <f t="shared" si="89"/>
        <v>1+8.08792861364276i</v>
      </c>
      <c r="R96" s="4">
        <f t="shared" si="98"/>
        <v>8.1495146640386675</v>
      </c>
      <c r="S96" s="4">
        <f t="shared" si="99"/>
        <v>1.4477795966676739</v>
      </c>
      <c r="T96" s="4" t="str">
        <f t="shared" si="90"/>
        <v>1+0.000189299676896131i</v>
      </c>
      <c r="U96" s="4">
        <f t="shared" si="100"/>
        <v>1.0000000179171837</v>
      </c>
      <c r="V96" s="4">
        <f t="shared" si="101"/>
        <v>1.8929967463498631E-4</v>
      </c>
      <c r="W96" t="str">
        <f t="shared" si="91"/>
        <v>1-0.0001966445043597i</v>
      </c>
      <c r="X96" s="4">
        <f t="shared" si="102"/>
        <v>1.0000000193345304</v>
      </c>
      <c r="Y96" s="4">
        <f t="shared" si="103"/>
        <v>-1.9664450182501394E-4</v>
      </c>
      <c r="Z96" t="str">
        <f t="shared" si="92"/>
        <v>0.999999767630045+0.000851556769409311i</v>
      </c>
      <c r="AA96" s="4">
        <f t="shared" si="104"/>
        <v>1.0000001302045294</v>
      </c>
      <c r="AB96" s="4">
        <f t="shared" si="105"/>
        <v>8.5155676145035075E-4</v>
      </c>
      <c r="AC96" s="48" t="str">
        <f t="shared" si="106"/>
        <v>8.15059789674574-66.3896458831036i</v>
      </c>
      <c r="AD96" s="20">
        <f t="shared" si="107"/>
        <v>36.506976616591587</v>
      </c>
      <c r="AE96" s="44">
        <f t="shared" si="108"/>
        <v>-83.000871990256471</v>
      </c>
      <c r="AF96" t="str">
        <f t="shared" si="93"/>
        <v>-0.0000333790427773504</v>
      </c>
      <c r="AG96" t="str">
        <f t="shared" si="94"/>
        <v>2.05200849755406E-06i</v>
      </c>
      <c r="AH96">
        <f t="shared" si="109"/>
        <v>2.0520084975540601E-6</v>
      </c>
      <c r="AI96">
        <f t="shared" si="110"/>
        <v>1.5707963267948966</v>
      </c>
      <c r="AJ96" t="str">
        <f t="shared" si="95"/>
        <v>1+0.0472760226285245i</v>
      </c>
      <c r="AK96">
        <f t="shared" si="111"/>
        <v>1.0011168874390106</v>
      </c>
      <c r="AL96">
        <f t="shared" si="112"/>
        <v>4.7240848796547462E-2</v>
      </c>
      <c r="AM96" t="str">
        <f t="shared" si="96"/>
        <v>1+0.355883392564727i</v>
      </c>
      <c r="AN96">
        <f t="shared" si="113"/>
        <v>1.061439112292071</v>
      </c>
      <c r="AO96">
        <f t="shared" si="114"/>
        <v>0.34190650390220989</v>
      </c>
      <c r="AP96" s="42" t="str">
        <f t="shared" si="115"/>
        <v>-5.00877406233443+16.5033176019231i</v>
      </c>
      <c r="AQ96">
        <f t="shared" si="116"/>
        <v>24.734100449221788</v>
      </c>
      <c r="AR96" s="44">
        <f t="shared" si="117"/>
        <v>106.88309840501192</v>
      </c>
      <c r="AS96" s="42" t="str">
        <f t="shared" si="118"/>
        <v>1054.82490815033+467.042642042418i</v>
      </c>
      <c r="AT96" s="20">
        <f t="shared" si="119"/>
        <v>61.241077065813386</v>
      </c>
      <c r="AU96" s="44">
        <f t="shared" si="120"/>
        <v>23.882226414755387</v>
      </c>
    </row>
    <row r="97" spans="14:47" x14ac:dyDescent="0.3">
      <c r="N97" s="8">
        <v>79</v>
      </c>
      <c r="O97" s="35">
        <f t="shared" si="97"/>
        <v>61.659500186148257</v>
      </c>
      <c r="P97" s="34" t="str">
        <f t="shared" si="88"/>
        <v>545.10556621881</v>
      </c>
      <c r="Q97" s="4" t="str">
        <f t="shared" si="89"/>
        <v>1+8.27632067240763i</v>
      </c>
      <c r="R97" s="4">
        <f t="shared" si="98"/>
        <v>8.3365150916028377</v>
      </c>
      <c r="S97" s="4">
        <f t="shared" si="99"/>
        <v>1.4505525774671704</v>
      </c>
      <c r="T97" s="4" t="str">
        <f t="shared" si="90"/>
        <v>1+0.000193709032808822i</v>
      </c>
      <c r="U97" s="4">
        <f t="shared" si="100"/>
        <v>1.0000000187615945</v>
      </c>
      <c r="V97" s="4">
        <f t="shared" si="101"/>
        <v>1.9370903038596181E-4</v>
      </c>
      <c r="W97" t="str">
        <f t="shared" si="91"/>
        <v>1-0.000201224943281804i</v>
      </c>
      <c r="X97" s="4">
        <f t="shared" si="102"/>
        <v>1.0000000202457386</v>
      </c>
      <c r="Y97" s="4">
        <f t="shared" si="103"/>
        <v>-2.0122494056583896E-4</v>
      </c>
      <c r="Z97" t="str">
        <f t="shared" si="92"/>
        <v>0.999999756678786+0.000871392074665786i</v>
      </c>
      <c r="AA97" s="4">
        <f t="shared" si="104"/>
        <v>1.0000001363408801</v>
      </c>
      <c r="AB97" s="4">
        <f t="shared" si="105"/>
        <v>8.7139206613760648E-4</v>
      </c>
      <c r="AC97" s="48" t="str">
        <f t="shared" si="106"/>
        <v>7.78647093022111-64.9224278466604i</v>
      </c>
      <c r="AD97" s="20">
        <f t="shared" si="107"/>
        <v>36.309920675284118</v>
      </c>
      <c r="AE97" s="44">
        <f t="shared" si="108"/>
        <v>-83.160898368315642</v>
      </c>
      <c r="AF97" t="str">
        <f t="shared" si="93"/>
        <v>-0.0000333790427773504</v>
      </c>
      <c r="AG97" t="str">
        <f t="shared" si="94"/>
        <v>2.09980591564763E-06i</v>
      </c>
      <c r="AH97">
        <f t="shared" si="109"/>
        <v>2.0998059156476301E-6</v>
      </c>
      <c r="AI97">
        <f t="shared" si="110"/>
        <v>1.5707963267948966</v>
      </c>
      <c r="AJ97" t="str">
        <f t="shared" si="95"/>
        <v>1+0.0483772226586755i</v>
      </c>
      <c r="AK97">
        <f t="shared" si="111"/>
        <v>1.0011694939780011</v>
      </c>
      <c r="AL97">
        <f t="shared" si="112"/>
        <v>4.8339535596065228E-2</v>
      </c>
      <c r="AM97" t="str">
        <f t="shared" si="96"/>
        <v>1+0.364172981680586i</v>
      </c>
      <c r="AN97">
        <f t="shared" si="113"/>
        <v>1.0642471332289922</v>
      </c>
      <c r="AO97">
        <f t="shared" si="114"/>
        <v>0.34924486920403691</v>
      </c>
      <c r="AP97" s="42" t="str">
        <f t="shared" si="115"/>
        <v>-5.00824770321757+16.1385365385604i</v>
      </c>
      <c r="AQ97">
        <f t="shared" si="116"/>
        <v>24.556592083596058</v>
      </c>
      <c r="AR97" s="44">
        <f t="shared" si="117"/>
        <v>107.24060564871276</v>
      </c>
      <c r="AS97" s="42" t="str">
        <f t="shared" si="118"/>
        <v>1008.75639882293+450.809845764157i</v>
      </c>
      <c r="AT97" s="20">
        <f t="shared" si="119"/>
        <v>60.866512758880191</v>
      </c>
      <c r="AU97" s="44">
        <f t="shared" si="120"/>
        <v>24.07970728039712</v>
      </c>
    </row>
    <row r="98" spans="14:47" x14ac:dyDescent="0.3">
      <c r="N98" s="8">
        <v>80</v>
      </c>
      <c r="O98" s="35">
        <f t="shared" si="97"/>
        <v>63.095734448019364</v>
      </c>
      <c r="P98" s="34" t="str">
        <f t="shared" si="88"/>
        <v>545.10556621881</v>
      </c>
      <c r="Q98" s="4" t="str">
        <f t="shared" si="89"/>
        <v>1+8.46910094594306i</v>
      </c>
      <c r="R98" s="4">
        <f t="shared" si="98"/>
        <v>8.5279347343054663</v>
      </c>
      <c r="S98" s="4">
        <f t="shared" si="99"/>
        <v>1.4532642342258504</v>
      </c>
      <c r="T98" s="4" t="str">
        <f t="shared" si="90"/>
        <v>1+0.00019822109581475i</v>
      </c>
      <c r="U98" s="4">
        <f t="shared" si="100"/>
        <v>1.0000000196458012</v>
      </c>
      <c r="V98" s="4">
        <f t="shared" si="101"/>
        <v>1.9822109321860856E-4</v>
      </c>
      <c r="W98" t="str">
        <f t="shared" si="91"/>
        <v>1-0.000205912074332362i</v>
      </c>
      <c r="X98" s="4">
        <f t="shared" si="102"/>
        <v>1.000000021199891</v>
      </c>
      <c r="Y98" s="4">
        <f t="shared" si="103"/>
        <v>-2.0591207142215304E-4</v>
      </c>
      <c r="Z98" t="str">
        <f t="shared" si="92"/>
        <v>0.999999745211411+0.000891689403534486i</v>
      </c>
      <c r="AA98" s="4">
        <f t="shared" si="104"/>
        <v>1.0000001427664293</v>
      </c>
      <c r="AB98" s="4">
        <f t="shared" si="105"/>
        <v>8.91689394396376E-4</v>
      </c>
      <c r="AC98" s="48" t="str">
        <f t="shared" si="106"/>
        <v>7.43827106537468-63.4857256471367i</v>
      </c>
      <c r="AD98" s="20">
        <f t="shared" si="107"/>
        <v>36.112734090323293</v>
      </c>
      <c r="AE98" s="44">
        <f t="shared" si="108"/>
        <v>-83.317437837979625</v>
      </c>
      <c r="AF98" t="str">
        <f t="shared" si="93"/>
        <v>-0.0000333790427773504</v>
      </c>
      <c r="AG98" t="str">
        <f t="shared" si="94"/>
        <v>2.14871667863189E-06i</v>
      </c>
      <c r="AH98">
        <f t="shared" si="109"/>
        <v>2.14871667863189E-6</v>
      </c>
      <c r="AI98">
        <f t="shared" si="110"/>
        <v>1.5707963267948966</v>
      </c>
      <c r="AJ98" t="str">
        <f t="shared" si="95"/>
        <v>1+0.0495040729326283i</v>
      </c>
      <c r="AK98">
        <f t="shared" si="111"/>
        <v>1.0012245768242602</v>
      </c>
      <c r="AL98">
        <f t="shared" si="112"/>
        <v>4.9463693184551787E-2</v>
      </c>
      <c r="AM98" t="str">
        <f t="shared" si="96"/>
        <v>1+0.372655660131731i</v>
      </c>
      <c r="AN98">
        <f t="shared" si="113"/>
        <v>1.0671795729998848</v>
      </c>
      <c r="AO98">
        <f t="shared" si="114"/>
        <v>0.35671377616937278</v>
      </c>
      <c r="AP98" s="42" t="str">
        <f t="shared" si="115"/>
        <v>-5.00769665611759+15.7823099459789i</v>
      </c>
      <c r="AQ98">
        <f t="shared" si="116"/>
        <v>24.38001450782048</v>
      </c>
      <c r="AR98" s="44">
        <f t="shared" si="117"/>
        <v>107.60413301007452</v>
      </c>
      <c r="AS98" s="42" t="str">
        <f t="shared" si="118"/>
        <v>964.70279416712+435.310355450315i</v>
      </c>
      <c r="AT98" s="20">
        <f t="shared" si="119"/>
        <v>60.492748598143777</v>
      </c>
      <c r="AU98" s="44">
        <f t="shared" si="120"/>
        <v>24.286695172094909</v>
      </c>
    </row>
    <row r="99" spans="14:47" x14ac:dyDescent="0.3">
      <c r="N99" s="8">
        <v>81</v>
      </c>
      <c r="O99" s="35">
        <f t="shared" si="97"/>
        <v>64.565422903465588</v>
      </c>
      <c r="P99" s="34" t="str">
        <f t="shared" si="88"/>
        <v>545.10556621881</v>
      </c>
      <c r="Q99" s="4" t="str">
        <f t="shared" si="89"/>
        <v>1+8.66637164890184i</v>
      </c>
      <c r="R99" s="4">
        <f t="shared" si="98"/>
        <v>8.7238751456499894</v>
      </c>
      <c r="S99" s="4">
        <f t="shared" si="99"/>
        <v>1.4559158451019656</v>
      </c>
      <c r="T99" s="4" t="str">
        <f t="shared" si="90"/>
        <v>1+0.000202838258269446i</v>
      </c>
      <c r="U99" s="4">
        <f t="shared" si="100"/>
        <v>1.0000000205716792</v>
      </c>
      <c r="V99" s="4">
        <f t="shared" si="101"/>
        <v>2.0283825548763032E-4</v>
      </c>
      <c r="W99" t="str">
        <f t="shared" si="91"/>
        <v>1-0.000210708382690299i</v>
      </c>
      <c r="X99" s="4">
        <f t="shared" si="102"/>
        <v>1.0000000221990111</v>
      </c>
      <c r="Y99" s="4">
        <f t="shared" si="103"/>
        <v>-2.1070837957195391E-4</v>
      </c>
      <c r="Z99" t="str">
        <f t="shared" si="92"/>
        <v>0.999999733203595+0.000912459517927845i</v>
      </c>
      <c r="AA99" s="4">
        <f t="shared" si="104"/>
        <v>1.0000001494948054</v>
      </c>
      <c r="AB99" s="4">
        <f t="shared" si="105"/>
        <v>9.1245950813618299E-4</v>
      </c>
      <c r="AC99" s="48" t="str">
        <f t="shared" si="106"/>
        <v>7.10532123595509-62.0790311965393i</v>
      </c>
      <c r="AD99" s="20">
        <f t="shared" si="107"/>
        <v>35.91542257964273</v>
      </c>
      <c r="AE99" s="44">
        <f t="shared" si="108"/>
        <v>-83.470564254252196</v>
      </c>
      <c r="AF99" t="str">
        <f t="shared" si="93"/>
        <v>-0.0000333790427773504</v>
      </c>
      <c r="AG99" t="str">
        <f t="shared" si="94"/>
        <v>2.19876671964079E-06i</v>
      </c>
      <c r="AH99">
        <f t="shared" si="109"/>
        <v>2.1987667196407898E-6</v>
      </c>
      <c r="AI99">
        <f t="shared" si="110"/>
        <v>1.5707963267948966</v>
      </c>
      <c r="AJ99" t="str">
        <f t="shared" si="95"/>
        <v>1+0.0506571709213139i</v>
      </c>
      <c r="AK99">
        <f t="shared" si="111"/>
        <v>1.0012822523972704</v>
      </c>
      <c r="AL99">
        <f t="shared" si="112"/>
        <v>5.0613906233727378E-2</v>
      </c>
      <c r="AM99" t="str">
        <f t="shared" si="96"/>
        <v>1+0.381335925546558i</v>
      </c>
      <c r="AN99">
        <f t="shared" si="113"/>
        <v>1.0702416026825203</v>
      </c>
      <c r="AO99">
        <f t="shared" si="114"/>
        <v>0.3643138507287233</v>
      </c>
      <c r="AP99" s="42" t="str">
        <f t="shared" si="115"/>
        <v>-5.007119768921+15.4344487776893i</v>
      </c>
      <c r="AQ99">
        <f t="shared" si="116"/>
        <v>24.204400675069717</v>
      </c>
      <c r="AR99" s="44">
        <f t="shared" si="117"/>
        <v>107.97368285305143</v>
      </c>
      <c r="AS99" s="42" t="str">
        <f t="shared" si="118"/>
        <v>922.578432746477+420.503861005032i</v>
      </c>
      <c r="AT99" s="20">
        <f t="shared" si="119"/>
        <v>60.119823254712443</v>
      </c>
      <c r="AU99" s="44">
        <f t="shared" si="120"/>
        <v>24.503118598799219</v>
      </c>
    </row>
    <row r="100" spans="14:47" x14ac:dyDescent="0.3">
      <c r="N100" s="8">
        <v>82</v>
      </c>
      <c r="O100" s="35">
        <f t="shared" si="97"/>
        <v>66.069344800759623</v>
      </c>
      <c r="P100" s="34" t="str">
        <f t="shared" si="88"/>
        <v>545.10556621881</v>
      </c>
      <c r="Q100" s="4" t="str">
        <f t="shared" si="89"/>
        <v>1+8.86823737682186i</v>
      </c>
      <c r="R100" s="4">
        <f t="shared" si="98"/>
        <v>8.9244402721773124</v>
      </c>
      <c r="S100" s="4">
        <f t="shared" si="99"/>
        <v>1.4585086667856002</v>
      </c>
      <c r="T100" s="4" t="str">
        <f t="shared" si="90"/>
        <v>1+0.000207562968253557i</v>
      </c>
      <c r="U100" s="4">
        <f t="shared" si="100"/>
        <v>1.0000000215411926</v>
      </c>
      <c r="V100" s="4">
        <f t="shared" si="101"/>
        <v>2.0756296527278778E-4</v>
      </c>
      <c r="W100" t="str">
        <f t="shared" si="91"/>
        <v>1-0.000215616411421795i</v>
      </c>
      <c r="X100" s="4">
        <f t="shared" si="102"/>
        <v>1.0000000232452182</v>
      </c>
      <c r="Y100" s="4">
        <f t="shared" si="103"/>
        <v>-2.1561640808042805E-4</v>
      </c>
      <c r="Z100" t="str">
        <f t="shared" si="92"/>
        <v>0.999999720629867+0.000933713430435439i</v>
      </c>
      <c r="AA100" s="4">
        <f t="shared" si="104"/>
        <v>1.000000156540279</v>
      </c>
      <c r="AB100" s="4">
        <f t="shared" si="105"/>
        <v>9.3371341994348436E-4</v>
      </c>
      <c r="AC100" s="48" t="str">
        <f t="shared" si="106"/>
        <v>6.78697145312994-60.7018361417801i</v>
      </c>
      <c r="AD100" s="20">
        <f t="shared" si="107"/>
        <v>35.717991617777543</v>
      </c>
      <c r="AE100" s="44">
        <f t="shared" si="108"/>
        <v>-83.620350256588324</v>
      </c>
      <c r="AF100" t="str">
        <f t="shared" si="93"/>
        <v>-0.0000333790427773504</v>
      </c>
      <c r="AG100" t="str">
        <f t="shared" si="94"/>
        <v>2.24998257586856E-06i</v>
      </c>
      <c r="AH100">
        <f t="shared" si="109"/>
        <v>2.2499825758685599E-6</v>
      </c>
      <c r="AI100">
        <f t="shared" si="110"/>
        <v>1.5707963267948966</v>
      </c>
      <c r="AJ100" t="str">
        <f t="shared" si="95"/>
        <v>1+0.051837128012549i</v>
      </c>
      <c r="AK100">
        <f t="shared" si="111"/>
        <v>1.0013426425757517</v>
      </c>
      <c r="AL100">
        <f t="shared" si="112"/>
        <v>5.1790772421098884E-2</v>
      </c>
      <c r="AM100" t="str">
        <f t="shared" si="96"/>
        <v>1+0.390218380316689i</v>
      </c>
      <c r="AN100">
        <f t="shared" si="113"/>
        <v>1.0734385796760708</v>
      </c>
      <c r="AO100">
        <f t="shared" si="114"/>
        <v>0.37204560962813976</v>
      </c>
      <c r="AP100" s="42" t="str">
        <f t="shared" si="115"/>
        <v>-5.00651583630998+15.0947684105745i</v>
      </c>
      <c r="AQ100">
        <f t="shared" si="116"/>
        <v>24.029784238789091</v>
      </c>
      <c r="AR100" s="44">
        <f t="shared" si="117"/>
        <v>108.34925054061273</v>
      </c>
      <c r="AS100" s="42" t="str">
        <f t="shared" si="118"/>
        <v>882.301078596133+406.352466231092i</v>
      </c>
      <c r="AT100" s="20">
        <f t="shared" si="119"/>
        <v>59.747775856566633</v>
      </c>
      <c r="AU100" s="44">
        <f t="shared" si="120"/>
        <v>24.728900284024409</v>
      </c>
    </row>
    <row r="101" spans="14:47" x14ac:dyDescent="0.3">
      <c r="N101" s="8">
        <v>83</v>
      </c>
      <c r="O101" s="35">
        <f t="shared" si="97"/>
        <v>67.60829753919819</v>
      </c>
      <c r="P101" s="34" t="str">
        <f t="shared" si="88"/>
        <v>545.10556621881</v>
      </c>
      <c r="Q101" s="4" t="str">
        <f t="shared" si="89"/>
        <v>1+9.07480516158407i</v>
      </c>
      <c r="R101" s="4">
        <f t="shared" si="98"/>
        <v>9.1297365088327105</v>
      </c>
      <c r="S101" s="4">
        <f t="shared" si="99"/>
        <v>1.4610439345031079</v>
      </c>
      <c r="T101" s="4" t="str">
        <f t="shared" si="90"/>
        <v>1+0.000212397730870858i</v>
      </c>
      <c r="U101" s="4">
        <f t="shared" si="100"/>
        <v>1.0000000225563979</v>
      </c>
      <c r="V101" s="4">
        <f t="shared" si="101"/>
        <v>2.1239772767690625E-4</v>
      </c>
      <c r="W101" t="str">
        <f t="shared" si="91"/>
        <v>1-0.000220638762828647i</v>
      </c>
      <c r="X101" s="4">
        <f t="shared" si="102"/>
        <v>1.0000000243407317</v>
      </c>
      <c r="Y101" s="4">
        <f t="shared" si="103"/>
        <v>-2.206387592483078E-4</v>
      </c>
      <c r="Z101" t="str">
        <f t="shared" si="92"/>
        <v>0.999999707463559+0.000955462410163008i</v>
      </c>
      <c r="AA101" s="4">
        <f t="shared" si="104"/>
        <v>1.0000001639177969</v>
      </c>
      <c r="AB101" s="4">
        <f t="shared" si="105"/>
        <v>9.5546239892067462E-4</v>
      </c>
      <c r="AC101" s="48" t="str">
        <f t="shared" si="106"/>
        <v>6.48259787247251-59.3536325949467i</v>
      </c>
      <c r="AD101" s="20">
        <f t="shared" si="107"/>
        <v>35.520446445626106</v>
      </c>
      <c r="AE101" s="44">
        <f t="shared" si="108"/>
        <v>-83.766867269485843</v>
      </c>
      <c r="AF101" t="str">
        <f t="shared" si="93"/>
        <v>-0.0000333790427773504</v>
      </c>
      <c r="AG101" t="str">
        <f t="shared" si="94"/>
        <v>0.0000023023914026401i</v>
      </c>
      <c r="AH101">
        <f t="shared" si="109"/>
        <v>2.3023914026401E-6</v>
      </c>
      <c r="AI101">
        <f t="shared" si="110"/>
        <v>1.5707963267948966</v>
      </c>
      <c r="AJ101" t="str">
        <f t="shared" si="95"/>
        <v>1+0.0530445698352017i</v>
      </c>
      <c r="AK101">
        <f t="shared" si="111"/>
        <v>1.00140587495231</v>
      </c>
      <c r="AL101">
        <f t="shared" si="112"/>
        <v>5.2994902689485875E-2</v>
      </c>
      <c r="AM101" t="str">
        <f t="shared" si="96"/>
        <v>1+0.399307734037214i</v>
      </c>
      <c r="AN101">
        <f t="shared" si="113"/>
        <v>1.0767760521398748</v>
      </c>
      <c r="AO101">
        <f t="shared" si="114"/>
        <v>0.37990945368782048</v>
      </c>
      <c r="AP101" s="42" t="str">
        <f t="shared" si="115"/>
        <v>-5.00588359735926+14.7630885461481i</v>
      </c>
      <c r="AQ101">
        <f t="shared" si="116"/>
        <v>23.856199527863954</v>
      </c>
      <c r="AR101" s="44">
        <f t="shared" si="117"/>
        <v>108.73082403361894</v>
      </c>
      <c r="AS101" s="42" t="str">
        <f t="shared" si="118"/>
        <v>843.791803176654+392.820542251115i</v>
      </c>
      <c r="AT101" s="20">
        <f t="shared" si="119"/>
        <v>59.376645973490056</v>
      </c>
      <c r="AU101" s="44">
        <f t="shared" si="120"/>
        <v>24.963956764133123</v>
      </c>
    </row>
    <row r="102" spans="14:47" x14ac:dyDescent="0.3">
      <c r="N102" s="8">
        <v>84</v>
      </c>
      <c r="O102" s="35">
        <f t="shared" si="97"/>
        <v>69.183097091893657</v>
      </c>
      <c r="P102" s="34" t="str">
        <f t="shared" si="88"/>
        <v>545.10556621881</v>
      </c>
      <c r="Q102" s="4" t="str">
        <f t="shared" si="89"/>
        <v>1+9.28618452816219i</v>
      </c>
      <c r="R102" s="4">
        <f t="shared" si="98"/>
        <v>9.339872755614973</v>
      </c>
      <c r="S102" s="4">
        <f t="shared" si="99"/>
        <v>1.4635228620511516</v>
      </c>
      <c r="T102" s="4" t="str">
        <f t="shared" si="90"/>
        <v>1+0.000217345109576483i</v>
      </c>
      <c r="U102" s="4">
        <f t="shared" si="100"/>
        <v>1.000000023619448</v>
      </c>
      <c r="V102" s="4">
        <f t="shared" si="101"/>
        <v>2.1734510615410206E-4</v>
      </c>
      <c r="W102" t="str">
        <f t="shared" si="91"/>
        <v>1-0.000225778099828049i</v>
      </c>
      <c r="X102" s="4">
        <f t="shared" si="102"/>
        <v>1.0000000254878749</v>
      </c>
      <c r="Y102" s="4">
        <f t="shared" si="103"/>
        <v>-2.2577809599164643E-4</v>
      </c>
      <c r="Z102" t="str">
        <f t="shared" si="92"/>
        <v>0.999999693676741+0.000977717988707486i</v>
      </c>
      <c r="AA102" s="4">
        <f t="shared" si="104"/>
        <v>1.000000171643006</v>
      </c>
      <c r="AB102" s="4">
        <f t="shared" si="105"/>
        <v>9.7771797666110823E-4</v>
      </c>
      <c r="AC102" s="48" t="str">
        <f t="shared" si="106"/>
        <v>6.19160187944659-58.0339138054291i</v>
      </c>
      <c r="AD102" s="20">
        <f t="shared" si="107"/>
        <v>35.322792079872997</v>
      </c>
      <c r="AE102" s="44">
        <f t="shared" si="108"/>
        <v>-83.910185504781097</v>
      </c>
      <c r="AF102" t="str">
        <f t="shared" si="93"/>
        <v>-0.0000333790427773504</v>
      </c>
      <c r="AG102" t="str">
        <f t="shared" si="94"/>
        <v>2.35602098780907E-06i</v>
      </c>
      <c r="AH102">
        <f t="shared" si="109"/>
        <v>2.3560209878090702E-6</v>
      </c>
      <c r="AI102">
        <f t="shared" si="110"/>
        <v>1.5707963267948966</v>
      </c>
      <c r="AJ102" t="str">
        <f t="shared" si="95"/>
        <v>1+0.054280136590909i</v>
      </c>
      <c r="AK102">
        <f t="shared" si="111"/>
        <v>1.0014720830998374</v>
      </c>
      <c r="AL102">
        <f t="shared" si="112"/>
        <v>5.4226921509538631E-2</v>
      </c>
      <c r="AM102" t="str">
        <f t="shared" si="96"/>
        <v>1+0.408608806003788i</v>
      </c>
      <c r="AN102">
        <f t="shared" si="113"/>
        <v>1.0802597633642759</v>
      </c>
      <c r="AO102">
        <f t="shared" si="114"/>
        <v>0.38790566098688589</v>
      </c>
      <c r="AP102" s="42" t="str">
        <f t="shared" si="115"/>
        <v>-5.00522173303026+14.4392331140468i</v>
      </c>
      <c r="AQ102">
        <f t="shared" si="116"/>
        <v>23.683681517786571</v>
      </c>
      <c r="AR102" s="44">
        <f t="shared" si="117"/>
        <v>109.1183834852974</v>
      </c>
      <c r="AS102" s="42" t="str">
        <f t="shared" si="118"/>
        <v>806.974869667813+379.874589518438i</v>
      </c>
      <c r="AT102" s="20">
        <f t="shared" si="119"/>
        <v>59.006473597659564</v>
      </c>
      <c r="AU102" s="44">
        <f t="shared" si="120"/>
        <v>25.208197980516289</v>
      </c>
    </row>
    <row r="103" spans="14:47" x14ac:dyDescent="0.3">
      <c r="N103" s="8">
        <v>85</v>
      </c>
      <c r="O103" s="35">
        <f t="shared" si="97"/>
        <v>70.794578438413865</v>
      </c>
      <c r="P103" s="34" t="str">
        <f t="shared" si="88"/>
        <v>545.10556621881</v>
      </c>
      <c r="Q103" s="4" t="str">
        <f t="shared" si="89"/>
        <v>1+9.50248755269434i</v>
      </c>
      <c r="R103" s="4">
        <f t="shared" si="98"/>
        <v>9.5549604755389161</v>
      </c>
      <c r="S103" s="4">
        <f t="shared" si="99"/>
        <v>1.4659466418579654</v>
      </c>
      <c r="T103" s="4" t="str">
        <f t="shared" si="90"/>
        <v>1+0.000222407727536107i</v>
      </c>
      <c r="U103" s="4">
        <f t="shared" si="100"/>
        <v>1.0000000247325984</v>
      </c>
      <c r="V103" s="4">
        <f t="shared" si="101"/>
        <v>2.2240772386895974E-4</v>
      </c>
      <c r="W103" t="str">
        <f t="shared" si="91"/>
        <v>1-0.000231037147364508i</v>
      </c>
      <c r="X103" s="4">
        <f t="shared" si="102"/>
        <v>1.0000000266890814</v>
      </c>
      <c r="Y103" s="4">
        <f t="shared" si="103"/>
        <v>-2.3103714325372861E-4</v>
      </c>
      <c r="Z103" t="str">
        <f t="shared" si="92"/>
        <v>0.999999679240171+0.00100049196627121i</v>
      </c>
      <c r="AA103" s="4">
        <f t="shared" si="104"/>
        <v>1.0000001797322937</v>
      </c>
      <c r="AB103" s="4">
        <f t="shared" si="105"/>
        <v>1.0004919533632825E-3</v>
      </c>
      <c r="AC103" s="48" t="str">
        <f t="shared" si="106"/>
        <v>5.91340919441967-56.742174777296i</v>
      </c>
      <c r="AD103" s="20">
        <f t="shared" si="107"/>
        <v>35.125033322079794</v>
      </c>
      <c r="AE103" s="44">
        <f t="shared" si="108"/>
        <v>-84.050373965512364</v>
      </c>
      <c r="AF103" t="str">
        <f t="shared" si="93"/>
        <v>-0.0000333790427773504</v>
      </c>
      <c r="AG103" t="str">
        <f t="shared" si="94"/>
        <v>0.0000024108997664914i</v>
      </c>
      <c r="AH103">
        <f t="shared" si="109"/>
        <v>2.4108997664914001E-6</v>
      </c>
      <c r="AI103">
        <f t="shared" si="110"/>
        <v>1.5707963267948966</v>
      </c>
      <c r="AJ103" t="str">
        <f t="shared" si="95"/>
        <v>1+0.0555444833935194i</v>
      </c>
      <c r="AK103">
        <f t="shared" si="111"/>
        <v>1.0015414068501876</v>
      </c>
      <c r="AL103">
        <f t="shared" si="112"/>
        <v>5.5487467145103143E-2</v>
      </c>
      <c r="AM103" t="str">
        <f t="shared" si="96"/>
        <v>1+0.418126527767883i</v>
      </c>
      <c r="AN103">
        <f t="shared" si="113"/>
        <v>1.0838956560588413</v>
      </c>
      <c r="AO103">
        <f t="shared" si="114"/>
        <v>0.39603438000166596</v>
      </c>
      <c r="AP103" s="42" t="str">
        <f t="shared" si="115"/>
        <v>-5.00452886355727+14.1230301777001i</v>
      </c>
      <c r="AQ103">
        <f t="shared" si="116"/>
        <v>23.512265797626711</v>
      </c>
      <c r="AR103" s="44">
        <f t="shared" si="117"/>
        <v>109.5119008328905</v>
      </c>
      <c r="AS103" s="42" t="str">
        <f t="shared" si="118"/>
        <v>771.777619732587+367.483107959867i</v>
      </c>
      <c r="AT103" s="20">
        <f t="shared" si="119"/>
        <v>58.637299119706512</v>
      </c>
      <c r="AU103" s="44">
        <f t="shared" si="120"/>
        <v>25.461526867378129</v>
      </c>
    </row>
    <row r="104" spans="14:47" x14ac:dyDescent="0.3">
      <c r="N104" s="8">
        <v>86</v>
      </c>
      <c r="O104" s="35">
        <f t="shared" si="97"/>
        <v>72.443596007499011</v>
      </c>
      <c r="P104" s="34" t="str">
        <f t="shared" si="88"/>
        <v>545.10556621881</v>
      </c>
      <c r="Q104" s="4" t="str">
        <f t="shared" si="89"/>
        <v>1+9.72382892190719i</v>
      </c>
      <c r="R104" s="4">
        <f t="shared" si="98"/>
        <v>9.7751137539426498</v>
      </c>
      <c r="S104" s="4">
        <f t="shared" si="99"/>
        <v>1.4683164450695916</v>
      </c>
      <c r="T104" s="4" t="str">
        <f t="shared" si="90"/>
        <v>1+0.000227588269016785i</v>
      </c>
      <c r="U104" s="4">
        <f t="shared" si="100"/>
        <v>1.0000000258982098</v>
      </c>
      <c r="V104" s="4">
        <f t="shared" si="101"/>
        <v>2.2758826508736593E-4</v>
      </c>
      <c r="W104" t="str">
        <f t="shared" si="91"/>
        <v>1-0.000236418693854636i</v>
      </c>
      <c r="X104" s="4">
        <f t="shared" si="102"/>
        <v>1.000000027946899</v>
      </c>
      <c r="Y104" s="4">
        <f t="shared" si="103"/>
        <v>-2.3641868944985651E-4</v>
      </c>
      <c r="Z104" t="str">
        <f t="shared" si="92"/>
        <v>0.999999664123225+0.00102379641791851i</v>
      </c>
      <c r="AA104" s="4">
        <f t="shared" si="104"/>
        <v>1.0000001882028164</v>
      </c>
      <c r="AB104" s="4">
        <f t="shared" si="105"/>
        <v>1.0237964040874165E-3</v>
      </c>
      <c r="AC104" s="48" t="str">
        <f t="shared" si="106"/>
        <v>5.64746899805129-55.4779128351748i</v>
      </c>
      <c r="AD104" s="20">
        <f t="shared" si="107"/>
        <v>34.927174767451518</v>
      </c>
      <c r="AE104" s="44">
        <f t="shared" si="108"/>
        <v>-84.18750045122232</v>
      </c>
      <c r="AF104" t="str">
        <f t="shared" si="93"/>
        <v>-0.0000333790427773504</v>
      </c>
      <c r="AG104" t="str">
        <f t="shared" si="94"/>
        <v>2.46705683614196E-06i</v>
      </c>
      <c r="AH104">
        <f t="shared" si="109"/>
        <v>2.4670568361419599E-6</v>
      </c>
      <c r="AI104">
        <f t="shared" si="110"/>
        <v>1.5707963267948966</v>
      </c>
      <c r="AJ104" t="str">
        <f t="shared" si="95"/>
        <v>1+0.0568382806164429i</v>
      </c>
      <c r="AK104">
        <f t="shared" si="111"/>
        <v>1.0016139925856835</v>
      </c>
      <c r="AL104">
        <f t="shared" si="112"/>
        <v>5.6777191921275012E-2</v>
      </c>
      <c r="AM104" t="str">
        <f t="shared" si="96"/>
        <v>1+0.427865945751558i</v>
      </c>
      <c r="AN104">
        <f t="shared" si="113"/>
        <v>1.0876898765428844</v>
      </c>
      <c r="AO104">
        <f t="shared" si="114"/>
        <v>0.40429562272776626</v>
      </c>
      <c r="AP104" s="42" t="str">
        <f t="shared" si="115"/>
        <v>-5.00380354572292+13.814311842125i</v>
      </c>
      <c r="AQ104">
        <f t="shared" si="116"/>
        <v>23.341988532624857</v>
      </c>
      <c r="AR104" s="44">
        <f t="shared" si="117"/>
        <v>109.91133938822104</v>
      </c>
      <c r="AS104" s="42" t="str">
        <f t="shared" si="118"/>
        <v>738.130362858524+355.616474811768i</v>
      </c>
      <c r="AT104" s="20">
        <f t="shared" si="119"/>
        <v>58.269163300076379</v>
      </c>
      <c r="AU104" s="44">
        <f t="shared" si="120"/>
        <v>25.723838936998696</v>
      </c>
    </row>
    <row r="105" spans="14:47" x14ac:dyDescent="0.3">
      <c r="N105" s="8">
        <v>87</v>
      </c>
      <c r="O105" s="35">
        <f t="shared" si="97"/>
        <v>74.131024130091816</v>
      </c>
      <c r="P105" s="34" t="str">
        <f t="shared" si="88"/>
        <v>545.10556621881</v>
      </c>
      <c r="Q105" s="4" t="str">
        <f t="shared" si="89"/>
        <v>1+9.95032599392456i</v>
      </c>
      <c r="R105" s="4">
        <f t="shared" si="98"/>
        <v>10.000449359172356</v>
      </c>
      <c r="S105" s="4">
        <f t="shared" si="99"/>
        <v>1.4706334216589887</v>
      </c>
      <c r="T105" s="4" t="str">
        <f t="shared" si="90"/>
        <v>1+0.000232889480810184i</v>
      </c>
      <c r="U105" s="4">
        <f t="shared" si="100"/>
        <v>1.0000000271187548</v>
      </c>
      <c r="V105" s="4">
        <f t="shared" si="101"/>
        <v>2.328894765997356E-4</v>
      </c>
      <c r="W105" t="str">
        <f t="shared" si="91"/>
        <v>1-0.000241925592665618i</v>
      </c>
      <c r="X105" s="4">
        <f t="shared" si="102"/>
        <v>1.0000000292639959</v>
      </c>
      <c r="Y105" s="4">
        <f t="shared" si="103"/>
        <v>-2.4192558794581176E-4</v>
      </c>
      <c r="Z105" t="str">
        <f t="shared" si="92"/>
        <v>0.999999648293841+0.00104764369997816i</v>
      </c>
      <c r="AA105" s="4">
        <f t="shared" si="104"/>
        <v>1.0000001970725445</v>
      </c>
      <c r="AB105" s="4">
        <f t="shared" si="105"/>
        <v>1.0476436851578747E-3</v>
      </c>
      <c r="AC105" s="48" t="str">
        <f t="shared" si="106"/>
        <v>5.39325307773297-54.2406281417364i</v>
      </c>
      <c r="AD105" s="20">
        <f t="shared" si="107"/>
        <v>34.729220813285686</v>
      </c>
      <c r="AE105" s="44">
        <f t="shared" si="108"/>
        <v>-84.321631564579661</v>
      </c>
      <c r="AF105" t="str">
        <f t="shared" si="93"/>
        <v>-0.0000333790427773504</v>
      </c>
      <c r="AG105" t="str">
        <f t="shared" si="94"/>
        <v>0.0000025245219719824i</v>
      </c>
      <c r="AH105">
        <f t="shared" si="109"/>
        <v>2.5245219719824001E-6</v>
      </c>
      <c r="AI105">
        <f t="shared" si="110"/>
        <v>1.5707963267948966</v>
      </c>
      <c r="AJ105" t="str">
        <f t="shared" si="95"/>
        <v>1+0.0581622142480932i</v>
      </c>
      <c r="AK105">
        <f t="shared" si="111"/>
        <v>1.0016899935440311</v>
      </c>
      <c r="AL105">
        <f t="shared" si="112"/>
        <v>5.8096762494963372E-2</v>
      </c>
      <c r="AM105" t="str">
        <f t="shared" si="96"/>
        <v>1+0.437832223923147i</v>
      </c>
      <c r="AN105">
        <f t="shared" si="113"/>
        <v>1.0916487788228817</v>
      </c>
      <c r="AO105">
        <f t="shared" si="114"/>
        <v>0.41268925781911464</v>
      </c>
      <c r="AP105" s="42" t="str">
        <f t="shared" si="115"/>
        <v>-5.00304427001818+13.5129141637908i</v>
      </c>
      <c r="AQ105">
        <f t="shared" si="116"/>
        <v>23.172886422238012</v>
      </c>
      <c r="AR105" s="44">
        <f t="shared" si="117"/>
        <v>110.31665342908624</v>
      </c>
      <c r="AS105" s="42" t="str">
        <f t="shared" si="118"/>
        <v>705.96626836207+344.246829729707i</v>
      </c>
      <c r="AT105" s="20">
        <f t="shared" si="119"/>
        <v>57.902107235523701</v>
      </c>
      <c r="AU105" s="44">
        <f t="shared" si="120"/>
        <v>25.995021864506565</v>
      </c>
    </row>
    <row r="106" spans="14:47" x14ac:dyDescent="0.3">
      <c r="N106" s="8">
        <v>88</v>
      </c>
      <c r="O106" s="35">
        <f t="shared" si="97"/>
        <v>75.857757502918361</v>
      </c>
      <c r="P106" s="34" t="str">
        <f t="shared" si="88"/>
        <v>545.10556621881</v>
      </c>
      <c r="Q106" s="4" t="str">
        <f t="shared" si="89"/>
        <v>1+10.182098860492i</v>
      </c>
      <c r="R106" s="4">
        <f t="shared" si="98"/>
        <v>10.231086804676835</v>
      </c>
      <c r="S106" s="4">
        <f t="shared" si="99"/>
        <v>1.4728987005560228</v>
      </c>
      <c r="T106" s="4" t="str">
        <f t="shared" si="90"/>
        <v>1+0.000238314173688964i</v>
      </c>
      <c r="U106" s="4">
        <f t="shared" si="100"/>
        <v>1.0000000283968222</v>
      </c>
      <c r="V106" s="4">
        <f t="shared" si="101"/>
        <v>2.3831416917738726E-4</v>
      </c>
      <c r="W106" t="str">
        <f t="shared" si="91"/>
        <v>1-0.000247560763628096i</v>
      </c>
      <c r="X106" s="4">
        <f t="shared" si="102"/>
        <v>1.0000000306431653</v>
      </c>
      <c r="Y106" s="4">
        <f t="shared" si="103"/>
        <v>-2.4756075857073251E-4</v>
      </c>
      <c r="Z106" t="str">
        <f t="shared" si="92"/>
        <v>0.99999963171844+0.00107204645659473i</v>
      </c>
      <c r="AA106" s="4">
        <f t="shared" si="104"/>
        <v>1.0000002063602889</v>
      </c>
      <c r="AB106" s="4">
        <f t="shared" si="105"/>
        <v>1.0720464407145075E-3</v>
      </c>
      <c r="AC106" s="48" t="str">
        <f t="shared" si="106"/>
        <v>5.15025499560756-53.0298241697533i</v>
      </c>
      <c r="AD106" s="20">
        <f t="shared" si="107"/>
        <v>34.531175667112578</v>
      </c>
      <c r="AE106" s="44">
        <f t="shared" si="108"/>
        <v>-84.452832719205418</v>
      </c>
      <c r="AF106" t="str">
        <f t="shared" si="93"/>
        <v>-0.0000333790427773504</v>
      </c>
      <c r="AG106" t="str">
        <f t="shared" si="94"/>
        <v>2.58332564278837E-06i</v>
      </c>
      <c r="AH106">
        <f t="shared" si="109"/>
        <v>2.5833256427883699E-6</v>
      </c>
      <c r="AI106">
        <f t="shared" si="110"/>
        <v>1.5707963267948966</v>
      </c>
      <c r="AJ106" t="str">
        <f t="shared" si="95"/>
        <v>1+0.0595169862556056i</v>
      </c>
      <c r="AK106">
        <f t="shared" si="111"/>
        <v>1.0017695701372396</v>
      </c>
      <c r="AL106">
        <f t="shared" si="112"/>
        <v>5.9446860127759966E-2</v>
      </c>
      <c r="AM106" t="str">
        <f t="shared" si="96"/>
        <v>1+0.448030646535254i</v>
      </c>
      <c r="AN106">
        <f t="shared" si="113"/>
        <v>1.0957789285411532</v>
      </c>
      <c r="AO106">
        <f t="shared" si="114"/>
        <v>0.4212150037800837</v>
      </c>
      <c r="AP106" s="42" t="str">
        <f t="shared" si="115"/>
        <v>-5.00224945768248+13.2186770625016i</v>
      </c>
      <c r="AQ106">
        <f t="shared" si="116"/>
        <v>23.004996653485289</v>
      </c>
      <c r="AR106" s="44">
        <f t="shared" si="117"/>
        <v>110.72778779356058</v>
      </c>
      <c r="AS106" s="42" t="str">
        <f t="shared" si="118"/>
        <v>675.221260122506+333.347966770618i</v>
      </c>
      <c r="AT106" s="20">
        <f t="shared" si="119"/>
        <v>57.536172320597871</v>
      </c>
      <c r="AU106" s="44">
        <f t="shared" si="120"/>
        <v>26.274955074355208</v>
      </c>
    </row>
    <row r="107" spans="14:47" x14ac:dyDescent="0.3">
      <c r="N107" s="8">
        <v>89</v>
      </c>
      <c r="O107" s="35">
        <f t="shared" si="97"/>
        <v>77.624711662869217</v>
      </c>
      <c r="P107" s="34" t="str">
        <f t="shared" si="88"/>
        <v>545.10556621881</v>
      </c>
      <c r="Q107" s="4" t="str">
        <f t="shared" si="89"/>
        <v>1+10.4192704106514i</v>
      </c>
      <c r="R107" s="4">
        <f t="shared" si="98"/>
        <v>10.467148412546551</v>
      </c>
      <c r="S107" s="4">
        <f t="shared" si="99"/>
        <v>1.4751133897964934</v>
      </c>
      <c r="T107" s="4" t="str">
        <f t="shared" si="90"/>
        <v>1+0.000243865223897096i</v>
      </c>
      <c r="U107" s="4">
        <f t="shared" si="100"/>
        <v>1.0000000297351233</v>
      </c>
      <c r="V107" s="4">
        <f t="shared" si="101"/>
        <v>2.4386521906285443E-4</v>
      </c>
      <c r="W107" t="str">
        <f t="shared" si="91"/>
        <v>1-0.000253327194584303i</v>
      </c>
      <c r="X107" s="4">
        <f t="shared" si="102"/>
        <v>1.0000000320873332</v>
      </c>
      <c r="Y107" s="4">
        <f t="shared" si="103"/>
        <v>-2.5332718916524041E-4</v>
      </c>
      <c r="Z107" t="str">
        <f t="shared" si="92"/>
        <v>0.999999614361865+0.0010970176264328i</v>
      </c>
      <c r="AA107" s="4">
        <f t="shared" si="104"/>
        <v>1.0000002160857524</v>
      </c>
      <c r="AB107" s="4">
        <f t="shared" si="105"/>
        <v>1.0970176094168334E-3</v>
      </c>
      <c r="AC107" s="48" t="str">
        <f t="shared" si="106"/>
        <v>4.91798927855599-51.8450081315468i</v>
      </c>
      <c r="AD107" s="20">
        <f t="shared" si="107"/>
        <v>34.3330433545337</v>
      </c>
      <c r="AE107" s="44">
        <f t="shared" si="108"/>
        <v>-84.581168148599204</v>
      </c>
      <c r="AF107" t="str">
        <f t="shared" si="93"/>
        <v>-0.0000333790427773504</v>
      </c>
      <c r="AG107" t="str">
        <f t="shared" si="94"/>
        <v>2.64349902704452E-06i</v>
      </c>
      <c r="AH107">
        <f t="shared" si="109"/>
        <v>2.6434990270445202E-6</v>
      </c>
      <c r="AI107">
        <f t="shared" si="110"/>
        <v>1.5707963267948966</v>
      </c>
      <c r="AJ107" t="str">
        <f t="shared" si="95"/>
        <v>1+0.0609033149570312i</v>
      </c>
      <c r="AK107">
        <f t="shared" si="111"/>
        <v>1.0018528902851731</v>
      </c>
      <c r="AL107">
        <f t="shared" si="112"/>
        <v>6.0828180960898974E-2</v>
      </c>
      <c r="AM107" t="str">
        <f t="shared" si="96"/>
        <v>1+0.458466620926542i</v>
      </c>
      <c r="AN107">
        <f t="shared" si="113"/>
        <v>1.1000871067800957</v>
      </c>
      <c r="AO107">
        <f t="shared" si="114"/>
        <v>0.42987242224972833</v>
      </c>
      <c r="AP107" s="42" t="str">
        <f t="shared" si="115"/>
        <v>-5.00141745762034+12.9314442352443i</v>
      </c>
      <c r="AQ107">
        <f t="shared" si="116"/>
        <v>22.838356849459643</v>
      </c>
      <c r="AR107" s="44">
        <f t="shared" si="117"/>
        <v>111.14467747945753</v>
      </c>
      <c r="AS107" s="42" t="str">
        <f t="shared" si="118"/>
        <v>645.833914094725+322.895232864763i</v>
      </c>
      <c r="AT107" s="20">
        <f t="shared" si="119"/>
        <v>57.171400203993343</v>
      </c>
      <c r="AU107" s="44">
        <f t="shared" si="120"/>
        <v>26.563509330858359</v>
      </c>
    </row>
    <row r="108" spans="14:47" x14ac:dyDescent="0.3">
      <c r="N108" s="8">
        <v>90</v>
      </c>
      <c r="O108" s="35">
        <f t="shared" si="97"/>
        <v>79.432823472428197</v>
      </c>
      <c r="P108" s="34" t="str">
        <f t="shared" si="88"/>
        <v>545.10556621881</v>
      </c>
      <c r="Q108" s="4" t="str">
        <f t="shared" si="89"/>
        <v>1+10.6619663958978i</v>
      </c>
      <c r="R108" s="4">
        <f t="shared" si="98"/>
        <v>10.708759378529985</v>
      </c>
      <c r="S108" s="4">
        <f t="shared" si="99"/>
        <v>1.4772785766884364</v>
      </c>
      <c r="T108" s="4" t="str">
        <f t="shared" si="90"/>
        <v>1+0.000249545574674876i</v>
      </c>
      <c r="U108" s="4">
        <f t="shared" si="100"/>
        <v>1.0000000311364965</v>
      </c>
      <c r="V108" s="4">
        <f t="shared" si="101"/>
        <v>2.4954556949489286E-4</v>
      </c>
      <c r="W108" t="str">
        <f t="shared" si="91"/>
        <v>1-0.00025922794297226i</v>
      </c>
      <c r="X108" s="4">
        <f t="shared" si="102"/>
        <v>1.0000000335995627</v>
      </c>
      <c r="Y108" s="4">
        <f t="shared" si="103"/>
        <v>-2.5922793716562983E-4</v>
      </c>
      <c r="Z108" t="str">
        <f t="shared" si="92"/>
        <v>0.999999596187299+0.00112257044953715i</v>
      </c>
      <c r="AA108" s="4">
        <f t="shared" si="104"/>
        <v>1.000000226269562</v>
      </c>
      <c r="AB108" s="4">
        <f t="shared" si="105"/>
        <v>1.1225704313042126E-3</v>
      </c>
      <c r="AC108" s="48" t="str">
        <f t="shared" si="106"/>
        <v>4.69599063042137-50.6856913685196i</v>
      </c>
      <c r="AD108" s="20">
        <f t="shared" si="107"/>
        <v>34.134827726768158</v>
      </c>
      <c r="AE108" s="44">
        <f t="shared" si="108"/>
        <v>-84.70670091606388</v>
      </c>
      <c r="AF108" t="str">
        <f t="shared" si="93"/>
        <v>-0.0000333790427773504</v>
      </c>
      <c r="AG108" t="str">
        <f t="shared" si="94"/>
        <v>2.70507402947565E-06i</v>
      </c>
      <c r="AH108">
        <f t="shared" si="109"/>
        <v>2.7050740294756499E-6</v>
      </c>
      <c r="AI108">
        <f t="shared" si="110"/>
        <v>1.5707963267948966</v>
      </c>
      <c r="AJ108" t="str">
        <f t="shared" si="95"/>
        <v>1+0.0623219354021977i</v>
      </c>
      <c r="AK108">
        <f t="shared" si="111"/>
        <v>1.0019401297643866</v>
      </c>
      <c r="AL108">
        <f t="shared" si="112"/>
        <v>6.2241436292054732E-2</v>
      </c>
      <c r="AM108" t="str">
        <f t="shared" si="96"/>
        <v>1+0.469145680388767i</v>
      </c>
      <c r="AN108">
        <f t="shared" si="113"/>
        <v>1.1045803137062686</v>
      </c>
      <c r="AO108">
        <f t="shared" si="114"/>
        <v>0.4386609114199303</v>
      </c>
      <c r="AP108" s="42" t="str">
        <f t="shared" si="115"/>
        <v>-5.00054654318938+12.6510630719517i</v>
      </c>
      <c r="AQ108">
        <f t="shared" si="116"/>
        <v>22.673005012895228</v>
      </c>
      <c r="AR108" s="44">
        <f t="shared" si="117"/>
        <v>111.56724725135699</v>
      </c>
      <c r="AS108" s="42" t="str">
        <f t="shared" si="118"/>
        <v>617.745358634816+312.865432412769i</v>
      </c>
      <c r="AT108" s="20">
        <f t="shared" si="119"/>
        <v>56.807832739663397</v>
      </c>
      <c r="AU108" s="44">
        <f t="shared" si="120"/>
        <v>26.860546335293083</v>
      </c>
    </row>
    <row r="109" spans="14:47" x14ac:dyDescent="0.3">
      <c r="N109" s="8">
        <v>91</v>
      </c>
      <c r="O109" s="35">
        <f t="shared" si="97"/>
        <v>81.283051616409963</v>
      </c>
      <c r="P109" s="34" t="str">
        <f t="shared" si="88"/>
        <v>545.10556621881</v>
      </c>
      <c r="Q109" s="4" t="str">
        <f t="shared" si="89"/>
        <v>1+10.910315496855i</v>
      </c>
      <c r="R109" s="4">
        <f t="shared" si="98"/>
        <v>10.956047838564524</v>
      </c>
      <c r="S109" s="4">
        <f t="shared" si="99"/>
        <v>1.4793953279940919</v>
      </c>
      <c r="T109" s="4" t="str">
        <f t="shared" si="90"/>
        <v>1+0.000255358237819473i</v>
      </c>
      <c r="U109" s="4">
        <f t="shared" si="100"/>
        <v>1.0000000326039142</v>
      </c>
      <c r="V109" s="4">
        <f t="shared" si="101"/>
        <v>2.5535823226902109E-4</v>
      </c>
      <c r="W109" t="str">
        <f t="shared" si="91"/>
        <v>1-0.000265266137446868i</v>
      </c>
      <c r="X109" s="4">
        <f t="shared" si="102"/>
        <v>1.0000000351830611</v>
      </c>
      <c r="Y109" s="4">
        <f t="shared" si="103"/>
        <v>-2.6526613122495165E-4</v>
      </c>
      <c r="Z109" t="str">
        <f t="shared" si="92"/>
        <v>0.999999577156193+0.00114871847435282i</v>
      </c>
      <c r="AA109" s="4">
        <f t="shared" si="104"/>
        <v>1.000000236933321</v>
      </c>
      <c r="AB109" s="4">
        <f t="shared" si="105"/>
        <v>1.1487184548158737E-3</v>
      </c>
      <c r="AC109" s="48" t="str">
        <f t="shared" si="106"/>
        <v>4.48381316662553-49.5513897033118i</v>
      </c>
      <c r="AD109" s="20">
        <f t="shared" si="107"/>
        <v>33.93653246791299</v>
      </c>
      <c r="AE109" s="44">
        <f t="shared" si="108"/>
        <v>-84.829492925537352</v>
      </c>
      <c r="AF109" t="str">
        <f t="shared" si="93"/>
        <v>-0.0000333790427773504</v>
      </c>
      <c r="AG109" t="str">
        <f t="shared" si="94"/>
        <v>2.76808329796309E-06i</v>
      </c>
      <c r="AH109">
        <f t="shared" si="109"/>
        <v>2.7680832979630901E-6</v>
      </c>
      <c r="AI109">
        <f t="shared" si="110"/>
        <v>1.5707963267948966</v>
      </c>
      <c r="AJ109" t="str">
        <f t="shared" si="95"/>
        <v>1+0.0637735997624427i</v>
      </c>
      <c r="AK109">
        <f t="shared" si="111"/>
        <v>1.0020314725729229</v>
      </c>
      <c r="AL109">
        <f t="shared" si="112"/>
        <v>6.3687352853709911E-2</v>
      </c>
      <c r="AM109" t="str">
        <f t="shared" si="96"/>
        <v>1+0.480073487100611i</v>
      </c>
      <c r="AN109">
        <f t="shared" si="113"/>
        <v>1.1092657720388475</v>
      </c>
      <c r="AO109">
        <f t="shared" si="114"/>
        <v>0.44757969963198613</v>
      </c>
      <c r="AP109" s="42" t="str">
        <f t="shared" si="115"/>
        <v>-4.99963490885609+12.3773845731294i</v>
      </c>
      <c r="AQ109">
        <f t="shared" si="116"/>
        <v>22.508979464705213</v>
      </c>
      <c r="AR109" s="44">
        <f t="shared" si="117"/>
        <v>111.99541125776778</v>
      </c>
      <c r="AS109" s="42" t="str">
        <f t="shared" si="118"/>
        <v>590.899177658245+303.236737660395i</v>
      </c>
      <c r="AT109" s="20">
        <f t="shared" si="119"/>
        <v>56.445511932618203</v>
      </c>
      <c r="AU109" s="44">
        <f t="shared" si="120"/>
        <v>27.165918332230426</v>
      </c>
    </row>
    <row r="110" spans="14:47" x14ac:dyDescent="0.3">
      <c r="N110" s="8">
        <v>92</v>
      </c>
      <c r="O110" s="35">
        <f t="shared" si="97"/>
        <v>83.176377110267126</v>
      </c>
      <c r="P110" s="34" t="str">
        <f t="shared" si="88"/>
        <v>545.10556621881</v>
      </c>
      <c r="Q110" s="4" t="str">
        <f t="shared" si="89"/>
        <v>1+11.1644493915039i</v>
      </c>
      <c r="R110" s="4">
        <f t="shared" si="98"/>
        <v>11.209144936856324</v>
      </c>
      <c r="S110" s="4">
        <f t="shared" si="99"/>
        <v>1.4814646901259956</v>
      </c>
      <c r="T110" s="4" t="str">
        <f t="shared" si="90"/>
        <v>1+0.000261306295281829i</v>
      </c>
      <c r="U110" s="4">
        <f t="shared" si="100"/>
        <v>1.0000000341404893</v>
      </c>
      <c r="V110" s="4">
        <f t="shared" si="101"/>
        <v>2.613062893344126E-4</v>
      </c>
      <c r="W110" t="str">
        <f t="shared" si="91"/>
        <v>1-0.000271444979538764i</v>
      </c>
      <c r="X110" s="4">
        <f t="shared" si="102"/>
        <v>1.0000000368411877</v>
      </c>
      <c r="Y110" s="4">
        <f t="shared" si="103"/>
        <v>-2.7144497287186052E-4</v>
      </c>
      <c r="Z110" t="str">
        <f t="shared" si="92"/>
        <v>0.999999557228179+0.00117547556490868i</v>
      </c>
      <c r="AA110" s="4">
        <f t="shared" si="104"/>
        <v>1.0000002480996479</v>
      </c>
      <c r="AB110" s="4">
        <f t="shared" si="105"/>
        <v>1.1754755439744621E-3</v>
      </c>
      <c r="AC110" s="48" t="str">
        <f t="shared" si="106"/>
        <v>4.28102967124008-48.441623757011i</v>
      </c>
      <c r="AD110" s="20">
        <f t="shared" si="107"/>
        <v>33.738161101926998</v>
      </c>
      <c r="AE110" s="44">
        <f t="shared" si="108"/>
        <v>-84.949604933242952</v>
      </c>
      <c r="AF110" t="str">
        <f t="shared" si="93"/>
        <v>-0.0000333790427773504</v>
      </c>
      <c r="AG110" t="str">
        <f t="shared" si="94"/>
        <v>2.83256024085503E-06i</v>
      </c>
      <c r="AH110">
        <f t="shared" si="109"/>
        <v>2.8325602408550302E-6</v>
      </c>
      <c r="AI110">
        <f t="shared" si="110"/>
        <v>1.5707963267948966</v>
      </c>
      <c r="AJ110" t="str">
        <f t="shared" si="95"/>
        <v>1+0.0652590777294251i</v>
      </c>
      <c r="AK110">
        <f t="shared" si="111"/>
        <v>1.0021271113117811</v>
      </c>
      <c r="AL110">
        <f t="shared" si="112"/>
        <v>6.5166673092794614E-2</v>
      </c>
      <c r="AM110" t="str">
        <f t="shared" si="96"/>
        <v>1+0.491255835129841i</v>
      </c>
      <c r="AN110">
        <f t="shared" si="113"/>
        <v>1.1141509303272683</v>
      </c>
      <c r="AO110">
        <f t="shared" si="114"/>
        <v>0.45662783919863797</v>
      </c>
      <c r="AP110" s="42" t="str">
        <f t="shared" si="115"/>
        <v>-4.99868066671391+12.1102632692956i</v>
      </c>
      <c r="AQ110">
        <f t="shared" si="116"/>
        <v>22.346318777433758</v>
      </c>
      <c r="AR110" s="44">
        <f t="shared" si="117"/>
        <v>112.42907266113448</v>
      </c>
      <c r="AS110" s="42" t="str">
        <f t="shared" si="118"/>
        <v>565.241316638311+293.988604520783i</v>
      </c>
      <c r="AT110" s="20">
        <f t="shared" si="119"/>
        <v>56.084479879360757</v>
      </c>
      <c r="AU110" s="44">
        <f t="shared" si="120"/>
        <v>27.479467727891489</v>
      </c>
    </row>
    <row r="111" spans="14:47" x14ac:dyDescent="0.3">
      <c r="N111" s="8">
        <v>93</v>
      </c>
      <c r="O111" s="35">
        <f t="shared" si="97"/>
        <v>85.113803820237734</v>
      </c>
      <c r="P111" s="34" t="str">
        <f t="shared" si="88"/>
        <v>545.10556621881</v>
      </c>
      <c r="Q111" s="4" t="str">
        <f t="shared" si="89"/>
        <v>1+11.4245028249991i</v>
      </c>
      <c r="R111" s="4">
        <f t="shared" si="98"/>
        <v>11.468184895545258</v>
      </c>
      <c r="S111" s="4">
        <f t="shared" si="99"/>
        <v>1.4834876893557631</v>
      </c>
      <c r="T111" s="4" t="str">
        <f t="shared" si="90"/>
        <v>1+0.000267392900800742i</v>
      </c>
      <c r="U111" s="4">
        <f t="shared" si="100"/>
        <v>1.0000000357494812</v>
      </c>
      <c r="V111" s="4">
        <f t="shared" si="101"/>
        <v>2.6739289442797058E-4</v>
      </c>
      <c r="W111" t="str">
        <f t="shared" si="91"/>
        <v>1-0.00027776774535181i</v>
      </c>
      <c r="X111" s="4">
        <f t="shared" si="102"/>
        <v>1.0000000385774594</v>
      </c>
      <c r="Y111" s="4">
        <f t="shared" si="103"/>
        <v>-2.7776773820809426E-4</v>
      </c>
      <c r="Z111" t="str">
        <f t="shared" si="92"/>
        <v>0.999999536360986+0.00120285590816831i</v>
      </c>
      <c r="AA111" s="4">
        <f t="shared" si="104"/>
        <v>1.0000002597922277</v>
      </c>
      <c r="AB111" s="4">
        <f t="shared" si="105"/>
        <v>1.2028558857368895E-3</v>
      </c>
      <c r="AC111" s="48" t="str">
        <f t="shared" si="106"/>
        <v>4.08723087648664-47.3559192337165i</v>
      </c>
      <c r="AD111" s="20">
        <f t="shared" si="107"/>
        <v>33.539716999347291</v>
      </c>
      <c r="AE111" s="44">
        <f t="shared" si="108"/>
        <v>-85.067096560076649</v>
      </c>
      <c r="AF111" t="str">
        <f t="shared" si="93"/>
        <v>-0.0000333790427773504</v>
      </c>
      <c r="AG111" t="str">
        <f t="shared" si="94"/>
        <v>2.89853904468004E-06i</v>
      </c>
      <c r="AH111">
        <f t="shared" si="109"/>
        <v>2.89853904468004E-6</v>
      </c>
      <c r="AI111">
        <f t="shared" si="110"/>
        <v>1.5707963267948966</v>
      </c>
      <c r="AJ111" t="str">
        <f t="shared" si="95"/>
        <v>1+0.0667791569232259i</v>
      </c>
      <c r="AK111">
        <f t="shared" si="111"/>
        <v>1.0022272475837888</v>
      </c>
      <c r="AL111">
        <f t="shared" si="112"/>
        <v>6.668015545126818E-2</v>
      </c>
      <c r="AM111" t="str">
        <f t="shared" si="96"/>
        <v>1+0.502698653505396i</v>
      </c>
      <c r="AN111">
        <f t="shared" si="113"/>
        <v>1.1192434660234287</v>
      </c>
      <c r="AO111">
        <f t="shared" si="114"/>
        <v>0.46580420050086874</v>
      </c>
      <c r="AP111" s="42" t="str">
        <f t="shared" si="115"/>
        <v>-4.99768184285986+11.8495571421871i</v>
      </c>
      <c r="AQ111">
        <f t="shared" si="116"/>
        <v>22.185061703601438</v>
      </c>
      <c r="AR111" s="44">
        <f t="shared" si="117"/>
        <v>112.86812328353152</v>
      </c>
      <c r="AS111" s="42" t="str">
        <f t="shared" si="118"/>
        <v>540.719991441727+285.101693530523i</v>
      </c>
      <c r="AT111" s="20">
        <f t="shared" si="119"/>
        <v>55.724778702948718</v>
      </c>
      <c r="AU111" s="44">
        <f t="shared" si="120"/>
        <v>27.801026723454903</v>
      </c>
    </row>
    <row r="112" spans="14:47" x14ac:dyDescent="0.3">
      <c r="N112" s="8">
        <v>94</v>
      </c>
      <c r="O112" s="35">
        <f t="shared" si="97"/>
        <v>87.096358995608071</v>
      </c>
      <c r="P112" s="34" t="str">
        <f t="shared" si="88"/>
        <v>545.10556621881</v>
      </c>
      <c r="Q112" s="4" t="str">
        <f t="shared" si="89"/>
        <v>1+11.6906136811132i</v>
      </c>
      <c r="R112" s="4">
        <f t="shared" si="98"/>
        <v>11.733305085994786</v>
      </c>
      <c r="S112" s="4">
        <f t="shared" si="99"/>
        <v>1.4854653320342552</v>
      </c>
      <c r="T112" s="4" t="str">
        <f t="shared" si="90"/>
        <v>1+0.000273621281575021i</v>
      </c>
      <c r="U112" s="4">
        <f t="shared" si="100"/>
        <v>1.0000000374343021</v>
      </c>
      <c r="V112" s="4">
        <f t="shared" si="101"/>
        <v>2.7362127474647334E-4</v>
      </c>
      <c r="W112" t="str">
        <f t="shared" si="91"/>
        <v>1-0.000284237787300132i</v>
      </c>
      <c r="X112" s="4">
        <f t="shared" si="102"/>
        <v>1.0000000403955591</v>
      </c>
      <c r="Y112" s="4">
        <f t="shared" si="103"/>
        <v>-2.8423777964550268E-4</v>
      </c>
      <c r="Z112" t="str">
        <f t="shared" si="92"/>
        <v>0.999999514510352+0.00123087402155214i</v>
      </c>
      <c r="AA112" s="4">
        <f t="shared" si="104"/>
        <v>1.0000002720358614</v>
      </c>
      <c r="AB112" s="4">
        <f t="shared" si="105"/>
        <v>1.2308739975164381E-3</v>
      </c>
      <c r="AC112" s="48" t="str">
        <f t="shared" si="106"/>
        <v>3.90202476456062-46.2938071746178i</v>
      </c>
      <c r="AD112" s="20">
        <f t="shared" si="107"/>
        <v>33.341203383744158</v>
      </c>
      <c r="AE112" s="44">
        <f t="shared" si="108"/>
        <v>-85.18202630465629</v>
      </c>
      <c r="AF112" t="str">
        <f t="shared" si="93"/>
        <v>-0.0000333790427773504</v>
      </c>
      <c r="AG112" t="str">
        <f t="shared" si="94"/>
        <v>2.96605469227323E-06i</v>
      </c>
      <c r="AH112">
        <f t="shared" si="109"/>
        <v>2.9660546922732302E-6</v>
      </c>
      <c r="AI112">
        <f t="shared" si="110"/>
        <v>1.5707963267948966</v>
      </c>
      <c r="AJ112" t="str">
        <f t="shared" si="95"/>
        <v>1+0.0683346433099537i</v>
      </c>
      <c r="AK112">
        <f t="shared" si="111"/>
        <v>1.0023320924106434</v>
      </c>
      <c r="AL112">
        <f t="shared" si="112"/>
        <v>6.8228574647283283E-2</v>
      </c>
      <c r="AM112" t="str">
        <f t="shared" si="96"/>
        <v>1+0.514408009361042i</v>
      </c>
      <c r="AN112">
        <f t="shared" si="113"/>
        <v>1.1245512883345028</v>
      </c>
      <c r="AO112">
        <f t="shared" si="114"/>
        <v>0.47510746641079693</v>
      </c>
      <c r="AP112" s="42" t="str">
        <f t="shared" si="115"/>
        <v>-4.99663637362462+11.5951275476791i</v>
      </c>
      <c r="AQ112">
        <f t="shared" si="116"/>
        <v>22.025247098955425</v>
      </c>
      <c r="AR112" s="44">
        <f t="shared" si="117"/>
        <v>113.31244327100951</v>
      </c>
      <c r="AS112" s="42" t="str">
        <f t="shared" si="118"/>
        <v>517.285599987968+276.557795641543i</v>
      </c>
      <c r="AT112" s="20">
        <f t="shared" si="119"/>
        <v>55.366450482699598</v>
      </c>
      <c r="AU112" s="44">
        <f t="shared" si="120"/>
        <v>28.130416966353241</v>
      </c>
    </row>
    <row r="113" spans="14:47" x14ac:dyDescent="0.3">
      <c r="N113" s="8">
        <v>95</v>
      </c>
      <c r="O113" s="35">
        <f t="shared" si="97"/>
        <v>89.125093813374562</v>
      </c>
      <c r="P113" s="34" t="str">
        <f t="shared" si="88"/>
        <v>545.10556621881</v>
      </c>
      <c r="Q113" s="4" t="str">
        <f t="shared" si="89"/>
        <v>1+11.9629230553446i</v>
      </c>
      <c r="R113" s="4">
        <f t="shared" si="98"/>
        <v>12.004646101743081</v>
      </c>
      <c r="S113" s="4">
        <f t="shared" si="99"/>
        <v>1.4873986048218595</v>
      </c>
      <c r="T113" s="4" t="str">
        <f t="shared" si="90"/>
        <v>1+0.000279994739974598i</v>
      </c>
      <c r="U113" s="4">
        <f t="shared" si="100"/>
        <v>1.0000000391985264</v>
      </c>
      <c r="V113" s="4">
        <f t="shared" si="101"/>
        <v>2.7999473265767741E-4</v>
      </c>
      <c r="W113" t="str">
        <f t="shared" si="91"/>
        <v>1-0.000290858535885612i</v>
      </c>
      <c r="X113" s="4">
        <f t="shared" si="102"/>
        <v>1.0000000422993429</v>
      </c>
      <c r="Y113" s="4">
        <f t="shared" si="103"/>
        <v>-2.9085852768352888E-4</v>
      </c>
      <c r="Z113" t="str">
        <f t="shared" si="92"/>
        <v>0.99999949162993+0.00125954476063473i</v>
      </c>
      <c r="AA113" s="4">
        <f t="shared" si="104"/>
        <v>1.0000002848565206</v>
      </c>
      <c r="AB113" s="4">
        <f t="shared" si="105"/>
        <v>1.2595447348800087E-3</v>
      </c>
      <c r="AC113" s="48" t="str">
        <f t="shared" si="106"/>
        <v>3.72503589161061-45.2548241836539i</v>
      </c>
      <c r="AD113" s="20">
        <f t="shared" si="107"/>
        <v>33.142623337924384</v>
      </c>
      <c r="AE113" s="44">
        <f t="shared" si="108"/>
        <v>-85.294451556960553</v>
      </c>
      <c r="AF113" t="str">
        <f t="shared" si="93"/>
        <v>-0.0000333790427773504</v>
      </c>
      <c r="AG113" t="str">
        <f t="shared" si="94"/>
        <v>3.03514298132465E-06i</v>
      </c>
      <c r="AH113">
        <f t="shared" si="109"/>
        <v>3.0351429813246499E-6</v>
      </c>
      <c r="AI113">
        <f t="shared" si="110"/>
        <v>1.5707963267948966</v>
      </c>
      <c r="AJ113" t="str">
        <f t="shared" si="95"/>
        <v>1+0.0699263616290805i</v>
      </c>
      <c r="AK113">
        <f t="shared" si="111"/>
        <v>1.0024418666689261</v>
      </c>
      <c r="AL113">
        <f t="shared" si="112"/>
        <v>6.9812721956543769E-2</v>
      </c>
      <c r="AM113" t="str">
        <f t="shared" si="96"/>
        <v>1+0.526390111152246i</v>
      </c>
      <c r="AN113">
        <f t="shared" si="113"/>
        <v>1.1300825408433111</v>
      </c>
      <c r="AO113">
        <f t="shared" si="114"/>
        <v>0.4845361270936584</v>
      </c>
      <c r="AP113" s="42" t="str">
        <f t="shared" si="115"/>
        <v>-4.99554210165196+11.3468391403729i</v>
      </c>
      <c r="AQ113">
        <f t="shared" si="116"/>
        <v>21.866913840679295</v>
      </c>
      <c r="AR113" s="44">
        <f t="shared" si="117"/>
        <v>113.76190077965083</v>
      </c>
      <c r="AS113" s="42" t="str">
        <f t="shared" si="118"/>
        <v>494.890636711073+268.339762566521i</v>
      </c>
      <c r="AT113" s="20">
        <f t="shared" si="119"/>
        <v>55.009537178603686</v>
      </c>
      <c r="AU113" s="44">
        <f t="shared" si="120"/>
        <v>28.46744922269022</v>
      </c>
    </row>
    <row r="114" spans="14:47" x14ac:dyDescent="0.3">
      <c r="N114" s="8">
        <v>96</v>
      </c>
      <c r="O114" s="35">
        <f t="shared" si="97"/>
        <v>91.201083935590972</v>
      </c>
      <c r="P114" s="34" t="str">
        <f t="shared" si="88"/>
        <v>545.10556621881</v>
      </c>
      <c r="Q114" s="4" t="str">
        <f t="shared" si="89"/>
        <v>1+12.241575329728i</v>
      </c>
      <c r="R114" s="4">
        <f t="shared" si="98"/>
        <v>12.282351833154967</v>
      </c>
      <c r="S114" s="4">
        <f t="shared" si="99"/>
        <v>1.4892884749277384</v>
      </c>
      <c r="T114" s="4" t="str">
        <f t="shared" si="90"/>
        <v>1+0.000286516655291479i</v>
      </c>
      <c r="U114" s="4">
        <f t="shared" si="100"/>
        <v>1.000000041045896</v>
      </c>
      <c r="V114" s="4">
        <f t="shared" si="101"/>
        <v>2.8651664745125733E-4</v>
      </c>
      <c r="W114" t="str">
        <f t="shared" si="91"/>
        <v>1-0.000297633501516787i</v>
      </c>
      <c r="X114" s="4">
        <f t="shared" si="102"/>
        <v>1.0000000442928496</v>
      </c>
      <c r="Y114" s="4">
        <f t="shared" si="103"/>
        <v>-2.9763349272809661E-4</v>
      </c>
      <c r="Z114" t="str">
        <f t="shared" si="92"/>
        <v>0.999999467671187+0.00128888332702146i</v>
      </c>
      <c r="AA114" s="4">
        <f t="shared" si="104"/>
        <v>1.0000002982813996</v>
      </c>
      <c r="AB114" s="4">
        <f t="shared" si="105"/>
        <v>1.288883299424776E-3</v>
      </c>
      <c r="AC114" s="48" t="str">
        <f t="shared" si="106"/>
        <v>3.55590473364348-44.2385126266967i</v>
      </c>
      <c r="AD114" s="20">
        <f t="shared" si="107"/>
        <v>32.94397980989087</v>
      </c>
      <c r="AE114" s="44">
        <f t="shared" si="108"/>
        <v>-85.40442861249214</v>
      </c>
      <c r="AF114" t="str">
        <f t="shared" si="93"/>
        <v>-0.0000333790427773504</v>
      </c>
      <c r="AG114" t="str">
        <f t="shared" si="94"/>
        <v>3.10584054335963E-06i</v>
      </c>
      <c r="AH114">
        <f t="shared" si="109"/>
        <v>3.1058405433596301E-6</v>
      </c>
      <c r="AI114">
        <f t="shared" si="110"/>
        <v>1.5707963267948966</v>
      </c>
      <c r="AJ114" t="str">
        <f t="shared" si="95"/>
        <v>1+0.0715551558307279i</v>
      </c>
      <c r="AK114">
        <f t="shared" si="111"/>
        <v>1.0025568015459072</v>
      </c>
      <c r="AL114">
        <f t="shared" si="112"/>
        <v>7.1433405493420712E-2</v>
      </c>
      <c r="AM114" t="str">
        <f t="shared" si="96"/>
        <v>1+0.538651311947981i</v>
      </c>
      <c r="AN114">
        <f t="shared" si="113"/>
        <v>1.1358456038842961</v>
      </c>
      <c r="AO114">
        <f t="shared" si="114"/>
        <v>0.49408847524316546</v>
      </c>
      <c r="AP114" s="42" t="str">
        <f t="shared" si="115"/>
        <v>-4.99439677182218+11.1045597998026i</v>
      </c>
      <c r="AQ114">
        <f t="shared" si="116"/>
        <v>21.710100740657307</v>
      </c>
      <c r="AR114" s="44">
        <f t="shared" si="117"/>
        <v>114.21635168646785</v>
      </c>
      <c r="AS114" s="42" t="str">
        <f t="shared" si="118"/>
        <v>473.48960979486+260.431441410134i</v>
      </c>
      <c r="AT114" s="20">
        <f t="shared" si="119"/>
        <v>54.654080550548187</v>
      </c>
      <c r="AU114" s="44">
        <f t="shared" si="120"/>
        <v>28.811923073975709</v>
      </c>
    </row>
    <row r="115" spans="14:47" x14ac:dyDescent="0.3">
      <c r="N115" s="8">
        <v>97</v>
      </c>
      <c r="O115" s="35">
        <f t="shared" si="97"/>
        <v>93.325430079699174</v>
      </c>
      <c r="P115" s="34" t="str">
        <f t="shared" si="88"/>
        <v>545.10556621881</v>
      </c>
      <c r="Q115" s="4" t="str">
        <f t="shared" si="89"/>
        <v>1+12.5267182493877i</v>
      </c>
      <c r="R115" s="4">
        <f t="shared" si="98"/>
        <v>12.566569543815163</v>
      </c>
      <c r="S115" s="4">
        <f t="shared" si="99"/>
        <v>1.4911358903569629</v>
      </c>
      <c r="T115" s="4" t="str">
        <f t="shared" si="90"/>
        <v>1+0.000293190485531491i</v>
      </c>
      <c r="U115" s="4">
        <f t="shared" si="100"/>
        <v>1.0000000429803295</v>
      </c>
      <c r="V115" s="4">
        <f t="shared" si="101"/>
        <v>2.9319047713054214E-4</v>
      </c>
      <c r="W115" t="str">
        <f t="shared" si="91"/>
        <v>1-0.000304566276370112i</v>
      </c>
      <c r="X115" s="4">
        <f t="shared" si="102"/>
        <v>1.0000000463803074</v>
      </c>
      <c r="Y115" s="4">
        <f t="shared" si="103"/>
        <v>-3.0456626695286063E-4</v>
      </c>
      <c r="Z115" t="str">
        <f t="shared" si="92"/>
        <v>0.999999442583302+0.00131890527640857i</v>
      </c>
      <c r="AA115" s="4">
        <f t="shared" si="104"/>
        <v>1.0000003123389727</v>
      </c>
      <c r="AB115" s="4">
        <f t="shared" si="105"/>
        <v>1.3189052468381883E-3</v>
      </c>
      <c r="AC115" s="48" t="str">
        <f t="shared" si="106"/>
        <v>3.39428705407451-43.2444208060887i</v>
      </c>
      <c r="AD115" s="20">
        <f t="shared" si="107"/>
        <v>32.745275618565977</v>
      </c>
      <c r="AE115" s="44">
        <f t="shared" si="108"/>
        <v>-85.512012686903191</v>
      </c>
      <c r="AF115" t="str">
        <f t="shared" si="93"/>
        <v>-0.0000333790427773504</v>
      </c>
      <c r="AG115" t="str">
        <f t="shared" si="94"/>
        <v>3.17818486316136E-06i</v>
      </c>
      <c r="AH115">
        <f t="shared" si="109"/>
        <v>3.1781848631613599E-6</v>
      </c>
      <c r="AI115">
        <f t="shared" si="110"/>
        <v>1.5707963267948966</v>
      </c>
      <c r="AJ115" t="str">
        <f t="shared" si="95"/>
        <v>1+0.0732218895231413i</v>
      </c>
      <c r="AK115">
        <f t="shared" si="111"/>
        <v>1.0026771390160141</v>
      </c>
      <c r="AL115">
        <f t="shared" si="112"/>
        <v>7.309145049136534E-2</v>
      </c>
      <c r="AM115" t="str">
        <f t="shared" si="96"/>
        <v>1+0.551198112799204i</v>
      </c>
      <c r="AN115">
        <f t="shared" si="113"/>
        <v>1.1418490966644428</v>
      </c>
      <c r="AO115">
        <f t="shared" si="114"/>
        <v>0.50376260180535504</v>
      </c>
      <c r="AP115" s="42" t="str">
        <f t="shared" si="115"/>
        <v>-4.99319802701548+10.8681605582125i</v>
      </c>
      <c r="AQ115">
        <f t="shared" si="116"/>
        <v>21.55484645393409</v>
      </c>
      <c r="AR115" s="44">
        <f t="shared" si="117"/>
        <v>114.67563932833151</v>
      </c>
      <c r="AS115" s="42" t="str">
        <f t="shared" si="118"/>
        <v>453.038961145948+252.817613332733i</v>
      </c>
      <c r="AT115" s="20">
        <f t="shared" si="119"/>
        <v>54.300122072500059</v>
      </c>
      <c r="AU115" s="44">
        <f t="shared" si="120"/>
        <v>29.163626641428312</v>
      </c>
    </row>
    <row r="116" spans="14:47" x14ac:dyDescent="0.3">
      <c r="N116" s="8">
        <v>98</v>
      </c>
      <c r="O116" s="35">
        <f t="shared" si="97"/>
        <v>95.499258602143655</v>
      </c>
      <c r="P116" s="34" t="str">
        <f t="shared" si="88"/>
        <v>545.10556621881</v>
      </c>
      <c r="Q116" s="4" t="str">
        <f t="shared" si="89"/>
        <v>1+12.8185030008739i</v>
      </c>
      <c r="R116" s="4">
        <f t="shared" si="98"/>
        <v>12.857449948703405</v>
      </c>
      <c r="S116" s="4">
        <f t="shared" si="99"/>
        <v>1.4929417801645297</v>
      </c>
      <c r="T116" s="4" t="str">
        <f t="shared" si="90"/>
        <v>1+0.000300019769247766i</v>
      </c>
      <c r="U116" s="4">
        <f t="shared" si="100"/>
        <v>1.0000000450059299</v>
      </c>
      <c r="V116" s="4">
        <f t="shared" si="101"/>
        <v>3.0001976024598715E-4</v>
      </c>
      <c r="W116" t="str">
        <f t="shared" si="91"/>
        <v>1-0.000311660536294579i</v>
      </c>
      <c r="X116" s="4">
        <f t="shared" si="102"/>
        <v>1.0000000485661438</v>
      </c>
      <c r="Y116" s="4">
        <f t="shared" si="103"/>
        <v>-3.1166052620381241E-4</v>
      </c>
      <c r="Z116" t="str">
        <f t="shared" si="92"/>
        <v>0.999999416313063+0.001349626526831i</v>
      </c>
      <c r="AA116" s="4">
        <f t="shared" si="104"/>
        <v>1.0000003270590609</v>
      </c>
      <c r="AB116" s="4">
        <f t="shared" si="105"/>
        <v>1.3496264951457606E-3</v>
      </c>
      <c r="AC116" s="48" t="str">
        <f t="shared" si="106"/>
        <v>3.23985329259769-42.2721031122675i</v>
      </c>
      <c r="AD116" s="20">
        <f t="shared" si="107"/>
        <v>32.546513459286615</v>
      </c>
      <c r="AE116" s="44">
        <f t="shared" si="108"/>
        <v>-85.617257931026089</v>
      </c>
      <c r="AF116" t="str">
        <f t="shared" si="93"/>
        <v>-0.0000333790427773504</v>
      </c>
      <c r="AG116" t="str">
        <f t="shared" si="94"/>
        <v>3.25221429864579E-06i</v>
      </c>
      <c r="AH116">
        <f t="shared" si="109"/>
        <v>3.2522142986457902E-6</v>
      </c>
      <c r="AI116">
        <f t="shared" si="110"/>
        <v>1.5707963267948966</v>
      </c>
      <c r="AJ116" t="str">
        <f t="shared" si="95"/>
        <v>1+0.0749274464305861i</v>
      </c>
      <c r="AK116">
        <f t="shared" si="111"/>
        <v>1.0028031323388495</v>
      </c>
      <c r="AL116">
        <f t="shared" si="112"/>
        <v>7.478769958210725E-2</v>
      </c>
      <c r="AM116" t="str">
        <f t="shared" si="96"/>
        <v>1+0.564037166185802i</v>
      </c>
      <c r="AN116">
        <f t="shared" si="113"/>
        <v>1.1481018791200153</v>
      </c>
      <c r="AO116">
        <f t="shared" si="114"/>
        <v>0.51355639224636995</v>
      </c>
      <c r="AP116" s="42" t="str">
        <f t="shared" si="115"/>
        <v>-4.99194340371069+10.6375155298583i</v>
      </c>
      <c r="AQ116">
        <f t="shared" si="116"/>
        <v>21.401189382558815</v>
      </c>
      <c r="AR116" s="44">
        <f t="shared" si="117"/>
        <v>115.13959427213506</v>
      </c>
      <c r="AS116" s="42" t="str">
        <f t="shared" si="118"/>
        <v>433.496989063544+245.483936006732i</v>
      </c>
      <c r="AT116" s="20">
        <f t="shared" si="119"/>
        <v>53.947702841845441</v>
      </c>
      <c r="AU116" s="44">
        <f t="shared" si="120"/>
        <v>29.522336341108925</v>
      </c>
    </row>
    <row r="117" spans="14:47" x14ac:dyDescent="0.3">
      <c r="N117" s="8">
        <v>99</v>
      </c>
      <c r="O117" s="35">
        <f t="shared" si="97"/>
        <v>97.723722095581124</v>
      </c>
      <c r="P117" s="34" t="str">
        <f t="shared" si="88"/>
        <v>545.10556621881</v>
      </c>
      <c r="Q117" s="4" t="str">
        <f t="shared" si="89"/>
        <v>1+13.117084292324i</v>
      </c>
      <c r="R117" s="4">
        <f t="shared" si="98"/>
        <v>13.155147294193744</v>
      </c>
      <c r="S117" s="4">
        <f t="shared" si="99"/>
        <v>1.4947070547153278</v>
      </c>
      <c r="T117" s="4" t="str">
        <f t="shared" si="90"/>
        <v>1+0.000307008127416928i</v>
      </c>
      <c r="U117" s="4">
        <f t="shared" si="100"/>
        <v>1.0000000471269941</v>
      </c>
      <c r="V117" s="4">
        <f t="shared" si="101"/>
        <v>3.0700811777134817E-4</v>
      </c>
      <c r="W117" t="str">
        <f t="shared" si="91"/>
        <v>1-0.000318920042760704i</v>
      </c>
      <c r="X117" s="4">
        <f t="shared" si="102"/>
        <v>1.0000000508549955</v>
      </c>
      <c r="Y117" s="4">
        <f t="shared" si="103"/>
        <v>-3.1892003194825279E-4</v>
      </c>
      <c r="Z117" t="str">
        <f t="shared" si="92"/>
        <v>0.999999388804745+0.00138106336710237i</v>
      </c>
      <c r="AA117" s="4">
        <f t="shared" si="104"/>
        <v>1.0000003424728852</v>
      </c>
      <c r="AB117" s="4">
        <f t="shared" si="105"/>
        <v>1.3810633331510203E-3</v>
      </c>
      <c r="AC117" s="48" t="str">
        <f t="shared" si="106"/>
        <v>3.09228797501378-41.3211201541117i</v>
      </c>
      <c r="AD117" s="20">
        <f t="shared" si="107"/>
        <v>32.347695909079462</v>
      </c>
      <c r="AE117" s="44">
        <f t="shared" si="108"/>
        <v>-85.720217446256171</v>
      </c>
      <c r="AF117" t="str">
        <f t="shared" si="93"/>
        <v>-0.0000333790427773504</v>
      </c>
      <c r="AG117" t="str">
        <f t="shared" si="94"/>
        <v>0.0000033279681011995i</v>
      </c>
      <c r="AH117">
        <f t="shared" si="109"/>
        <v>3.3279681011994999E-6</v>
      </c>
      <c r="AI117">
        <f t="shared" si="110"/>
        <v>1.5707963267948966</v>
      </c>
      <c r="AJ117" t="str">
        <f t="shared" si="95"/>
        <v>1+0.0766727308619103i</v>
      </c>
      <c r="AK117">
        <f t="shared" si="111"/>
        <v>1.0029350465796989</v>
      </c>
      <c r="AL117">
        <f t="shared" si="112"/>
        <v>7.6523013073087356E-2</v>
      </c>
      <c r="AM117" t="str">
        <f t="shared" si="96"/>
        <v>1+0.577175279543826i</v>
      </c>
      <c r="AN117">
        <f t="shared" si="113"/>
        <v>1.1546130535016887</v>
      </c>
      <c r="AO117">
        <f t="shared" si="114"/>
        <v>0.52346752341936553</v>
      </c>
      <c r="AP117" s="42" t="str">
        <f t="shared" si="115"/>
        <v>-4.99063032741428+10.4125018417859i</v>
      </c>
      <c r="AQ117">
        <f t="shared" si="116"/>
        <v>21.249167575053384</v>
      </c>
      <c r="AR117" s="44">
        <f t="shared" si="117"/>
        <v>115.60803411938288</v>
      </c>
      <c r="AS117" s="42" t="str">
        <f t="shared" si="118"/>
        <v>414.823773560142+238.416889639003i</v>
      </c>
      <c r="AT117" s="20">
        <f t="shared" si="119"/>
        <v>53.59686348413284</v>
      </c>
      <c r="AU117" s="44">
        <f t="shared" si="120"/>
        <v>29.88781667312676</v>
      </c>
    </row>
    <row r="118" spans="14:47" x14ac:dyDescent="0.3">
      <c r="N118" s="8">
        <v>100</v>
      </c>
      <c r="O118" s="35">
        <f t="shared" si="97"/>
        <v>100</v>
      </c>
      <c r="P118" s="34" t="str">
        <f t="shared" si="88"/>
        <v>545.10556621881</v>
      </c>
      <c r="Q118" s="4" t="str">
        <f t="shared" si="89"/>
        <v>1+13.4226204354911i</v>
      </c>
      <c r="R118" s="4">
        <f t="shared" si="98"/>
        <v>13.459819439920553</v>
      </c>
      <c r="S118" s="4">
        <f t="shared" si="99"/>
        <v>1.4964326059491875</v>
      </c>
      <c r="T118" s="4" t="str">
        <f t="shared" si="90"/>
        <v>1+0.000314159265358979i</v>
      </c>
      <c r="U118" s="4">
        <f t="shared" si="100"/>
        <v>1.0000000493480208</v>
      </c>
      <c r="V118" s="4">
        <f t="shared" si="101"/>
        <v>3.1415925502355403E-4</v>
      </c>
      <c r="W118" t="str">
        <f t="shared" si="91"/>
        <v>1-0.000326348644854907i</v>
      </c>
      <c r="X118" s="4">
        <f t="shared" si="102"/>
        <v>1.0000000532517177</v>
      </c>
      <c r="Y118" s="4">
        <f t="shared" si="103"/>
        <v>-3.2634863326915685E-4</v>
      </c>
      <c r="Z118" t="str">
        <f t="shared" si="92"/>
        <v>0.99999936+0.00141323246545152i</v>
      </c>
      <c r="AA118" s="4">
        <f t="shared" si="104"/>
        <v>1.0000003586131412</v>
      </c>
      <c r="AB118" s="4">
        <f t="shared" si="105"/>
        <v>1.413232429071989E-3</v>
      </c>
      <c r="AC118" s="48" t="str">
        <f t="shared" si="106"/>
        <v>2.95128914362058-40.3910388695362i</v>
      </c>
      <c r="AD118" s="20">
        <f t="shared" si="107"/>
        <v>32.148825431722422</v>
      </c>
      <c r="AE118" s="44">
        <f t="shared" si="108"/>
        <v>-85.820943300237076</v>
      </c>
      <c r="AF118" t="str">
        <f t="shared" si="93"/>
        <v>-0.0000333790427773504</v>
      </c>
      <c r="AG118" t="str">
        <f t="shared" si="94"/>
        <v>3.40548643649134E-06i</v>
      </c>
      <c r="AH118">
        <f t="shared" si="109"/>
        <v>3.4054864364913399E-6</v>
      </c>
      <c r="AI118">
        <f t="shared" si="110"/>
        <v>1.5707963267948966</v>
      </c>
      <c r="AJ118" t="str">
        <f t="shared" si="95"/>
        <v>1+0.0784586681900211i</v>
      </c>
      <c r="AK118">
        <f t="shared" si="111"/>
        <v>1.0030731591534845</v>
      </c>
      <c r="AL118">
        <f t="shared" si="112"/>
        <v>7.8298269222526126E-2</v>
      </c>
      <c r="AM118" t="str">
        <f t="shared" si="96"/>
        <v>1+0.590619418874883i</v>
      </c>
      <c r="AN118">
        <f t="shared" si="113"/>
        <v>1.1613919656826046</v>
      </c>
      <c r="AO118">
        <f t="shared" si="114"/>
        <v>0.53349346108487783</v>
      </c>
      <c r="AP118" s="42" t="str">
        <f t="shared" si="115"/>
        <v>-4.98925610791587+10.1929995660379i</v>
      </c>
      <c r="AQ118">
        <f t="shared" si="116"/>
        <v>21.09881862179304</v>
      </c>
      <c r="AR118" s="44">
        <f t="shared" si="117"/>
        <v>116.08076334836051</v>
      </c>
      <c r="AS118" s="42" t="str">
        <f t="shared" si="118"/>
        <v>396.981104282968+231.603726345078i</v>
      </c>
      <c r="AT118" s="20">
        <f t="shared" si="119"/>
        <v>53.247644053515472</v>
      </c>
      <c r="AU118" s="44">
        <f t="shared" si="120"/>
        <v>30.259820048123434</v>
      </c>
    </row>
    <row r="119" spans="14:47" x14ac:dyDescent="0.3">
      <c r="N119" s="8">
        <v>1</v>
      </c>
      <c r="O119" s="35">
        <f>10^(2+(N119/100))</f>
        <v>102.32929922807544</v>
      </c>
      <c r="P119" s="34" t="str">
        <f t="shared" si="88"/>
        <v>545.10556621881</v>
      </c>
      <c r="Q119" s="4" t="str">
        <f t="shared" si="89"/>
        <v>1+13.7352734296825i</v>
      </c>
      <c r="R119" s="4">
        <f t="shared" si="98"/>
        <v>13.771627942554288</v>
      </c>
      <c r="S119" s="4">
        <f t="shared" si="99"/>
        <v>1.4981193076502082</v>
      </c>
      <c r="T119" s="4" t="str">
        <f t="shared" si="90"/>
        <v>1+0.000321476974701913i</v>
      </c>
      <c r="U119" s="4">
        <f t="shared" si="100"/>
        <v>1.0000000516737213</v>
      </c>
      <c r="V119" s="4">
        <f t="shared" si="101"/>
        <v>3.2147696362730567E-4</v>
      </c>
      <c r="W119" t="str">
        <f t="shared" si="91"/>
        <v>1-0.000333950281320347i</v>
      </c>
      <c r="X119" s="4">
        <f t="shared" si="102"/>
        <v>1.0000000557613935</v>
      </c>
      <c r="Y119" s="4">
        <f t="shared" si="103"/>
        <v>-3.339502689059921E-4</v>
      </c>
      <c r="Z119" t="str">
        <f t="shared" si="92"/>
        <v>0.999999329837729+0.00144615087836019i</v>
      </c>
      <c r="AA119" s="4">
        <f t="shared" si="104"/>
        <v>1.0000003755140645</v>
      </c>
      <c r="AB119" s="4">
        <f t="shared" si="105"/>
        <v>1.4461508393788156E-3</v>
      </c>
      <c r="AC119" s="48" t="str">
        <f t="shared" si="106"/>
        <v>2.81656780774463-39.4814326177954i</v>
      </c>
      <c r="AD119" s="20">
        <f t="shared" si="107"/>
        <v>31.949904382602398</v>
      </c>
      <c r="AE119" s="44">
        <f t="shared" si="108"/>
        <v>-85.919486542802616</v>
      </c>
      <c r="AF119" t="str">
        <f t="shared" si="93"/>
        <v>-0.0000333790427773504</v>
      </c>
      <c r="AG119" t="str">
        <f t="shared" si="94"/>
        <v>3.48481040576874E-06i</v>
      </c>
      <c r="AH119">
        <f t="shared" si="109"/>
        <v>3.48481040576874E-6</v>
      </c>
      <c r="AI119">
        <f t="shared" si="110"/>
        <v>1.5707963267948966</v>
      </c>
      <c r="AJ119" t="str">
        <f t="shared" si="95"/>
        <v>1+0.0802862053425295i</v>
      </c>
      <c r="AK119">
        <f t="shared" si="111"/>
        <v>1.0032177603931773</v>
      </c>
      <c r="AL119">
        <f t="shared" si="112"/>
        <v>8.0114364511477881E-2</v>
      </c>
      <c r="AM119" t="str">
        <f t="shared" si="96"/>
        <v>1+0.604376712439599i</v>
      </c>
      <c r="AN119">
        <f t="shared" si="113"/>
        <v>1.1684482061860071</v>
      </c>
      <c r="AO119">
        <f t="shared" si="114"/>
        <v>0.54363145813748137</v>
      </c>
      <c r="AP119" s="42" t="str">
        <f t="shared" si="115"/>
        <v>-4.9878179343654+9.97889165324495i</v>
      </c>
      <c r="AQ119">
        <f t="shared" si="116"/>
        <v>20.950179546645046</v>
      </c>
      <c r="AR119" s="44">
        <f t="shared" si="117"/>
        <v>116.55757319694014</v>
      </c>
      <c r="AS119" s="42" t="str">
        <f t="shared" si="118"/>
        <v>379.932410983047+225.03242267298i</v>
      </c>
      <c r="AT119" s="20">
        <f t="shared" si="119"/>
        <v>52.900083929247444</v>
      </c>
      <c r="AU119" s="44">
        <f t="shared" si="120"/>
        <v>30.638086654137467</v>
      </c>
    </row>
    <row r="120" spans="14:47" x14ac:dyDescent="0.3">
      <c r="N120" s="8">
        <v>2</v>
      </c>
      <c r="O120" s="35">
        <f t="shared" ref="O120:O183" si="121">10^(2+(N120/100))</f>
        <v>104.71285480508998</v>
      </c>
      <c r="P120" s="34" t="str">
        <f t="shared" si="88"/>
        <v>545.10556621881</v>
      </c>
      <c r="Q120" s="4" t="str">
        <f t="shared" si="89"/>
        <v>1+14.0552090476542i</v>
      </c>
      <c r="R120" s="4">
        <f t="shared" si="98"/>
        <v>14.09073814153327</v>
      </c>
      <c r="S120" s="4">
        <f t="shared" si="99"/>
        <v>1.4997680157196236</v>
      </c>
      <c r="T120" s="4" t="str">
        <f t="shared" si="90"/>
        <v>1+0.000328965135392085i</v>
      </c>
      <c r="U120" s="4">
        <f t="shared" si="100"/>
        <v>1.0000000541090286</v>
      </c>
      <c r="V120" s="4">
        <f t="shared" si="101"/>
        <v>3.2896512352542949E-4</v>
      </c>
      <c r="W120" t="str">
        <f t="shared" si="91"/>
        <v>1-0.000341728982645297i</v>
      </c>
      <c r="X120" s="4">
        <f t="shared" si="102"/>
        <v>1.0000000583893471</v>
      </c>
      <c r="Y120" s="4">
        <f t="shared" si="103"/>
        <v>-3.4172896934307609E-4</v>
      </c>
      <c r="Z120" t="str">
        <f t="shared" si="92"/>
        <v>0.999999298253955+0.00147983605960664i</v>
      </c>
      <c r="AA120" s="4">
        <f t="shared" si="104"/>
        <v>1.0000003932115056</v>
      </c>
      <c r="AB120" s="4">
        <f t="shared" si="105"/>
        <v>1.4798360178373379E-3</v>
      </c>
      <c r="AC120" s="48" t="str">
        <f t="shared" si="106"/>
        <v>2.68784741396845-38.5918812548379i</v>
      </c>
      <c r="AD120" s="20">
        <f t="shared" si="107"/>
        <v>31.750935013373503</v>
      </c>
      <c r="AE120" s="44">
        <f t="shared" si="108"/>
        <v>-86.015897222133745</v>
      </c>
      <c r="AF120" t="str">
        <f t="shared" si="93"/>
        <v>-0.0000333790427773504</v>
      </c>
      <c r="AG120" t="str">
        <f t="shared" si="94"/>
        <v>3.56598206765021E-06i</v>
      </c>
      <c r="AH120">
        <f t="shared" si="109"/>
        <v>3.5659820676502101E-6</v>
      </c>
      <c r="AI120">
        <f t="shared" si="110"/>
        <v>1.5707963267948966</v>
      </c>
      <c r="AJ120" t="str">
        <f t="shared" si="95"/>
        <v>1+0.0821563113038241i</v>
      </c>
      <c r="AK120">
        <f t="shared" si="111"/>
        <v>1.0033691541437033</v>
      </c>
      <c r="AL120">
        <f t="shared" si="112"/>
        <v>8.1972213912170855E-2</v>
      </c>
      <c r="AM120" t="str">
        <f t="shared" si="96"/>
        <v>1+0.618454454537122i</v>
      </c>
      <c r="AN120">
        <f t="shared" si="113"/>
        <v>1.1757916109314648</v>
      </c>
      <c r="AO120">
        <f t="shared" si="114"/>
        <v>0.55387855358935301</v>
      </c>
      <c r="AP120" s="42" t="str">
        <f t="shared" si="115"/>
        <v>-4.98631287016788+9.77006386755137i</v>
      </c>
      <c r="AQ120">
        <f t="shared" si="116"/>
        <v>20.803286695258528</v>
      </c>
      <c r="AR120" s="44">
        <f t="shared" si="117"/>
        <v>117.03824158896953</v>
      </c>
      <c r="AS120" s="42" t="str">
        <f t="shared" si="118"/>
        <v>363.642696475406+218.691635085693i</v>
      </c>
      <c r="AT120" s="20">
        <f t="shared" si="119"/>
        <v>52.554221708632021</v>
      </c>
      <c r="AU120" s="44">
        <f t="shared" si="120"/>
        <v>31.022344366835778</v>
      </c>
    </row>
    <row r="121" spans="14:47" x14ac:dyDescent="0.3">
      <c r="N121" s="8">
        <v>3</v>
      </c>
      <c r="O121" s="35">
        <f t="shared" si="121"/>
        <v>107.15193052376065</v>
      </c>
      <c r="P121" s="34" t="str">
        <f t="shared" si="88"/>
        <v>545.10556621881</v>
      </c>
      <c r="Q121" s="4" t="str">
        <f t="shared" si="89"/>
        <v>1+14.3825969235056i</v>
      </c>
      <c r="R121" s="4">
        <f t="shared" si="98"/>
        <v>14.417319246795943</v>
      </c>
      <c r="S121" s="4">
        <f t="shared" si="99"/>
        <v>1.5013795684515137</v>
      </c>
      <c r="T121" s="4" t="str">
        <f t="shared" si="90"/>
        <v>1+0.00033662771775141i</v>
      </c>
      <c r="U121" s="4">
        <f t="shared" si="100"/>
        <v>1.0000000566591085</v>
      </c>
      <c r="V121" s="4">
        <f t="shared" si="101"/>
        <v>3.3662770503605958E-4</v>
      </c>
      <c r="W121" t="str">
        <f t="shared" si="91"/>
        <v>1-0.000349688873200164i</v>
      </c>
      <c r="X121" s="4">
        <f t="shared" si="102"/>
        <v>1.0000000611411521</v>
      </c>
      <c r="Y121" s="4">
        <f t="shared" si="103"/>
        <v>-3.4968885894657751E-4</v>
      </c>
      <c r="Z121" t="str">
        <f t="shared" si="92"/>
        <v>0.999999265181682+0.00151430586951984i</v>
      </c>
      <c r="AA121" s="4">
        <f t="shared" si="104"/>
        <v>1.0000004117430006</v>
      </c>
      <c r="AB121" s="4">
        <f t="shared" si="105"/>
        <v>1.5143058247632213E-3</v>
      </c>
      <c r="AC121" s="48" t="str">
        <f t="shared" si="106"/>
        <v>2.5648633355929-37.7219711930025i</v>
      </c>
      <c r="AD121" s="20">
        <f t="shared" si="107"/>
        <v>31.551919476425528</v>
      </c>
      <c r="AE121" s="44">
        <f t="shared" si="108"/>
        <v>-86.110224401090264</v>
      </c>
      <c r="AF121" t="str">
        <f t="shared" si="93"/>
        <v>-0.0000333790427773504</v>
      </c>
      <c r="AG121" t="str">
        <f t="shared" si="94"/>
        <v>3.64904446042529E-06i</v>
      </c>
      <c r="AH121">
        <f t="shared" si="109"/>
        <v>3.6490444604252902E-6</v>
      </c>
      <c r="AI121">
        <f t="shared" si="110"/>
        <v>1.5707963267948966</v>
      </c>
      <c r="AJ121" t="str">
        <f t="shared" si="95"/>
        <v>1+0.0840699776288393i</v>
      </c>
      <c r="AK121">
        <f t="shared" si="111"/>
        <v>1.0035276583824253</v>
      </c>
      <c r="AL121">
        <f t="shared" si="112"/>
        <v>8.3872751151873412E-2</v>
      </c>
      <c r="AM121" t="str">
        <f t="shared" si="96"/>
        <v>1+0.632860109372653i</v>
      </c>
      <c r="AN121">
        <f t="shared" si="113"/>
        <v>1.1834322617011783</v>
      </c>
      <c r="AO121">
        <f t="shared" si="114"/>
        <v>0.56423157235839394</v>
      </c>
      <c r="AP121" s="42" t="str">
        <f t="shared" si="115"/>
        <v>-4.98473784769184+9.56640472283136i</v>
      </c>
      <c r="AQ121">
        <f t="shared" si="116"/>
        <v>20.658175620456099</v>
      </c>
      <c r="AR121" s="44">
        <f t="shared" si="117"/>
        <v>117.52253310701303</v>
      </c>
      <c r="AS121" s="42" t="str">
        <f t="shared" si="118"/>
        <v>348.078472032161+212.570658222334i</v>
      </c>
      <c r="AT121" s="20">
        <f t="shared" si="119"/>
        <v>52.210095096881645</v>
      </c>
      <c r="AU121" s="44">
        <f t="shared" si="120"/>
        <v>31.412308705922761</v>
      </c>
    </row>
    <row r="122" spans="14:47" x14ac:dyDescent="0.3">
      <c r="N122" s="8">
        <v>4</v>
      </c>
      <c r="O122" s="35">
        <f t="shared" si="121"/>
        <v>109.64781961431861</v>
      </c>
      <c r="P122" s="34" t="str">
        <f t="shared" si="88"/>
        <v>545.10556621881</v>
      </c>
      <c r="Q122" s="4" t="str">
        <f t="shared" si="89"/>
        <v>1+14.717610642622i</v>
      </c>
      <c r="R122" s="4">
        <f t="shared" si="98"/>
        <v>14.751544428561383</v>
      </c>
      <c r="S122" s="4">
        <f t="shared" si="99"/>
        <v>1.5029547868107305</v>
      </c>
      <c r="T122" s="4" t="str">
        <f t="shared" si="90"/>
        <v>1+0.000344468784582482i</v>
      </c>
      <c r="U122" s="4">
        <f t="shared" si="100"/>
        <v>1.0000000593293701</v>
      </c>
      <c r="V122" s="4">
        <f t="shared" si="101"/>
        <v>3.4446877095773858E-4</v>
      </c>
      <c r="W122" t="str">
        <f t="shared" si="91"/>
        <v>1-0.000357834173424281i</v>
      </c>
      <c r="X122" s="4">
        <f t="shared" si="102"/>
        <v>1.0000000640226459</v>
      </c>
      <c r="Y122" s="4">
        <f t="shared" si="103"/>
        <v>-3.5783415815128798E-4</v>
      </c>
      <c r="Z122" t="str">
        <f t="shared" si="92"/>
        <v>0.999999230550762+0.00154957858444927i</v>
      </c>
      <c r="AA122" s="4">
        <f t="shared" si="104"/>
        <v>1.0000004311478599</v>
      </c>
      <c r="AB122" s="4">
        <f t="shared" si="105"/>
        <v>1.5495785364916814E-3</v>
      </c>
      <c r="AC122" s="48" t="str">
        <f t="shared" si="106"/>
        <v>2.44736238085694-36.8712954462449i</v>
      </c>
      <c r="AD122" s="20">
        <f t="shared" si="107"/>
        <v>31.352859829167752</v>
      </c>
      <c r="AE122" s="44">
        <f t="shared" si="108"/>
        <v>-86.202516173682042</v>
      </c>
      <c r="AF122" t="str">
        <f t="shared" si="93"/>
        <v>-0.0000333790427773504</v>
      </c>
      <c r="AG122" t="str">
        <f t="shared" si="94"/>
        <v>3.73404162487411E-06i</v>
      </c>
      <c r="AH122">
        <f t="shared" si="109"/>
        <v>3.73404162487411E-6</v>
      </c>
      <c r="AI122">
        <f t="shared" si="110"/>
        <v>1.5707963267948966</v>
      </c>
      <c r="AJ122" t="str">
        <f t="shared" si="95"/>
        <v>1+0.0860282189687911i</v>
      </c>
      <c r="AK122">
        <f t="shared" si="111"/>
        <v>1.0036936058673196</v>
      </c>
      <c r="AL122">
        <f t="shared" si="112"/>
        <v>8.5816928971468989E-2</v>
      </c>
      <c r="AM122" t="str">
        <f t="shared" si="96"/>
        <v>1+0.647601315015068i</v>
      </c>
      <c r="AN122">
        <f t="shared" si="113"/>
        <v>1.1913804863305615</v>
      </c>
      <c r="AO122">
        <f t="shared" si="114"/>
        <v>0.57468712590489557</v>
      </c>
      <c r="AP122" s="42" t="str">
        <f t="shared" si="115"/>
        <v>-4.98308966278727+9.36780542014671i</v>
      </c>
      <c r="AQ122">
        <f t="shared" si="116"/>
        <v>20.514880965225188</v>
      </c>
      <c r="AR122" s="44">
        <f t="shared" si="117"/>
        <v>118.01019901401479</v>
      </c>
      <c r="AS122" s="42" t="str">
        <f t="shared" si="118"/>
        <v>333.207695148021+206.659385768213i</v>
      </c>
      <c r="AT122" s="20">
        <f t="shared" si="119"/>
        <v>51.867740794392944</v>
      </c>
      <c r="AU122" s="44">
        <f t="shared" si="120"/>
        <v>31.807682840332713</v>
      </c>
    </row>
    <row r="123" spans="14:47" x14ac:dyDescent="0.3">
      <c r="N123" s="8">
        <v>5</v>
      </c>
      <c r="O123" s="35">
        <f t="shared" si="121"/>
        <v>112.20184543019634</v>
      </c>
      <c r="P123" s="34" t="str">
        <f t="shared" si="88"/>
        <v>545.10556621881</v>
      </c>
      <c r="Q123" s="4" t="str">
        <f t="shared" si="89"/>
        <v>1+15.0604278337117i</v>
      </c>
      <c r="R123" s="4">
        <f t="shared" si="98"/>
        <v>15.093590909205075</v>
      </c>
      <c r="S123" s="4">
        <f t="shared" si="99"/>
        <v>1.5044944747124458</v>
      </c>
      <c r="T123" s="4" t="str">
        <f t="shared" si="90"/>
        <v>1+0.000352492493322723i</v>
      </c>
      <c r="U123" s="4">
        <f t="shared" si="100"/>
        <v>1.000000062125477</v>
      </c>
      <c r="V123" s="4">
        <f t="shared" si="101"/>
        <v>3.5249247872354744E-4</v>
      </c>
      <c r="W123" t="str">
        <f t="shared" si="91"/>
        <v>1-0.000366169202063643i</v>
      </c>
      <c r="X123" s="4">
        <f t="shared" si="102"/>
        <v>1.00000006703994</v>
      </c>
      <c r="Y123" s="4">
        <f t="shared" si="103"/>
        <v>-3.6616918569833622E-4</v>
      </c>
      <c r="Z123" t="str">
        <f t="shared" si="92"/>
        <v>0.999999194287736+0.00158567290645527i</v>
      </c>
      <c r="AA123" s="4">
        <f t="shared" si="104"/>
        <v>1.0000004514672418</v>
      </c>
      <c r="AB123" s="4">
        <f t="shared" si="105"/>
        <v>1.5856728550677809E-3</v>
      </c>
      <c r="AC123" s="48" t="str">
        <f t="shared" si="106"/>
        <v>2.33510231942865-36.0394536620281i</v>
      </c>
      <c r="AD123" s="20">
        <f t="shared" si="107"/>
        <v>31.153758038136647</v>
      </c>
      <c r="AE123" s="44">
        <f t="shared" si="108"/>
        <v>-86.292819681646023</v>
      </c>
      <c r="AF123" t="str">
        <f t="shared" si="93"/>
        <v>-0.0000333790427773504</v>
      </c>
      <c r="AG123" t="str">
        <f t="shared" si="94"/>
        <v>3.82101862761831E-06i</v>
      </c>
      <c r="AH123">
        <f t="shared" si="109"/>
        <v>3.8210186276183097E-6</v>
      </c>
      <c r="AI123">
        <f t="shared" si="110"/>
        <v>1.5707963267948966</v>
      </c>
      <c r="AJ123" t="str">
        <f t="shared" si="95"/>
        <v>1+0.0880320736091581i</v>
      </c>
      <c r="AK123">
        <f t="shared" si="111"/>
        <v>1.0038673448140087</v>
      </c>
      <c r="AL123">
        <f t="shared" si="112"/>
        <v>8.7805719377856389E-2</v>
      </c>
      <c r="AM123" t="str">
        <f t="shared" si="96"/>
        <v>1+0.66268588744672i</v>
      </c>
      <c r="AN123">
        <f t="shared" si="113"/>
        <v>1.1996468586300915</v>
      </c>
      <c r="AO123">
        <f t="shared" si="114"/>
        <v>0.58524161375626071</v>
      </c>
      <c r="AP123" s="42" t="str">
        <f t="shared" si="115"/>
        <v>-4.98136496911007+9.17415978640074i</v>
      </c>
      <c r="AQ123">
        <f t="shared" si="116"/>
        <v>20.373436343859531</v>
      </c>
      <c r="AR123" s="44">
        <f t="shared" si="117"/>
        <v>118.50097732619787</v>
      </c>
      <c r="AS123" s="42" t="str">
        <f t="shared" si="118"/>
        <v>318.999709616742+200.948273773926i</v>
      </c>
      <c r="AT123" s="20">
        <f t="shared" si="119"/>
        <v>51.527194381996189</v>
      </c>
      <c r="AU123" s="44">
        <f t="shared" si="120"/>
        <v>32.208157644551839</v>
      </c>
    </row>
    <row r="124" spans="14:47" x14ac:dyDescent="0.3">
      <c r="N124" s="8">
        <v>6</v>
      </c>
      <c r="O124" s="35">
        <f t="shared" si="121"/>
        <v>114.81536214968835</v>
      </c>
      <c r="P124" s="34" t="str">
        <f t="shared" si="88"/>
        <v>545.10556621881</v>
      </c>
      <c r="Q124" s="4" t="str">
        <f t="shared" si="89"/>
        <v>1+15.4112302629872i</v>
      </c>
      <c r="R124" s="4">
        <f t="shared" si="98"/>
        <v>15.443640057279646</v>
      </c>
      <c r="S124" s="4">
        <f t="shared" si="99"/>
        <v>1.5059994193027852</v>
      </c>
      <c r="T124" s="4" t="str">
        <f t="shared" si="90"/>
        <v>1+0.000360703098248712i</v>
      </c>
      <c r="U124" s="4">
        <f t="shared" si="100"/>
        <v>1.0000000650533605</v>
      </c>
      <c r="V124" s="4">
        <f t="shared" si="101"/>
        <v>3.6070308260541359E-4</v>
      </c>
      <c r="W124" t="str">
        <f t="shared" si="91"/>
        <v>1-0.000374698378460761i</v>
      </c>
      <c r="X124" s="4">
        <f t="shared" si="102"/>
        <v>1.0000000701994349</v>
      </c>
      <c r="Y124" s="4">
        <f t="shared" si="103"/>
        <v>-3.746983609250189E-4</v>
      </c>
      <c r="Z124" t="str">
        <f t="shared" si="92"/>
        <v>0.999999156315687+0.00162260797322513i</v>
      </c>
      <c r="AA124" s="4">
        <f t="shared" si="104"/>
        <v>1.0000004727442486</v>
      </c>
      <c r="AB124" s="4">
        <f t="shared" si="105"/>
        <v>1.6226079181624338E-3</v>
      </c>
      <c r="AC124" s="48" t="str">
        <f t="shared" si="106"/>
        <v>2.22785142667173-35.2260521409198i</v>
      </c>
      <c r="AD124" s="20">
        <f t="shared" si="107"/>
        <v>30.954615982931681</v>
      </c>
      <c r="AE124" s="44">
        <f t="shared" si="108"/>
        <v>-86.381181131098415</v>
      </c>
      <c r="AF124" t="str">
        <f t="shared" si="93"/>
        <v>-0.0000333790427773504</v>
      </c>
      <c r="AG124" t="str">
        <f t="shared" si="94"/>
        <v>3.91002158501604E-06i</v>
      </c>
      <c r="AH124">
        <f t="shared" si="109"/>
        <v>3.9100215850160399E-6</v>
      </c>
      <c r="AI124">
        <f t="shared" si="110"/>
        <v>1.5707963267948966</v>
      </c>
      <c r="AJ124" t="str">
        <f t="shared" si="95"/>
        <v>1+0.090082604020195i</v>
      </c>
      <c r="AK124">
        <f t="shared" si="111"/>
        <v>1.0040492396028491</v>
      </c>
      <c r="AL124">
        <f t="shared" si="112"/>
        <v>8.9840113889227136E-2</v>
      </c>
      <c r="AM124" t="str">
        <f t="shared" si="96"/>
        <v>1+0.678121824707581i</v>
      </c>
      <c r="AN124">
        <f t="shared" si="113"/>
        <v>1.2082421980483629</v>
      </c>
      <c r="AO124">
        <f t="shared" si="114"/>
        <v>0.59589122595411048</v>
      </c>
      <c r="AP124" s="42" t="str">
        <f t="shared" si="115"/>
        <v>-4.97956027224903+8.98536421414044i</v>
      </c>
      <c r="AQ124">
        <f t="shared" si="116"/>
        <v>20.233874221845603</v>
      </c>
      <c r="AR124" s="44">
        <f t="shared" si="117"/>
        <v>118.9945929392196</v>
      </c>
      <c r="AS124" s="42" t="str">
        <f t="shared" si="118"/>
        <v>305.425187855738+195.428306272735i</v>
      </c>
      <c r="AT124" s="20">
        <f t="shared" si="119"/>
        <v>51.188490204777281</v>
      </c>
      <c r="AU124" s="44">
        <f t="shared" si="120"/>
        <v>32.613411808121207</v>
      </c>
    </row>
    <row r="125" spans="14:47" x14ac:dyDescent="0.3">
      <c r="N125" s="8">
        <v>7</v>
      </c>
      <c r="O125" s="35">
        <f t="shared" si="121"/>
        <v>117.48975549395293</v>
      </c>
      <c r="P125" s="34" t="str">
        <f t="shared" si="88"/>
        <v>545.10556621881</v>
      </c>
      <c r="Q125" s="4" t="str">
        <f t="shared" si="89"/>
        <v>1+15.7702039305399i</v>
      </c>
      <c r="R125" s="4">
        <f t="shared" si="98"/>
        <v>15.801877483730095</v>
      </c>
      <c r="S125" s="4">
        <f t="shared" si="99"/>
        <v>1.5074703912400449</v>
      </c>
      <c r="T125" s="4" t="str">
        <f t="shared" si="90"/>
        <v>1+0.000369104952731863i</v>
      </c>
      <c r="U125" s="4">
        <f t="shared" si="100"/>
        <v>1.0000000681192307</v>
      </c>
      <c r="V125" s="4">
        <f t="shared" si="101"/>
        <v>3.6910493596976684E-4</v>
      </c>
      <c r="W125" t="str">
        <f t="shared" si="91"/>
        <v>1-0.000383426224897859i</v>
      </c>
      <c r="X125" s="4">
        <f t="shared" si="102"/>
        <v>1.0000000735078323</v>
      </c>
      <c r="Y125" s="4">
        <f t="shared" si="103"/>
        <v>-3.8342620610797289E-4</v>
      </c>
      <c r="Z125" t="str">
        <f t="shared" si="92"/>
        <v>0.999999116554071+0.00166040336822015i</v>
      </c>
      <c r="AA125" s="4">
        <f t="shared" si="104"/>
        <v>1.0000004950240113</v>
      </c>
      <c r="AB125" s="4">
        <f t="shared" si="105"/>
        <v>1.660403309219397E-3</v>
      </c>
      <c r="AC125" s="48" t="str">
        <f t="shared" si="106"/>
        <v>2.12538804518885-34.4307038448985i</v>
      </c>
      <c r="AD125" s="20">
        <f t="shared" si="107"/>
        <v>30.755435459988817</v>
      </c>
      <c r="AE125" s="44">
        <f t="shared" si="108"/>
        <v>-86.467645809233574</v>
      </c>
      <c r="AF125" t="str">
        <f t="shared" si="93"/>
        <v>-0.0000333790427773504</v>
      </c>
      <c r="AG125" t="str">
        <f t="shared" si="94"/>
        <v>0.0000040010976876134i</v>
      </c>
      <c r="AH125">
        <f t="shared" si="109"/>
        <v>4.0010976876134004E-6</v>
      </c>
      <c r="AI125">
        <f t="shared" si="110"/>
        <v>1.5707963267948966</v>
      </c>
      <c r="AJ125" t="str">
        <f t="shared" si="95"/>
        <v>1+0.0921808974202676i</v>
      </c>
      <c r="AK125">
        <f t="shared" si="111"/>
        <v>1.0042396715173156</v>
      </c>
      <c r="AL125">
        <f t="shared" si="112"/>
        <v>9.1921123772194982E-2</v>
      </c>
      <c r="AM125" t="str">
        <f t="shared" si="96"/>
        <v>1+0.693917311135905i</v>
      </c>
      <c r="AN125">
        <f t="shared" si="113"/>
        <v>1.2171775690892781</v>
      </c>
      <c r="AO125">
        <f t="shared" si="114"/>
        <v>0.60663194645214169</v>
      </c>
      <c r="AP125" s="42" t="str">
        <f t="shared" si="115"/>
        <v>-4.97767192365305+8.80131760246053i</v>
      </c>
      <c r="AQ125">
        <f t="shared" si="116"/>
        <v>20.096225795133286</v>
      </c>
      <c r="AR125" s="44">
        <f t="shared" si="117"/>
        <v>119.49075780926736</v>
      </c>
      <c r="AS125" s="42" t="str">
        <f t="shared" si="118"/>
        <v>292.456075415806+190.090963054544i</v>
      </c>
      <c r="AT125" s="20">
        <f t="shared" si="119"/>
        <v>50.851661255122096</v>
      </c>
      <c r="AU125" s="44">
        <f t="shared" si="120"/>
        <v>33.023112000033784</v>
      </c>
    </row>
    <row r="126" spans="14:47" x14ac:dyDescent="0.3">
      <c r="N126" s="8">
        <v>8</v>
      </c>
      <c r="O126" s="35">
        <f t="shared" si="121"/>
        <v>120.22644346174135</v>
      </c>
      <c r="P126" s="34" t="str">
        <f t="shared" si="88"/>
        <v>545.10556621881</v>
      </c>
      <c r="Q126" s="4" t="str">
        <f t="shared" si="89"/>
        <v>1+16.1375391689599i</v>
      </c>
      <c r="R126" s="4">
        <f t="shared" si="98"/>
        <v>16.168493140355256</v>
      </c>
      <c r="S126" s="4">
        <f t="shared" si="99"/>
        <v>1.5089081449760404</v>
      </c>
      <c r="T126" s="4" t="str">
        <f t="shared" si="90"/>
        <v>1+0.000377702511546636i</v>
      </c>
      <c r="U126" s="4">
        <f t="shared" si="100"/>
        <v>1.0000000713295911</v>
      </c>
      <c r="V126" s="4">
        <f t="shared" si="101"/>
        <v>3.7770249358572643E-4</v>
      </c>
      <c r="W126" t="str">
        <f t="shared" si="91"/>
        <v>1-0.000392357368994644i</v>
      </c>
      <c r="X126" s="4">
        <f t="shared" si="102"/>
        <v>1.0000000769721495</v>
      </c>
      <c r="Y126" s="4">
        <f t="shared" si="103"/>
        <v>-3.9235734886091837E-4</v>
      </c>
      <c r="Z126" t="str">
        <f t="shared" si="92"/>
        <v>0.999999074918547+0.00169907913105904i</v>
      </c>
      <c r="AA126" s="4">
        <f t="shared" si="104"/>
        <v>1.0000005183537872</v>
      </c>
      <c r="AB126" s="4">
        <f t="shared" si="105"/>
        <v>1.6990790678385831E-3</v>
      </c>
      <c r="AC126" s="48" t="str">
        <f t="shared" si="106"/>
        <v>2.02750016313836-33.6530283952796i</v>
      </c>
      <c r="AD126" s="20">
        <f t="shared" si="107"/>
        <v>30.556218186194958</v>
      </c>
      <c r="AE126" s="44">
        <f t="shared" si="108"/>
        <v>-86.552258101044103</v>
      </c>
      <c r="AF126" t="str">
        <f t="shared" si="93"/>
        <v>-0.0000333790427773504</v>
      </c>
      <c r="AG126" t="str">
        <f t="shared" si="94"/>
        <v>4.09429522516553E-06i</v>
      </c>
      <c r="AH126">
        <f t="shared" si="109"/>
        <v>4.0942952251655304E-6</v>
      </c>
      <c r="AI126">
        <f t="shared" si="110"/>
        <v>1.5707963267948966</v>
      </c>
      <c r="AJ126" t="str">
        <f t="shared" si="95"/>
        <v>1+0.094328066352311i</v>
      </c>
      <c r="AK126">
        <f t="shared" si="111"/>
        <v>1.0044390395149752</v>
      </c>
      <c r="AL126">
        <f t="shared" si="112"/>
        <v>9.4049780269681818E-2</v>
      </c>
      <c r="AM126" t="str">
        <f t="shared" si="96"/>
        <v>1+0.710080721707676i</v>
      </c>
      <c r="AN126">
        <f t="shared" si="113"/>
        <v>1.226464280499393</v>
      </c>
      <c r="AO126">
        <f t="shared" si="114"/>
        <v>0.61745955748648773</v>
      </c>
      <c r="AP126" s="42" t="str">
        <f t="shared" si="115"/>
        <v>-4.97569611435588+8.62192129896099i</v>
      </c>
      <c r="AQ126">
        <f t="shared" si="116"/>
        <v>19.960520869466652</v>
      </c>
      <c r="AR126" s="44">
        <f t="shared" si="117"/>
        <v>119.98917119040568</v>
      </c>
      <c r="AS126" s="42" t="str">
        <f t="shared" si="118"/>
        <v>280.065537612217+184.92818946291i</v>
      </c>
      <c r="AT126" s="20">
        <f t="shared" si="119"/>
        <v>50.51673905566161</v>
      </c>
      <c r="AU126" s="44">
        <f t="shared" si="120"/>
        <v>33.436913089361497</v>
      </c>
    </row>
    <row r="127" spans="14:47" x14ac:dyDescent="0.3">
      <c r="N127" s="8">
        <v>9</v>
      </c>
      <c r="O127" s="35">
        <f t="shared" si="121"/>
        <v>123.02687708123821</v>
      </c>
      <c r="P127" s="34" t="str">
        <f t="shared" si="88"/>
        <v>545.10556621881</v>
      </c>
      <c r="Q127" s="4" t="str">
        <f t="shared" si="89"/>
        <v>1+16.5134307442528i</v>
      </c>
      <c r="R127" s="4">
        <f t="shared" si="98"/>
        <v>16.543681420567601</v>
      </c>
      <c r="S127" s="4">
        <f t="shared" si="99"/>
        <v>1.5103134190371623</v>
      </c>
      <c r="T127" s="4" t="str">
        <f t="shared" si="90"/>
        <v>1+0.000386500333232513i</v>
      </c>
      <c r="U127" s="4">
        <f t="shared" si="100"/>
        <v>1.000000074691251</v>
      </c>
      <c r="V127" s="4">
        <f t="shared" si="101"/>
        <v>3.8650031398705176E-4</v>
      </c>
      <c r="W127" t="str">
        <f t="shared" si="91"/>
        <v>1-0.000401496546161933i</v>
      </c>
      <c r="X127" s="4">
        <f t="shared" si="102"/>
        <v>1.0000000805997351</v>
      </c>
      <c r="Y127" s="4">
        <f t="shared" si="103"/>
        <v>-4.0149652458825737E-4</v>
      </c>
      <c r="Z127" t="str">
        <f t="shared" si="92"/>
        <v>0.999999031320801+0.00173865576814319i</v>
      </c>
      <c r="AA127" s="4">
        <f t="shared" si="104"/>
        <v>1.0000005427830629</v>
      </c>
      <c r="AB127" s="4">
        <f t="shared" si="105"/>
        <v>1.7386557004012376E-3</v>
      </c>
      <c r="AC127" s="48" t="str">
        <f t="shared" si="106"/>
        <v>1.93398500882217-32.8926520611339i</v>
      </c>
      <c r="AD127" s="20">
        <f t="shared" si="107"/>
        <v>30.356965802350963</v>
      </c>
      <c r="AE127" s="44">
        <f t="shared" si="108"/>
        <v>-86.635061506038255</v>
      </c>
      <c r="AF127" t="str">
        <f t="shared" si="93"/>
        <v>-0.0000333790427773504</v>
      </c>
      <c r="AG127" t="str">
        <f t="shared" si="94"/>
        <v>4.18966361224044E-06i</v>
      </c>
      <c r="AH127">
        <f t="shared" si="109"/>
        <v>4.1896636122404401E-6</v>
      </c>
      <c r="AI127">
        <f t="shared" si="110"/>
        <v>1.5707963267948966</v>
      </c>
      <c r="AJ127" t="str">
        <f t="shared" si="95"/>
        <v>1+0.0965252492737138i</v>
      </c>
      <c r="AK127">
        <f t="shared" si="111"/>
        <v>1.0046477610323692</v>
      </c>
      <c r="AL127">
        <f t="shared" si="112"/>
        <v>9.6227134818377899E-2</v>
      </c>
      <c r="AM127" t="str">
        <f t="shared" si="96"/>
        <v>1+0.726620626477125i</v>
      </c>
      <c r="AN127">
        <f t="shared" si="113"/>
        <v>1.2361138842444939</v>
      </c>
      <c r="AO127">
        <f t="shared" si="114"/>
        <v>0.62836964493301983</v>
      </c>
      <c r="AP127" s="42" t="str">
        <f t="shared" si="115"/>
        <v>-4.97362886849624+8.44707904271102i</v>
      </c>
      <c r="AQ127">
        <f t="shared" si="116"/>
        <v>19.826787740484537</v>
      </c>
      <c r="AR127" s="44">
        <f t="shared" si="117"/>
        <v>120.48951992906679</v>
      </c>
      <c r="AS127" s="42" t="str">
        <f t="shared" si="118"/>
        <v>268.227908213673+179.932368089597i</v>
      </c>
      <c r="AT127" s="20">
        <f t="shared" si="119"/>
        <v>50.183753542835504</v>
      </c>
      <c r="AU127" s="44">
        <f t="shared" si="120"/>
        <v>33.854458423028518</v>
      </c>
    </row>
    <row r="128" spans="14:47" x14ac:dyDescent="0.3">
      <c r="N128" s="8">
        <v>10</v>
      </c>
      <c r="O128" s="35">
        <f t="shared" si="121"/>
        <v>125.89254117941677</v>
      </c>
      <c r="P128" s="34" t="str">
        <f t="shared" si="88"/>
        <v>545.10556621881</v>
      </c>
      <c r="Q128" s="4" t="str">
        <f t="shared" si="89"/>
        <v>1+16.8980779591075i</v>
      </c>
      <c r="R128" s="4">
        <f t="shared" si="98"/>
        <v>16.927641262505379</v>
      </c>
      <c r="S128" s="4">
        <f t="shared" si="99"/>
        <v>1.511686936304756</v>
      </c>
      <c r="T128" s="4" t="str">
        <f t="shared" si="90"/>
        <v>1+0.000395503082511006i</v>
      </c>
      <c r="U128" s="4">
        <f t="shared" si="100"/>
        <v>1.0000000782113412</v>
      </c>
      <c r="V128" s="4">
        <f t="shared" si="101"/>
        <v>3.955030618891228E-4</v>
      </c>
      <c r="W128" t="str">
        <f t="shared" si="91"/>
        <v>1-0.000410848602112432i</v>
      </c>
      <c r="X128" s="4">
        <f t="shared" si="102"/>
        <v>1.0000000843982833</v>
      </c>
      <c r="Y128" s="4">
        <f t="shared" si="103"/>
        <v>-4.1084857899582221E-4</v>
      </c>
      <c r="Z128" t="str">
        <f t="shared" si="92"/>
        <v>0.999998985668357+0.00177915426352944i</v>
      </c>
      <c r="AA128" s="4">
        <f t="shared" si="104"/>
        <v>1.0000005683636568</v>
      </c>
      <c r="AB128" s="4">
        <f t="shared" si="105"/>
        <v>1.7791541909426157E-3</v>
      </c>
      <c r="AC128" s="48" t="str">
        <f t="shared" si="106"/>
        <v>1.84464866104348-32.1492077390066i</v>
      </c>
      <c r="AD128" s="20">
        <f t="shared" si="107"/>
        <v>30.157679876489077</v>
      </c>
      <c r="AE128" s="44">
        <f t="shared" si="108"/>
        <v>-86.716098654932907</v>
      </c>
      <c r="AF128" t="str">
        <f t="shared" si="93"/>
        <v>-0.0000333790427773504</v>
      </c>
      <c r="AG128" t="str">
        <f t="shared" si="94"/>
        <v>4.28725341441931E-06i</v>
      </c>
      <c r="AH128">
        <f t="shared" si="109"/>
        <v>4.2872534144193103E-6</v>
      </c>
      <c r="AI128">
        <f t="shared" si="110"/>
        <v>1.5707963267948966</v>
      </c>
      <c r="AJ128" t="str">
        <f t="shared" si="95"/>
        <v>1+0.0987736111599442i</v>
      </c>
      <c r="AK128">
        <f t="shared" si="111"/>
        <v>1.0048662728251834</v>
      </c>
      <c r="AL128">
        <f t="shared" si="112"/>
        <v>9.8454259254514162E-2</v>
      </c>
      <c r="AM128" t="str">
        <f t="shared" si="96"/>
        <v>1+0.743545795120693i</v>
      </c>
      <c r="AN128">
        <f t="shared" si="113"/>
        <v>1.246138174297563</v>
      </c>
      <c r="AO128">
        <f t="shared" si="114"/>
        <v>0.63935760465817504</v>
      </c>
      <c r="AP128" s="42" t="str">
        <f t="shared" si="115"/>
        <v>-4.97146603663227+8.2766969081709i</v>
      </c>
      <c r="AQ128">
        <f t="shared" si="116"/>
        <v>19.695053075326125</v>
      </c>
      <c r="AR128" s="44">
        <f t="shared" si="117"/>
        <v>120.99147881613669</v>
      </c>
      <c r="AS128" s="42" t="str">
        <f t="shared" si="118"/>
        <v>256.918640125683+175.096292248627i</v>
      </c>
      <c r="AT128" s="20">
        <f t="shared" si="119"/>
        <v>49.852732951815206</v>
      </c>
      <c r="AU128" s="44">
        <f t="shared" si="120"/>
        <v>34.27538016120382</v>
      </c>
    </row>
    <row r="129" spans="14:47" x14ac:dyDescent="0.3">
      <c r="N129" s="8">
        <v>11</v>
      </c>
      <c r="O129" s="35">
        <f t="shared" si="121"/>
        <v>128.82495516931343</v>
      </c>
      <c r="P129" s="34" t="str">
        <f t="shared" si="88"/>
        <v>545.10556621881</v>
      </c>
      <c r="Q129" s="4" t="str">
        <f t="shared" si="89"/>
        <v>1+17.2916847585686i</v>
      </c>
      <c r="R129" s="4">
        <f t="shared" si="98"/>
        <v>17.320576254550932</v>
      </c>
      <c r="S129" s="4">
        <f t="shared" si="99"/>
        <v>1.5130294042944754</v>
      </c>
      <c r="T129" s="4" t="str">
        <f t="shared" si="90"/>
        <v>1+0.00040471553275895i</v>
      </c>
      <c r="U129" s="4">
        <f t="shared" si="100"/>
        <v>1.0000000818973278</v>
      </c>
      <c r="V129" s="4">
        <f t="shared" si="101"/>
        <v>4.0471551066220414E-4</v>
      </c>
      <c r="W129" t="str">
        <f t="shared" si="91"/>
        <v>1-0.000420418495429996i</v>
      </c>
      <c r="X129" s="4">
        <f t="shared" si="102"/>
        <v>1.0000000883758517</v>
      </c>
      <c r="Y129" s="4">
        <f t="shared" si="103"/>
        <v>-4.2041847066010246E-4</v>
      </c>
      <c r="Z129" t="str">
        <f t="shared" si="92"/>
        <v>0.999998937864379+0.0018205960900561i</v>
      </c>
      <c r="AA129" s="4">
        <f t="shared" si="104"/>
        <v>1.0000005951498274</v>
      </c>
      <c r="AB129" s="4">
        <f t="shared" si="105"/>
        <v>1.8205960122779014E-3</v>
      </c>
      <c r="AC129" s="48" t="str">
        <f t="shared" si="106"/>
        <v>1.75930567473627-31.4223349246908i</v>
      </c>
      <c r="AD129" s="20">
        <f t="shared" si="107"/>
        <v>29.958361907050048</v>
      </c>
      <c r="AE129" s="44">
        <f t="shared" si="108"/>
        <v>-86.795411326302172</v>
      </c>
      <c r="AF129" t="str">
        <f t="shared" si="93"/>
        <v>-0.0000333790427773504</v>
      </c>
      <c r="AG129" t="str">
        <f t="shared" si="94"/>
        <v>4.38711637510701E-06i</v>
      </c>
      <c r="AH129">
        <f t="shared" si="109"/>
        <v>4.3871163751070096E-6</v>
      </c>
      <c r="AI129">
        <f t="shared" si="110"/>
        <v>1.5707963267948966</v>
      </c>
      <c r="AJ129" t="str">
        <f t="shared" si="95"/>
        <v>1+0.101074344122235i</v>
      </c>
      <c r="AK129">
        <f t="shared" si="111"/>
        <v>1.0050950318451186</v>
      </c>
      <c r="AL129">
        <f t="shared" si="112"/>
        <v>0.10073224600658805</v>
      </c>
      <c r="AM129" t="str">
        <f t="shared" si="96"/>
        <v>1+0.760865201586827i</v>
      </c>
      <c r="AN129">
        <f t="shared" si="113"/>
        <v>1.2565491852632602</v>
      </c>
      <c r="AO129">
        <f t="shared" si="114"/>
        <v>0.65041864986148656</v>
      </c>
      <c r="AP129" s="42" t="str">
        <f t="shared" si="115"/>
        <v>-4.9692032888494+8.11068325002327i</v>
      </c>
      <c r="AQ129">
        <f t="shared" si="116"/>
        <v>19.565341796495964</v>
      </c>
      <c r="AR129" s="44">
        <f t="shared" si="117"/>
        <v>121.49471099660943</v>
      </c>
      <c r="AS129" s="42" t="str">
        <f t="shared" si="118"/>
        <v>246.11425800532+170.413141118855i</v>
      </c>
      <c r="AT129" s="20">
        <f t="shared" si="119"/>
        <v>49.523703703546012</v>
      </c>
      <c r="AU129" s="44">
        <f t="shared" si="120"/>
        <v>34.699299670307241</v>
      </c>
    </row>
    <row r="130" spans="14:47" x14ac:dyDescent="0.3">
      <c r="N130" s="8">
        <v>12</v>
      </c>
      <c r="O130" s="35">
        <f t="shared" si="121"/>
        <v>131.82567385564084</v>
      </c>
      <c r="P130" s="34" t="str">
        <f t="shared" si="88"/>
        <v>545.10556621881</v>
      </c>
      <c r="Q130" s="4" t="str">
        <f t="shared" si="89"/>
        <v>1+17.6944598381711i</v>
      </c>
      <c r="R130" s="4">
        <f t="shared" si="98"/>
        <v>17.722694743312879</v>
      </c>
      <c r="S130" s="4">
        <f t="shared" si="99"/>
        <v>1.5143415154342883</v>
      </c>
      <c r="T130" s="4" t="str">
        <f t="shared" si="90"/>
        <v>1+0.000414142568539405i</v>
      </c>
      <c r="U130" s="4">
        <f t="shared" si="100"/>
        <v>1.0000000857570299</v>
      </c>
      <c r="V130" s="4">
        <f t="shared" si="101"/>
        <v>4.1414254486231536E-4</v>
      </c>
      <c r="W130" t="str">
        <f t="shared" si="91"/>
        <v>1-0.000430211300198733i</v>
      </c>
      <c r="X130" s="4">
        <f t="shared" si="102"/>
        <v>1.0000000925408772</v>
      </c>
      <c r="Y130" s="4">
        <f t="shared" si="103"/>
        <v>-4.3021127365731399E-4</v>
      </c>
      <c r="Z130" t="str">
        <f t="shared" si="92"/>
        <v>0.99999888780747+0.00186300322072815i</v>
      </c>
      <c r="AA130" s="4">
        <f t="shared" si="104"/>
        <v>1.0000006231983947</v>
      </c>
      <c r="AB130" s="4">
        <f t="shared" si="105"/>
        <v>1.8630031373872893E-3</v>
      </c>
      <c r="AC130" s="48" t="str">
        <f t="shared" si="106"/>
        <v>1.6777787213728-30.7116796777617i</v>
      </c>
      <c r="AD130" s="20">
        <f t="shared" si="107"/>
        <v>29.759013325925501</v>
      </c>
      <c r="AE130" s="44">
        <f t="shared" si="108"/>
        <v>-86.87304046316396</v>
      </c>
      <c r="AF130" t="str">
        <f t="shared" si="93"/>
        <v>-0.0000333790427773504</v>
      </c>
      <c r="AG130" t="str">
        <f t="shared" si="94"/>
        <v>4.48930544296715E-06i</v>
      </c>
      <c r="AH130">
        <f t="shared" si="109"/>
        <v>4.4893054429671503E-6</v>
      </c>
      <c r="AI130">
        <f t="shared" si="110"/>
        <v>1.5707963267948966</v>
      </c>
      <c r="AJ130" t="str">
        <f t="shared" si="95"/>
        <v>1+0.103428668039657i</v>
      </c>
      <c r="AK130">
        <f t="shared" si="111"/>
        <v>1.0053345161549252</v>
      </c>
      <c r="AL130">
        <f t="shared" si="112"/>
        <v>0.10306220827359329</v>
      </c>
      <c r="AM130" t="str">
        <f t="shared" si="96"/>
        <v>1+0.778588028854084i</v>
      </c>
      <c r="AN130">
        <f t="shared" si="113"/>
        <v>1.2673591908669333</v>
      </c>
      <c r="AO130">
        <f t="shared" si="114"/>
        <v>0.66154781939922103</v>
      </c>
      <c r="AP130" s="42" t="str">
        <f t="shared" si="115"/>
        <v>-4.96683610766098+7.94894864886469i</v>
      </c>
      <c r="AQ130">
        <f t="shared" si="116"/>
        <v>19.437676968753447</v>
      </c>
      <c r="AR130" s="44">
        <f t="shared" si="117"/>
        <v>121.99886843628305</v>
      </c>
      <c r="AS130" s="42" t="str">
        <f t="shared" si="118"/>
        <v>235.792312744929+165.876456450775i</v>
      </c>
      <c r="AT130" s="20">
        <f t="shared" si="119"/>
        <v>49.196690294678945</v>
      </c>
      <c r="AU130" s="44">
        <f t="shared" si="120"/>
        <v>35.125827973119122</v>
      </c>
    </row>
    <row r="131" spans="14:47" x14ac:dyDescent="0.3">
      <c r="N131" s="8">
        <v>13</v>
      </c>
      <c r="O131" s="35">
        <f t="shared" si="121"/>
        <v>134.89628825916537</v>
      </c>
      <c r="P131" s="34" t="str">
        <f t="shared" si="88"/>
        <v>545.10556621881</v>
      </c>
      <c r="Q131" s="4" t="str">
        <f t="shared" si="89"/>
        <v>1+18.1066167545938i</v>
      </c>
      <c r="R131" s="4">
        <f t="shared" si="98"/>
        <v>18.13420994412872</v>
      </c>
      <c r="S131" s="4">
        <f t="shared" si="99"/>
        <v>1.5156239473408444</v>
      </c>
      <c r="T131" s="4" t="str">
        <f t="shared" si="90"/>
        <v>1+0.000423789188191525i</v>
      </c>
      <c r="U131" s="4">
        <f t="shared" si="100"/>
        <v>1.0000000897986339</v>
      </c>
      <c r="V131" s="4">
        <f t="shared" si="101"/>
        <v>4.2378916282106646E-4</v>
      </c>
      <c r="W131" t="str">
        <f t="shared" si="91"/>
        <v>1-0.000440232208693355i</v>
      </c>
      <c r="X131" s="4">
        <f t="shared" si="102"/>
        <v>1.000000096902194</v>
      </c>
      <c r="Y131" s="4">
        <f t="shared" si="103"/>
        <v>-4.4023218025371233E-4</v>
      </c>
      <c r="Z131" t="str">
        <f t="shared" si="92"/>
        <v>0.999998835391451+0.00190639814036759i</v>
      </c>
      <c r="AA131" s="4">
        <f t="shared" si="104"/>
        <v>1.0000006525688512</v>
      </c>
      <c r="AB131" s="4">
        <f t="shared" si="105"/>
        <v>1.9063980510662288E-3</v>
      </c>
      <c r="AC131" s="48" t="str">
        <f t="shared" si="106"/>
        <v>1.5998982436616-30.0168945795302i</v>
      </c>
      <c r="AD131" s="20">
        <f t="shared" si="107"/>
        <v>29.559635501371101</v>
      </c>
      <c r="AE131" s="44">
        <f t="shared" si="108"/>
        <v>-86.949026189487924</v>
      </c>
      <c r="AF131" t="str">
        <f t="shared" si="93"/>
        <v>-0.0000333790427773504</v>
      </c>
      <c r="AG131" t="str">
        <f t="shared" si="94"/>
        <v>4.59387479999613E-06i</v>
      </c>
      <c r="AH131">
        <f t="shared" si="109"/>
        <v>4.5938747999961302E-6</v>
      </c>
      <c r="AI131">
        <f t="shared" si="110"/>
        <v>1.5707963267948966</v>
      </c>
      <c r="AJ131" t="str">
        <f t="shared" si="95"/>
        <v>1+0.105837831205913i</v>
      </c>
      <c r="AK131">
        <f t="shared" si="111"/>
        <v>1.0055852258831031</v>
      </c>
      <c r="AL131">
        <f t="shared" si="112"/>
        <v>0.10544528018719884</v>
      </c>
      <c r="AM131" t="str">
        <f t="shared" si="96"/>
        <v>1+0.796723673800069i</v>
      </c>
      <c r="AN131">
        <f t="shared" si="113"/>
        <v>1.2785807023389173</v>
      </c>
      <c r="AO131">
        <f t="shared" si="114"/>
        <v>0.67273998706943172</v>
      </c>
      <c r="AP131" s="42" t="str">
        <f t="shared" si="115"/>
        <v>-4.96435978070381+7.79140585770809i</v>
      </c>
      <c r="AQ131">
        <f t="shared" si="116"/>
        <v>19.312079689795475</v>
      </c>
      <c r="AR131" s="44">
        <f t="shared" si="117"/>
        <v>122.503592444463</v>
      </c>
      <c r="AS131" s="42" t="str">
        <f t="shared" si="118"/>
        <v>225.931337763105+161.480120739648i</v>
      </c>
      <c r="AT131" s="20">
        <f t="shared" si="119"/>
        <v>48.871715191166565</v>
      </c>
      <c r="AU131" s="44">
        <f t="shared" si="120"/>
        <v>35.554566254975164</v>
      </c>
    </row>
    <row r="132" spans="14:47" x14ac:dyDescent="0.3">
      <c r="N132" s="8">
        <v>14</v>
      </c>
      <c r="O132" s="35">
        <f t="shared" si="121"/>
        <v>138.0384264602886</v>
      </c>
      <c r="P132" s="34" t="str">
        <f t="shared" si="88"/>
        <v>545.10556621881</v>
      </c>
      <c r="Q132" s="4" t="str">
        <f t="shared" si="89"/>
        <v>1+18.5283740388891i</v>
      </c>
      <c r="R132" s="4">
        <f t="shared" si="98"/>
        <v>18.555340054145585</v>
      </c>
      <c r="S132" s="4">
        <f t="shared" si="99"/>
        <v>1.5168773630939361</v>
      </c>
      <c r="T132" s="4" t="str">
        <f t="shared" si="90"/>
        <v>1+0.000433660506480738i</v>
      </c>
      <c r="U132" s="4">
        <f t="shared" si="100"/>
        <v>1.000000094030713</v>
      </c>
      <c r="V132" s="4">
        <f t="shared" si="101"/>
        <v>4.3366047929580204E-4</v>
      </c>
      <c r="W132" t="str">
        <f t="shared" si="91"/>
        <v>1-0.000450486534132189i</v>
      </c>
      <c r="X132" s="4">
        <f t="shared" si="102"/>
        <v>1.0000001014690536</v>
      </c>
      <c r="Y132" s="4">
        <f t="shared" si="103"/>
        <v>-4.5048650365856299E-4</v>
      </c>
      <c r="Z132" t="str">
        <f t="shared" si="92"/>
        <v>0.99999878050514+0.00195080385753522i</v>
      </c>
      <c r="AA132" s="4">
        <f t="shared" si="104"/>
        <v>1.0000006833234953</v>
      </c>
      <c r="AB132" s="4">
        <f t="shared" si="105"/>
        <v>1.9508037618470669E-3</v>
      </c>
      <c r="AC132" s="48" t="str">
        <f t="shared" si="106"/>
        <v>1.52550212405529-29.3376386850297i</v>
      </c>
      <c r="AD132" s="20">
        <f t="shared" si="107"/>
        <v>29.360229740795592</v>
      </c>
      <c r="AE132" s="44">
        <f t="shared" si="108"/>
        <v>-87.023407826609926</v>
      </c>
      <c r="AF132" t="str">
        <f t="shared" si="93"/>
        <v>-0.0000333790427773504</v>
      </c>
      <c r="AG132" t="str">
        <f t="shared" si="94"/>
        <v>0.0000047008798902512i</v>
      </c>
      <c r="AH132">
        <f t="shared" si="109"/>
        <v>4.7008798902512002E-6</v>
      </c>
      <c r="AI132">
        <f t="shared" si="110"/>
        <v>1.5707963267948966</v>
      </c>
      <c r="AJ132" t="str">
        <f t="shared" si="95"/>
        <v>1+0.108303110991204i</v>
      </c>
      <c r="AK132">
        <f t="shared" si="111"/>
        <v>1.0058476842198192</v>
      </c>
      <c r="AL132">
        <f t="shared" si="112"/>
        <v>0.10788261695622645</v>
      </c>
      <c r="AM132" t="str">
        <f t="shared" si="96"/>
        <v>1+0.815281752183789i</v>
      </c>
      <c r="AN132">
        <f t="shared" si="113"/>
        <v>1.2902264667273993</v>
      </c>
      <c r="AO132">
        <f t="shared" si="114"/>
        <v>0.68398987182946724</v>
      </c>
      <c r="AP132" s="42" t="str">
        <f t="shared" si="115"/>
        <v>-4.96176939322872+7.63796974924522i</v>
      </c>
      <c r="AQ132">
        <f t="shared" si="116"/>
        <v>19.188568985492477</v>
      </c>
      <c r="AR132" s="44">
        <f t="shared" si="117"/>
        <v>123.00851425110434</v>
      </c>
      <c r="AS132" s="42" t="str">
        <f t="shared" si="118"/>
        <v>216.5108070421+157.218336772927i</v>
      </c>
      <c r="AT132" s="20">
        <f t="shared" si="119"/>
        <v>48.548798726288069</v>
      </c>
      <c r="AU132" s="44">
        <f t="shared" si="120"/>
        <v>35.985106424494475</v>
      </c>
    </row>
    <row r="133" spans="14:47" x14ac:dyDescent="0.3">
      <c r="N133" s="8">
        <v>15</v>
      </c>
      <c r="O133" s="35">
        <f t="shared" si="121"/>
        <v>141.25375446227542</v>
      </c>
      <c r="P133" s="34" t="str">
        <f t="shared" si="88"/>
        <v>545.10556621881</v>
      </c>
      <c r="Q133" s="4" t="str">
        <f t="shared" si="89"/>
        <v>1+18.9599553123518i</v>
      </c>
      <c r="R133" s="4">
        <f t="shared" si="98"/>
        <v>18.986308368041882</v>
      </c>
      <c r="S133" s="4">
        <f t="shared" si="99"/>
        <v>1.5181024115088189</v>
      </c>
      <c r="T133" s="4" t="str">
        <f t="shared" si="90"/>
        <v>1+0.000443761757310661i</v>
      </c>
      <c r="U133" s="4">
        <f t="shared" si="100"/>
        <v>1.0000000984622437</v>
      </c>
      <c r="V133" s="4">
        <f t="shared" si="101"/>
        <v>4.4376172818147745E-4</v>
      </c>
      <c r="W133" t="str">
        <f t="shared" si="91"/>
        <v>1-0.000460979713494313i</v>
      </c>
      <c r="X133" s="4">
        <f t="shared" si="102"/>
        <v>1.0000001062511426</v>
      </c>
      <c r="Y133" s="4">
        <f t="shared" si="103"/>
        <v>-4.6097968084123461E-4</v>
      </c>
      <c r="Z133" t="str">
        <f t="shared" si="92"/>
        <v>0.999998723032118+0.00199624391673005i</v>
      </c>
      <c r="AA133" s="4">
        <f t="shared" si="104"/>
        <v>1.000000715527565</v>
      </c>
      <c r="AB133" s="4">
        <f t="shared" si="105"/>
        <v>1.9962438141983207E-3</v>
      </c>
      <c r="AC133" s="48" t="str">
        <f t="shared" si="106"/>
        <v>1.45443536659524-28.6735774696075i</v>
      </c>
      <c r="AD133" s="20">
        <f t="shared" si="107"/>
        <v>29.160797293430491</v>
      </c>
      <c r="AE133" s="44">
        <f t="shared" si="108"/>
        <v>-87.096223909539759</v>
      </c>
      <c r="AF133" t="str">
        <f t="shared" si="93"/>
        <v>-0.0000333790427773504</v>
      </c>
      <c r="AG133" t="str">
        <f t="shared" si="94"/>
        <v>4.81037744924757E-06i</v>
      </c>
      <c r="AH133">
        <f t="shared" si="109"/>
        <v>4.8103774492475703E-6</v>
      </c>
      <c r="AI133">
        <f t="shared" si="110"/>
        <v>1.5707963267948966</v>
      </c>
      <c r="AJ133" t="str">
        <f t="shared" si="95"/>
        <v>1+0.110825814519504i</v>
      </c>
      <c r="AK133">
        <f t="shared" si="111"/>
        <v>1.0061224384556342</v>
      </c>
      <c r="AL133">
        <f t="shared" si="112"/>
        <v>0.11037539499164199</v>
      </c>
      <c r="AM133" t="str">
        <f t="shared" si="96"/>
        <v>1+0.834272103744045i</v>
      </c>
      <c r="AN133">
        <f t="shared" si="113"/>
        <v>1.3023094651754301</v>
      </c>
      <c r="AO133">
        <f t="shared" si="114"/>
        <v>0.69529204890765262</v>
      </c>
      <c r="AP133" s="42" t="str">
        <f t="shared" si="115"/>
        <v>-4.95905982038993+7.48855726381939i</v>
      </c>
      <c r="AQ133">
        <f t="shared" si="116"/>
        <v>19.067161710424692</v>
      </c>
      <c r="AR133" s="44">
        <f t="shared" si="117"/>
        <v>123.51325563630161</v>
      </c>
      <c r="AS133" s="42" t="str">
        <f t="shared" si="118"/>
        <v>207.511094851881+153.085608465641i</v>
      </c>
      <c r="AT133" s="20">
        <f t="shared" si="119"/>
        <v>48.227959003855183</v>
      </c>
      <c r="AU133" s="44">
        <f t="shared" si="120"/>
        <v>36.417031726761785</v>
      </c>
    </row>
    <row r="134" spans="14:47" x14ac:dyDescent="0.3">
      <c r="N134" s="8">
        <v>16</v>
      </c>
      <c r="O134" s="35">
        <f t="shared" si="121"/>
        <v>144.54397707459285</v>
      </c>
      <c r="P134" s="34" t="str">
        <f t="shared" si="88"/>
        <v>545.10556621881</v>
      </c>
      <c r="Q134" s="4" t="str">
        <f t="shared" si="89"/>
        <v>1+19.4015894050859i</v>
      </c>
      <c r="R134" s="4">
        <f t="shared" si="98"/>
        <v>19.427343396448766</v>
      </c>
      <c r="S134" s="4">
        <f t="shared" si="99"/>
        <v>1.5192997274061701</v>
      </c>
      <c r="T134" s="4" t="str">
        <f t="shared" si="90"/>
        <v>1+0.000454098296498192i</v>
      </c>
      <c r="U134" s="4">
        <f t="shared" si="100"/>
        <v>1.0000001031026262</v>
      </c>
      <c r="V134" s="4">
        <f t="shared" si="101"/>
        <v>4.5409826528570963E-4</v>
      </c>
      <c r="W134" t="str">
        <f t="shared" si="91"/>
        <v>1-0.000471717310402321i</v>
      </c>
      <c r="X134" s="4">
        <f t="shared" si="102"/>
        <v>1.0000001112586043</v>
      </c>
      <c r="Y134" s="4">
        <f t="shared" si="103"/>
        <v>-4.7171727541391734E-4</v>
      </c>
      <c r="Z134" t="str">
        <f t="shared" si="92"/>
        <v>0.999998662850476+0.00204274241087294i</v>
      </c>
      <c r="AA134" s="4">
        <f t="shared" si="104"/>
        <v>1.0000007492493679</v>
      </c>
      <c r="AB134" s="4">
        <f t="shared" si="105"/>
        <v>2.0427423010081843E-3</v>
      </c>
      <c r="AC134" s="48" t="str">
        <f t="shared" si="106"/>
        <v>1.38654979162888-28.0243827706537i</v>
      </c>
      <c r="AD134" s="20">
        <f t="shared" si="107"/>
        <v>28.961339352885332</v>
      </c>
      <c r="AE134" s="44">
        <f t="shared" si="108"/>
        <v>-87.167512203150167</v>
      </c>
      <c r="AF134" t="str">
        <f t="shared" si="93"/>
        <v>-0.0000333790427773504</v>
      </c>
      <c r="AG134" t="str">
        <f t="shared" si="94"/>
        <v>4.92242553404041E-06i</v>
      </c>
      <c r="AH134">
        <f t="shared" si="109"/>
        <v>4.9224255340404104E-6</v>
      </c>
      <c r="AI134">
        <f t="shared" si="110"/>
        <v>1.5707963267948966</v>
      </c>
      <c r="AJ134" t="str">
        <f t="shared" si="95"/>
        <v>1+0.113407279361615i</v>
      </c>
      <c r="AK134">
        <f t="shared" si="111"/>
        <v>1.0064100610646751</v>
      </c>
      <c r="AL134">
        <f t="shared" si="112"/>
        <v>0.11292481201018471</v>
      </c>
      <c r="AM134" t="str">
        <f t="shared" si="96"/>
        <v>1+0.853704797416604i</v>
      </c>
      <c r="AN134">
        <f t="shared" si="113"/>
        <v>1.3148429111997086</v>
      </c>
      <c r="AO134">
        <f t="shared" si="114"/>
        <v>0.70664096176167412</v>
      </c>
      <c r="AP134" s="42" t="str">
        <f t="shared" si="115"/>
        <v>-4.95622571933692+7.34308735805568i</v>
      </c>
      <c r="AQ134">
        <f t="shared" si="116"/>
        <v>18.947872454437793</v>
      </c>
      <c r="AR134" s="44">
        <f t="shared" si="117"/>
        <v>124.01742960951749</v>
      </c>
      <c r="AS134" s="42" t="str">
        <f t="shared" si="118"/>
        <v>198.913437102088+149.076722902681i</v>
      </c>
      <c r="AT134" s="20">
        <f t="shared" si="119"/>
        <v>47.909211807323111</v>
      </c>
      <c r="AU134" s="44">
        <f t="shared" si="120"/>
        <v>36.849917406367375</v>
      </c>
    </row>
    <row r="135" spans="14:47" x14ac:dyDescent="0.3">
      <c r="N135" s="8">
        <v>17</v>
      </c>
      <c r="O135" s="35">
        <f t="shared" si="121"/>
        <v>147.91083881682084</v>
      </c>
      <c r="P135" s="34" t="str">
        <f t="shared" si="88"/>
        <v>545.10556621881</v>
      </c>
      <c r="Q135" s="4" t="str">
        <f t="shared" si="89"/>
        <v>1+19.8535104773329i</v>
      </c>
      <c r="R135" s="4">
        <f t="shared" si="98"/>
        <v>19.878678987135117</v>
      </c>
      <c r="S135" s="4">
        <f t="shared" si="99"/>
        <v>1.5204699318794919</v>
      </c>
      <c r="T135" s="4" t="str">
        <f t="shared" si="90"/>
        <v>1+0.000464675604613228i</v>
      </c>
      <c r="U135" s="4">
        <f t="shared" si="100"/>
        <v>1.0000001079617029</v>
      </c>
      <c r="V135" s="4">
        <f t="shared" si="101"/>
        <v>4.6467557116845076E-4</v>
      </c>
      <c r="W135" t="str">
        <f t="shared" si="91"/>
        <v>1-0.00048270501807222i</v>
      </c>
      <c r="X135" s="4">
        <f t="shared" si="102"/>
        <v>1.0000001165020604</v>
      </c>
      <c r="Y135" s="4">
        <f t="shared" si="103"/>
        <v>-4.8270498058147022E-4</v>
      </c>
      <c r="Z135" t="str">
        <f t="shared" si="92"/>
        <v>0.999998599832561+0.00209032399408098i</v>
      </c>
      <c r="AA135" s="4">
        <f t="shared" si="104"/>
        <v>1.0000007845604337</v>
      </c>
      <c r="AB135" s="4">
        <f t="shared" si="105"/>
        <v>2.0903238763587402E-3</v>
      </c>
      <c r="AC135" s="48" t="str">
        <f t="shared" si="106"/>
        <v>1.32170374294507-27.3897327249653i</v>
      </c>
      <c r="AD135" s="20">
        <f t="shared" si="107"/>
        <v>28.761857059593755</v>
      </c>
      <c r="AE135" s="44">
        <f t="shared" si="108"/>
        <v>-87.237309718235934</v>
      </c>
      <c r="AF135" t="str">
        <f t="shared" si="93"/>
        <v>-0.0000333790427773504</v>
      </c>
      <c r="AG135" t="str">
        <f t="shared" si="94"/>
        <v>0.0000050370835540074i</v>
      </c>
      <c r="AH135">
        <f t="shared" si="109"/>
        <v>5.0370835540074004E-6</v>
      </c>
      <c r="AI135">
        <f t="shared" si="110"/>
        <v>1.5707963267948966</v>
      </c>
      <c r="AJ135" t="str">
        <f t="shared" si="95"/>
        <v>1+0.116048874244366i</v>
      </c>
      <c r="AK135">
        <f t="shared" si="111"/>
        <v>1.0067111508339346</v>
      </c>
      <c r="AL135">
        <f t="shared" si="112"/>
        <v>0.11553208711461833</v>
      </c>
      <c r="AM135" t="str">
        <f t="shared" si="96"/>
        <v>1+0.873590136672872i</v>
      </c>
      <c r="AN135">
        <f t="shared" si="113"/>
        <v>1.3278402490104475</v>
      </c>
      <c r="AO135">
        <f t="shared" si="114"/>
        <v>0.71803093482718006</v>
      </c>
      <c r="AP135" s="42" t="str">
        <f t="shared" si="115"/>
        <v>-4.95326152111347+7.2014809540972i</v>
      </c>
      <c r="AQ135">
        <f t="shared" si="116"/>
        <v>18.83071345590356</v>
      </c>
      <c r="AR135" s="44">
        <f t="shared" si="117"/>
        <v>124.52064113542515</v>
      </c>
      <c r="AS135" s="42" t="str">
        <f t="shared" si="118"/>
        <v>190.699894264409+145.186733511931i</v>
      </c>
      <c r="AT135" s="20">
        <f t="shared" si="119"/>
        <v>47.592570515497322</v>
      </c>
      <c r="AU135" s="44">
        <f t="shared" si="120"/>
        <v>37.283331417189238</v>
      </c>
    </row>
    <row r="136" spans="14:47" x14ac:dyDescent="0.3">
      <c r="N136" s="8">
        <v>18</v>
      </c>
      <c r="O136" s="35">
        <f t="shared" si="121"/>
        <v>151.3561248436209</v>
      </c>
      <c r="P136" s="34" t="str">
        <f t="shared" si="88"/>
        <v>545.10556621881</v>
      </c>
      <c r="Q136" s="4" t="str">
        <f t="shared" si="89"/>
        <v>1+20.3159581436273i</v>
      </c>
      <c r="R136" s="4">
        <f t="shared" si="98"/>
        <v>20.340554449021695</v>
      </c>
      <c r="S136" s="4">
        <f t="shared" si="99"/>
        <v>1.5216136325597855</v>
      </c>
      <c r="T136" s="4" t="str">
        <f t="shared" si="90"/>
        <v>1+0.000475499289884539i</v>
      </c>
      <c r="U136" s="4">
        <f t="shared" si="100"/>
        <v>1.0000001130497809</v>
      </c>
      <c r="V136" s="4">
        <f t="shared" si="101"/>
        <v>4.7549925404781479E-4</v>
      </c>
      <c r="W136" t="str">
        <f t="shared" si="91"/>
        <v>1-0.000493948662332058i</v>
      </c>
      <c r="X136" s="4">
        <f t="shared" si="102"/>
        <v>1.0000001219926331</v>
      </c>
      <c r="Y136" s="4">
        <f t="shared" si="103"/>
        <v>-4.9394862215999618E-4</v>
      </c>
      <c r="Z136" t="str">
        <f t="shared" si="92"/>
        <v>0.999998533844702+0.00213901389473938i</v>
      </c>
      <c r="AA136" s="4">
        <f t="shared" si="104"/>
        <v>1.0000008215356604</v>
      </c>
      <c r="AB136" s="4">
        <f t="shared" si="105"/>
        <v>2.1390137685976928E-3</v>
      </c>
      <c r="AC136" s="48" t="str">
        <f t="shared" si="106"/>
        <v>1.2597618068821-26.7693117022023i</v>
      </c>
      <c r="AD136" s="20">
        <f t="shared" si="107"/>
        <v>28.562351503153593</v>
      </c>
      <c r="AE136" s="44">
        <f t="shared" si="108"/>
        <v>-87.305652727434264</v>
      </c>
      <c r="AF136" t="str">
        <f t="shared" si="93"/>
        <v>-0.0000333790427773504</v>
      </c>
      <c r="AG136" t="str">
        <f t="shared" si="94"/>
        <v>0.0000051544123023484i</v>
      </c>
      <c r="AH136">
        <f t="shared" si="109"/>
        <v>5.1544123023484E-6</v>
      </c>
      <c r="AI136">
        <f t="shared" si="110"/>
        <v>1.5707963267948966</v>
      </c>
      <c r="AJ136" t="str">
        <f t="shared" si="95"/>
        <v>1+0.118751999776331i</v>
      </c>
      <c r="AK136">
        <f t="shared" si="111"/>
        <v>1.0070263340404151</v>
      </c>
      <c r="AL136">
        <f t="shared" si="112"/>
        <v>0.11819846084846151</v>
      </c>
      <c r="AM136" t="str">
        <f t="shared" si="96"/>
        <v>1+0.893938664982936i</v>
      </c>
      <c r="AN136">
        <f t="shared" si="113"/>
        <v>1.3413151519130297</v>
      </c>
      <c r="AO136">
        <f t="shared" si="114"/>
        <v>0.72945618699156622</v>
      </c>
      <c r="AP136" s="42" t="str">
        <f t="shared" si="115"/>
        <v>-4.95016142237124+7.06366088939433i</v>
      </c>
      <c r="AQ136">
        <f t="shared" si="116"/>
        <v>18.71569452232691</v>
      </c>
      <c r="AR136" s="44">
        <f t="shared" si="117"/>
        <v>125.02248790276334</v>
      </c>
      <c r="AS136" s="42" t="str">
        <f t="shared" si="118"/>
        <v>182.853315809048+141.410944296899i</v>
      </c>
      <c r="AT136" s="20">
        <f t="shared" si="119"/>
        <v>47.278046025480513</v>
      </c>
      <c r="AU136" s="44">
        <f t="shared" si="120"/>
        <v>37.716835175329138</v>
      </c>
    </row>
    <row r="137" spans="14:47" x14ac:dyDescent="0.3">
      <c r="N137" s="8">
        <v>19</v>
      </c>
      <c r="O137" s="35">
        <f t="shared" si="121"/>
        <v>154.8816618912482</v>
      </c>
      <c r="P137" s="34" t="str">
        <f t="shared" si="88"/>
        <v>545.10556621881</v>
      </c>
      <c r="Q137" s="4" t="str">
        <f t="shared" si="89"/>
        <v>1+20.789177599843i</v>
      </c>
      <c r="R137" s="4">
        <f t="shared" si="98"/>
        <v>20.813214679088233</v>
      </c>
      <c r="S137" s="4">
        <f t="shared" si="99"/>
        <v>1.5227314238773404</v>
      </c>
      <c r="T137" s="4" t="str">
        <f t="shared" si="90"/>
        <v>1+0.000486575091173323i</v>
      </c>
      <c r="U137" s="4">
        <f t="shared" si="100"/>
        <v>1.0000001183776526</v>
      </c>
      <c r="V137" s="4">
        <f t="shared" si="101"/>
        <v>4.8657505277358145E-4</v>
      </c>
      <c r="W137" t="str">
        <f t="shared" si="91"/>
        <v>1-0.000505454204710847i</v>
      </c>
      <c r="X137" s="4">
        <f t="shared" si="102"/>
        <v>1.0000001277419683</v>
      </c>
      <c r="Y137" s="4">
        <f t="shared" si="103"/>
        <v>-5.0545416166570753E-4</v>
      </c>
      <c r="Z137" t="str">
        <f t="shared" si="92"/>
        <v>0.999998464746932+0.00218883792887797i</v>
      </c>
      <c r="AA137" s="4">
        <f t="shared" si="104"/>
        <v>1.00000086025348</v>
      </c>
      <c r="AB137" s="4">
        <f t="shared" si="105"/>
        <v>2.1888377937146759E-3</v>
      </c>
      <c r="AC137" s="48" t="str">
        <f t="shared" si="106"/>
        <v>1.20059454297396-26.1628102348671i</v>
      </c>
      <c r="AD137" s="20">
        <f t="shared" si="107"/>
        <v>28.362823724566244</v>
      </c>
      <c r="AE137" s="44">
        <f t="shared" si="108"/>
        <v>-87.372576780997051</v>
      </c>
      <c r="AF137" t="str">
        <f t="shared" si="93"/>
        <v>-0.0000333790427773504</v>
      </c>
      <c r="AG137" t="str">
        <f t="shared" si="94"/>
        <v>5.27447398831883E-06i</v>
      </c>
      <c r="AH137">
        <f t="shared" si="109"/>
        <v>5.2744739883188301E-6</v>
      </c>
      <c r="AI137">
        <f t="shared" si="110"/>
        <v>1.5707963267948966</v>
      </c>
      <c r="AJ137" t="str">
        <f t="shared" si="95"/>
        <v>1+0.121518089190445i</v>
      </c>
      <c r="AK137">
        <f t="shared" si="111"/>
        <v>1.0073562656778867</v>
      </c>
      <c r="AL137">
        <f t="shared" si="112"/>
        <v>0.12092519522291448</v>
      </c>
      <c r="AM137" t="str">
        <f t="shared" si="96"/>
        <v>1+0.91476117140585i</v>
      </c>
      <c r="AN137">
        <f t="shared" si="113"/>
        <v>1.3552815208331452</v>
      </c>
      <c r="AO137">
        <f t="shared" si="114"/>
        <v>0.74091084571982913</v>
      </c>
      <c r="AP137" s="42" t="str">
        <f t="shared" si="115"/>
        <v>-4.94691937690565+6.92955186699266i</v>
      </c>
      <c r="AQ137">
        <f t="shared" si="116"/>
        <v>18.602822958886389</v>
      </c>
      <c r="AR137" s="44">
        <f t="shared" si="117"/>
        <v>125.52256113214612</v>
      </c>
      <c r="AS137" s="42" t="str">
        <f t="shared" si="118"/>
        <v>175.357306100353+137.744895061936i</v>
      </c>
      <c r="AT137" s="20">
        <f t="shared" si="119"/>
        <v>46.96564668345264</v>
      </c>
      <c r="AU137" s="44">
        <f t="shared" si="120"/>
        <v>38.149984351149072</v>
      </c>
    </row>
    <row r="138" spans="14:47" x14ac:dyDescent="0.3">
      <c r="N138" s="8">
        <v>20</v>
      </c>
      <c r="O138" s="35">
        <f t="shared" si="121"/>
        <v>158.48931924611153</v>
      </c>
      <c r="P138" s="34" t="str">
        <f t="shared" si="88"/>
        <v>545.10556621881</v>
      </c>
      <c r="Q138" s="4" t="str">
        <f t="shared" si="89"/>
        <v>1+21.2734197531993i</v>
      </c>
      <c r="R138" s="4">
        <f t="shared" si="98"/>
        <v>21.296910292242163</v>
      </c>
      <c r="S138" s="4">
        <f t="shared" si="99"/>
        <v>1.5238238873204977</v>
      </c>
      <c r="T138" s="4" t="str">
        <f t="shared" si="90"/>
        <v>1+0.000497908881016032i</v>
      </c>
      <c r="U138" s="4">
        <f t="shared" si="100"/>
        <v>1.0000001239566192</v>
      </c>
      <c r="V138" s="4">
        <f t="shared" si="101"/>
        <v>4.9790883986996787E-4</v>
      </c>
      <c r="W138" t="str">
        <f t="shared" si="91"/>
        <v>1-0.000517227745599452i</v>
      </c>
      <c r="X138" s="4">
        <f t="shared" si="102"/>
        <v>1.0000001337622615</v>
      </c>
      <c r="Y138" s="4">
        <f t="shared" si="103"/>
        <v>-5.1722769947575432E-4</v>
      </c>
      <c r="Z138" t="str">
        <f t="shared" si="92"/>
        <v>0.999998392392684+0.00223982251385915i</v>
      </c>
      <c r="AA138" s="4">
        <f t="shared" si="104"/>
        <v>1.0000009007960173</v>
      </c>
      <c r="AB138" s="4">
        <f t="shared" si="105"/>
        <v>2.2398223690290259E-3</v>
      </c>
      <c r="AC138" s="48" t="str">
        <f t="shared" si="106"/>
        <v>1.1440782257109-25.5699249452047i</v>
      </c>
      <c r="AD138" s="20">
        <f t="shared" si="107"/>
        <v>28.163274718379508</v>
      </c>
      <c r="AE138" s="44">
        <f t="shared" si="108"/>
        <v>-87.438116722408012</v>
      </c>
      <c r="AF138" t="str">
        <f t="shared" si="93"/>
        <v>-0.0000333790427773504</v>
      </c>
      <c r="AG138" t="str">
        <f t="shared" si="94"/>
        <v>5.39733227021378E-06i</v>
      </c>
      <c r="AH138">
        <f t="shared" si="109"/>
        <v>5.3973322702137796E-6</v>
      </c>
      <c r="AI138">
        <f t="shared" si="110"/>
        <v>1.5707963267948966</v>
      </c>
      <c r="AJ138" t="str">
        <f t="shared" si="95"/>
        <v>1+0.12434860910393i</v>
      </c>
      <c r="AK138">
        <f t="shared" si="111"/>
        <v>1.0077016307350515</v>
      </c>
      <c r="AL138">
        <f t="shared" si="112"/>
        <v>0.12371357371358038</v>
      </c>
      <c r="AM138" t="str">
        <f t="shared" si="96"/>
        <v>1+0.936068696310142i</v>
      </c>
      <c r="AN138">
        <f t="shared" si="113"/>
        <v>1.3697534830077158</v>
      </c>
      <c r="AO138">
        <f t="shared" si="114"/>
        <v>0.7523889617520132</v>
      </c>
      <c r="AP138" s="42" t="str">
        <f t="shared" si="115"/>
        <v>-4.94352908702379+6.79908040626546i</v>
      </c>
      <c r="AQ138">
        <f t="shared" si="116"/>
        <v>18.492103505434514</v>
      </c>
      <c r="AR138" s="44">
        <f t="shared" si="117"/>
        <v>126.02044641835144</v>
      </c>
      <c r="AS138" s="42" t="str">
        <f t="shared" si="118"/>
        <v>168.196191697987+134.184347567301i</v>
      </c>
      <c r="AT138" s="20">
        <f t="shared" si="119"/>
        <v>46.655378223814019</v>
      </c>
      <c r="AU138" s="44">
        <f t="shared" si="120"/>
        <v>38.582329695943592</v>
      </c>
    </row>
    <row r="139" spans="14:47" x14ac:dyDescent="0.3">
      <c r="N139" s="8">
        <v>21</v>
      </c>
      <c r="O139" s="35">
        <f t="shared" si="121"/>
        <v>162.18100973589304</v>
      </c>
      <c r="P139" s="34" t="str">
        <f t="shared" si="88"/>
        <v>545.10556621881</v>
      </c>
      <c r="Q139" s="4" t="str">
        <f t="shared" si="89"/>
        <v>1+21.7689413552958i</v>
      </c>
      <c r="R139" s="4">
        <f t="shared" si="98"/>
        <v>21.791897754218375</v>
      </c>
      <c r="S139" s="4">
        <f t="shared" si="99"/>
        <v>1.5248915916912713</v>
      </c>
      <c r="T139" s="4" t="str">
        <f t="shared" si="90"/>
        <v>1+0.000509506668738055i</v>
      </c>
      <c r="U139" s="4">
        <f t="shared" si="100"/>
        <v>1.0000001297985144</v>
      </c>
      <c r="V139" s="4">
        <f t="shared" si="101"/>
        <v>5.0950662464925329E-4</v>
      </c>
      <c r="W139" t="str">
        <f t="shared" si="91"/>
        <v>1-0.00052927552748509i</v>
      </c>
      <c r="X139" s="4">
        <f t="shared" si="102"/>
        <v>1.0000001400662821</v>
      </c>
      <c r="Y139" s="4">
        <f t="shared" si="103"/>
        <v>-5.2927547806265788E-4</v>
      </c>
      <c r="Z139" t="str">
        <f t="shared" si="92"/>
        <v>0.999998316628485+0.00229199468238472i</v>
      </c>
      <c r="AA139" s="4">
        <f t="shared" si="104"/>
        <v>1.0000009432492689</v>
      </c>
      <c r="AB139" s="4">
        <f t="shared" si="105"/>
        <v>2.2919945271963958E-3</v>
      </c>
      <c r="AC139" s="48" t="str">
        <f t="shared" si="106"/>
        <v>1.09009459700087-24.9903584693904i</v>
      </c>
      <c r="AD139" s="20">
        <f t="shared" si="107"/>
        <v>27.963705434737012</v>
      </c>
      <c r="AE139" s="44">
        <f t="shared" si="108"/>
        <v>-87.502306703838073</v>
      </c>
      <c r="AF139" t="str">
        <f t="shared" si="93"/>
        <v>-0.0000333790427773504</v>
      </c>
      <c r="AG139" t="str">
        <f t="shared" si="94"/>
        <v>5.52305228912053E-06i</v>
      </c>
      <c r="AH139">
        <f t="shared" si="109"/>
        <v>5.52305228912053E-6</v>
      </c>
      <c r="AI139">
        <f t="shared" si="110"/>
        <v>1.5707963267948966</v>
      </c>
      <c r="AJ139" t="str">
        <f t="shared" si="95"/>
        <v>1+0.12724506029591i</v>
      </c>
      <c r="AK139">
        <f t="shared" si="111"/>
        <v>1.0080631455269604</v>
      </c>
      <c r="AL139">
        <f t="shared" si="112"/>
        <v>0.12656490122439054</v>
      </c>
      <c r="AM139" t="str">
        <f t="shared" si="96"/>
        <v>1+0.957872537227546i</v>
      </c>
      <c r="AN139">
        <f t="shared" si="113"/>
        <v>1.3847453908840919</v>
      </c>
      <c r="AO139">
        <f t="shared" si="114"/>
        <v>0.76388452428517872</v>
      </c>
      <c r="AP139" s="42" t="str">
        <f t="shared" si="115"/>
        <v>-4.93998399475682+6.6721747940351i</v>
      </c>
      <c r="AQ139">
        <f t="shared" si="116"/>
        <v>18.38353828241479</v>
      </c>
      <c r="AR139" s="44">
        <f t="shared" si="117"/>
        <v>126.51572460225167</v>
      </c>
      <c r="AS139" s="42" t="str">
        <f t="shared" si="118"/>
        <v>161.354990011413+130.725272555247i</v>
      </c>
      <c r="AT139" s="20">
        <f t="shared" si="119"/>
        <v>46.347243717151798</v>
      </c>
      <c r="AU139" s="44">
        <f t="shared" si="120"/>
        <v>39.013417898413564</v>
      </c>
    </row>
    <row r="140" spans="14:47" x14ac:dyDescent="0.3">
      <c r="N140" s="8">
        <v>22</v>
      </c>
      <c r="O140" s="35">
        <f t="shared" si="121"/>
        <v>165.95869074375622</v>
      </c>
      <c r="P140" s="34" t="str">
        <f t="shared" si="88"/>
        <v>545.10556621881</v>
      </c>
      <c r="Q140" s="4" t="str">
        <f t="shared" si="89"/>
        <v>1+22.276005138245i</v>
      </c>
      <c r="R140" s="4">
        <f t="shared" si="98"/>
        <v>22.298439517578753</v>
      </c>
      <c r="S140" s="4">
        <f t="shared" si="99"/>
        <v>1.525935093357712</v>
      </c>
      <c r="T140" s="4" t="str">
        <f t="shared" si="90"/>
        <v>1+0.000521374603639965i</v>
      </c>
      <c r="U140" s="4">
        <f t="shared" si="100"/>
        <v>1.0000001359157293</v>
      </c>
      <c r="V140" s="4">
        <f t="shared" si="101"/>
        <v>5.2137455639796309E-4</v>
      </c>
      <c r="W140" t="str">
        <f t="shared" si="91"/>
        <v>1-0.000541603938261194i</v>
      </c>
      <c r="X140" s="4">
        <f t="shared" si="102"/>
        <v>1.0000001466674022</v>
      </c>
      <c r="Y140" s="4">
        <f t="shared" si="103"/>
        <v>-5.4160388530410432E-4</v>
      </c>
      <c r="Z140" t="str">
        <f t="shared" si="92"/>
        <v>0.99999823729363+0.00234538209682905i</v>
      </c>
      <c r="AA140" s="4">
        <f t="shared" si="104"/>
        <v>1.000000987703286</v>
      </c>
      <c r="AB140" s="4">
        <f t="shared" si="105"/>
        <v>2.3453819305417076E-3</v>
      </c>
      <c r="AC140" s="48" t="str">
        <f t="shared" si="106"/>
        <v>1.03853062893035-24.4238193793502i</v>
      </c>
      <c r="AD140" s="20">
        <f t="shared" si="107"/>
        <v>27.764116781339393</v>
      </c>
      <c r="AE140" s="44">
        <f t="shared" si="108"/>
        <v>-87.565180201433151</v>
      </c>
      <c r="AF140" t="str">
        <f t="shared" si="93"/>
        <v>-0.0000333790427773504</v>
      </c>
      <c r="AG140" t="str">
        <f t="shared" si="94"/>
        <v>5.65170070345722E-06i</v>
      </c>
      <c r="AH140">
        <f t="shared" si="109"/>
        <v>5.6517007034572201E-6</v>
      </c>
      <c r="AI140">
        <f t="shared" si="110"/>
        <v>1.5707963267948966</v>
      </c>
      <c r="AJ140" t="str">
        <f t="shared" si="95"/>
        <v>1+0.130208978503147i</v>
      </c>
      <c r="AK140">
        <f t="shared" si="111"/>
        <v>1.0084415590815528</v>
      </c>
      <c r="AL140">
        <f t="shared" si="112"/>
        <v>0.12948050401603117</v>
      </c>
      <c r="AM140" t="str">
        <f t="shared" si="96"/>
        <v>1+0.980184254843137i</v>
      </c>
      <c r="AN140">
        <f t="shared" si="113"/>
        <v>1.4002718212698546</v>
      </c>
      <c r="AO140">
        <f t="shared" si="114"/>
        <v>0.77539147654723029</v>
      </c>
      <c r="AP140" s="42" t="str">
        <f t="shared" si="115"/>
        <v>-4.93627727293048+6.54876503602716i</v>
      </c>
      <c r="AQ140">
        <f t="shared" si="116"/>
        <v>18.277126746075819</v>
      </c>
      <c r="AR140" s="44">
        <f t="shared" si="117"/>
        <v>127.00797266722824</v>
      </c>
      <c r="AS140" s="42" t="str">
        <f t="shared" si="118"/>
        <v>154.8193792569+127.363837592028i</v>
      </c>
      <c r="AT140" s="20">
        <f t="shared" si="119"/>
        <v>46.041243527415219</v>
      </c>
      <c r="AU140" s="44">
        <f t="shared" si="120"/>
        <v>39.442792465795172</v>
      </c>
    </row>
    <row r="141" spans="14:47" x14ac:dyDescent="0.3">
      <c r="N141" s="8">
        <v>23</v>
      </c>
      <c r="O141" s="35">
        <f t="shared" si="121"/>
        <v>169.82436524617444</v>
      </c>
      <c r="P141" s="34" t="str">
        <f t="shared" si="88"/>
        <v>545.10556621881</v>
      </c>
      <c r="Q141" s="4" t="str">
        <f t="shared" si="89"/>
        <v>1+22.7948799539761i</v>
      </c>
      <c r="R141" s="4">
        <f t="shared" si="98"/>
        <v>22.816804160885052</v>
      </c>
      <c r="S141" s="4">
        <f t="shared" si="99"/>
        <v>1.5269549365029267</v>
      </c>
      <c r="T141" s="4" t="str">
        <f t="shared" si="90"/>
        <v>1+0.00053351897825793i</v>
      </c>
      <c r="U141" s="4">
        <f t="shared" si="100"/>
        <v>1.0000001423212399</v>
      </c>
      <c r="V141" s="4">
        <f t="shared" si="101"/>
        <v>5.3351892763721343E-4</v>
      </c>
      <c r="W141" t="str">
        <f t="shared" si="91"/>
        <v>1-0.000554219514614336i</v>
      </c>
      <c r="X141" s="4">
        <f t="shared" si="102"/>
        <v>1.0000001535796235</v>
      </c>
      <c r="Y141" s="4">
        <f t="shared" si="103"/>
        <v>-5.5421945786979254E-4</v>
      </c>
      <c r="Z141" t="str">
        <f t="shared" si="92"/>
        <v>0.999998154219838+0.00240001306390589i</v>
      </c>
      <c r="AA141" s="4">
        <f t="shared" si="104"/>
        <v>1.00000103425236</v>
      </c>
      <c r="AB141" s="4">
        <f t="shared" si="105"/>
        <v>2.4000128857257293E-3</v>
      </c>
      <c r="AC141" s="48" t="str">
        <f t="shared" si="106"/>
        <v>0.989278296433552-23.8700221025283i</v>
      </c>
      <c r="AD141" s="20">
        <f t="shared" si="107"/>
        <v>27.564509625319932</v>
      </c>
      <c r="AE141" s="44">
        <f t="shared" si="108"/>
        <v>-87.626770030429412</v>
      </c>
      <c r="AF141" t="str">
        <f t="shared" si="93"/>
        <v>-0.0000333790427773504</v>
      </c>
      <c r="AG141" t="str">
        <f t="shared" si="94"/>
        <v>5.78334572431598E-06i</v>
      </c>
      <c r="AH141">
        <f t="shared" si="109"/>
        <v>5.7833457243159802E-6</v>
      </c>
      <c r="AI141">
        <f t="shared" si="110"/>
        <v>1.5707963267948966</v>
      </c>
      <c r="AJ141" t="str">
        <f t="shared" si="95"/>
        <v>1+0.133241935234305i</v>
      </c>
      <c r="AK141">
        <f t="shared" si="111"/>
        <v>1.0088376545832252</v>
      </c>
      <c r="AL141">
        <f t="shared" si="112"/>
        <v>0.13246172959597544</v>
      </c>
      <c r="AM141" t="str">
        <f t="shared" si="96"/>
        <v>1+1.00301567912491i</v>
      </c>
      <c r="AN141">
        <f t="shared" si="113"/>
        <v>1.4163475747747811</v>
      </c>
      <c r="AO141">
        <f t="shared" si="114"/>
        <v>0.78690373166521377</v>
      </c>
      <c r="AP141" s="42" t="str">
        <f t="shared" si="115"/>
        <v>-4.93240181610974+6.42878280860007i</v>
      </c>
      <c r="AQ141">
        <f t="shared" si="116"/>
        <v>18.172865653280954</v>
      </c>
      <c r="AR141" s="44">
        <f t="shared" si="117"/>
        <v>127.4967646546591</v>
      </c>
      <c r="AS141" s="42" t="str">
        <f t="shared" si="118"/>
        <v>148.575669667671+124.096395674123i</v>
      </c>
      <c r="AT141" s="20">
        <f t="shared" si="119"/>
        <v>45.737375278600879</v>
      </c>
      <c r="AU141" s="44">
        <f t="shared" si="120"/>
        <v>39.869994624229577</v>
      </c>
    </row>
    <row r="142" spans="14:47" x14ac:dyDescent="0.3">
      <c r="N142" s="8">
        <v>24</v>
      </c>
      <c r="O142" s="35">
        <f t="shared" si="121"/>
        <v>173.78008287493768</v>
      </c>
      <c r="P142" s="34" t="str">
        <f t="shared" si="88"/>
        <v>545.10556621881</v>
      </c>
      <c r="Q142" s="4" t="str">
        <f t="shared" si="89"/>
        <v>1+23.3258409167848i</v>
      </c>
      <c r="R142" s="4">
        <f t="shared" si="98"/>
        <v>23.34726653111991</v>
      </c>
      <c r="S142" s="4">
        <f t="shared" si="99"/>
        <v>1.5279516533706712</v>
      </c>
      <c r="T142" s="4" t="str">
        <f t="shared" si="90"/>
        <v>1+0.00054594623170013i</v>
      </c>
      <c r="U142" s="4">
        <f t="shared" si="100"/>
        <v>1.0000001490286328</v>
      </c>
      <c r="V142" s="4">
        <f t="shared" si="101"/>
        <v>5.4594617745905522E-4</v>
      </c>
      <c r="W142" t="str">
        <f t="shared" si="91"/>
        <v>1-0.000567128945490094i</v>
      </c>
      <c r="X142" s="4">
        <f t="shared" si="102"/>
        <v>1.0000001608176075</v>
      </c>
      <c r="Y142" s="4">
        <f t="shared" si="103"/>
        <v>-5.6712888468722069E-4</v>
      </c>
      <c r="Z142" t="str">
        <f t="shared" si="92"/>
        <v>0.999998067230899+0.00245591654967717i</v>
      </c>
      <c r="AA142" s="4">
        <f t="shared" si="104"/>
        <v>1.0000010829952297</v>
      </c>
      <c r="AB142" s="4">
        <f t="shared" si="105"/>
        <v>2.4559163587536161E-3</v>
      </c>
      <c r="AC142" s="48" t="str">
        <f t="shared" si="106"/>
        <v>0.942234359490679-23.3286868398936i</v>
      </c>
      <c r="AD142" s="20">
        <f t="shared" si="107"/>
        <v>27.364884795037913</v>
      </c>
      <c r="AE142" s="44">
        <f t="shared" si="108"/>
        <v>-87.687108360092111</v>
      </c>
      <c r="AF142" t="str">
        <f t="shared" si="93"/>
        <v>-0.0000333790427773504</v>
      </c>
      <c r="AG142" t="str">
        <f t="shared" si="94"/>
        <v>5.91805715162941E-06i</v>
      </c>
      <c r="AH142">
        <f t="shared" si="109"/>
        <v>5.9180571516294101E-6</v>
      </c>
      <c r="AI142">
        <f t="shared" si="110"/>
        <v>1.5707963267948966</v>
      </c>
      <c r="AJ142" t="str">
        <f t="shared" si="95"/>
        <v>1+0.136345538603191i</v>
      </c>
      <c r="AK142">
        <f t="shared" si="111"/>
        <v>1.0092522508753667</v>
      </c>
      <c r="AL142">
        <f t="shared" si="112"/>
        <v>0.13550994656708906</v>
      </c>
      <c r="AM142" t="str">
        <f t="shared" si="96"/>
        <v>1+1.02637891559625i</v>
      </c>
      <c r="AN142">
        <f t="shared" si="113"/>
        <v>1.4329876755857092</v>
      </c>
      <c r="AO142">
        <f t="shared" si="114"/>
        <v>0.7984151887273726</v>
      </c>
      <c r="AP142" s="42" t="str">
        <f t="shared" si="115"/>
        <v>-4.92835023143753+6.3121614106926i</v>
      </c>
      <c r="AQ142">
        <f t="shared" si="116"/>
        <v>18.070749036126706</v>
      </c>
      <c r="AR142" s="44">
        <f t="shared" si="117"/>
        <v>127.98167259288203</v>
      </c>
      <c r="AS142" s="42" t="str">
        <f t="shared" si="118"/>
        <v>142.610775909244+120.919474550329i</v>
      </c>
      <c r="AT142" s="20">
        <f t="shared" si="119"/>
        <v>45.435633831164608</v>
      </c>
      <c r="AU142" s="44">
        <f t="shared" si="120"/>
        <v>40.294564232789995</v>
      </c>
    </row>
    <row r="143" spans="14:47" x14ac:dyDescent="0.3">
      <c r="N143" s="8">
        <v>25</v>
      </c>
      <c r="O143" s="35">
        <f t="shared" si="121"/>
        <v>177.82794100389242</v>
      </c>
      <c r="P143" s="34" t="str">
        <f t="shared" si="88"/>
        <v>545.10556621881</v>
      </c>
      <c r="Q143" s="4" t="str">
        <f t="shared" si="89"/>
        <v>1+23.8691695492017i</v>
      </c>
      <c r="R143" s="4">
        <f t="shared" si="98"/>
        <v>23.890107889428581</v>
      </c>
      <c r="S143" s="4">
        <f t="shared" si="99"/>
        <v>1.5289257645074477</v>
      </c>
      <c r="T143" s="4" t="str">
        <f t="shared" si="90"/>
        <v>1+0.00055866295306083i</v>
      </c>
      <c r="U143" s="4">
        <f t="shared" si="100"/>
        <v>1.0000001560521354</v>
      </c>
      <c r="V143" s="4">
        <f t="shared" si="101"/>
        <v>5.5866289494047191E-4</v>
      </c>
      <c r="W143" t="str">
        <f t="shared" si="91"/>
        <v>1-0.000580339075639588i</v>
      </c>
      <c r="X143" s="4">
        <f t="shared" si="102"/>
        <v>1.0000001683967072</v>
      </c>
      <c r="Y143" s="4">
        <f t="shared" si="103"/>
        <v>-5.803390104881361E-4</v>
      </c>
      <c r="Z143" t="str">
        <f t="shared" si="92"/>
        <v>0.999997976142297+0.00251312219491099i</v>
      </c>
      <c r="AA143" s="4">
        <f t="shared" si="104"/>
        <v>1.0000011340352852</v>
      </c>
      <c r="AB143" s="4">
        <f t="shared" si="105"/>
        <v>2.513121990332638E-3</v>
      </c>
      <c r="AC143" s="48" t="str">
        <f t="shared" si="106"/>
        <v>0.897300154487433-22.7995394824611i</v>
      </c>
      <c r="AD143" s="20">
        <f t="shared" si="107"/>
        <v>27.165243081794817</v>
      </c>
      <c r="AE143" s="44">
        <f t="shared" si="108"/>
        <v>-87.746226728474241</v>
      </c>
      <c r="AF143" t="str">
        <f t="shared" si="93"/>
        <v>-0.0000333790427773504</v>
      </c>
      <c r="AG143" t="str">
        <f t="shared" si="94"/>
        <v>6.05590641117937E-06i</v>
      </c>
      <c r="AH143">
        <f t="shared" si="109"/>
        <v>6.0559064111793698E-6</v>
      </c>
      <c r="AI143">
        <f t="shared" si="110"/>
        <v>1.5707963267948966</v>
      </c>
      <c r="AJ143" t="str">
        <f t="shared" si="95"/>
        <v>1+0.139521434181391i</v>
      </c>
      <c r="AK143">
        <f t="shared" si="111"/>
        <v>1.0096862040238206</v>
      </c>
      <c r="AL143">
        <f t="shared" si="112"/>
        <v>0.13862654443156655</v>
      </c>
      <c r="AM143" t="str">
        <f t="shared" si="96"/>
        <v>1+1.05028635175436i</v>
      </c>
      <c r="AN143">
        <f t="shared" si="113"/>
        <v>1.4502073716132748</v>
      </c>
      <c r="AO143">
        <f t="shared" si="114"/>
        <v>0.80991974893569918</v>
      </c>
      <c r="AP143" s="42" t="str">
        <f t="shared" si="115"/>
        <v>-4.92411482938723+6.19883571593054i</v>
      </c>
      <c r="AQ143">
        <f t="shared" si="116"/>
        <v>17.970768186491458</v>
      </c>
      <c r="AR143" s="44">
        <f t="shared" si="117"/>
        <v>128.46226743389926</v>
      </c>
      <c r="AS143" s="42" t="str">
        <f t="shared" si="118"/>
        <v>136.912190653525+117.829766714333i</v>
      </c>
      <c r="AT143" s="20">
        <f t="shared" si="119"/>
        <v>45.136011268286254</v>
      </c>
      <c r="AU143" s="44">
        <f t="shared" si="120"/>
        <v>40.716040705425087</v>
      </c>
    </row>
    <row r="144" spans="14:47" x14ac:dyDescent="0.3">
      <c r="N144" s="8">
        <v>26</v>
      </c>
      <c r="O144" s="35">
        <f t="shared" si="121"/>
        <v>181.9700858609983</v>
      </c>
      <c r="P144" s="34" t="str">
        <f t="shared" si="88"/>
        <v>545.10556621881</v>
      </c>
      <c r="Q144" s="4" t="str">
        <f t="shared" si="89"/>
        <v>1+24.4251539312591i</v>
      </c>
      <c r="R144" s="4">
        <f t="shared" si="98"/>
        <v>24.44561606026123</v>
      </c>
      <c r="S144" s="4">
        <f t="shared" si="99"/>
        <v>1.5298777790010465</v>
      </c>
      <c r="T144" s="4" t="str">
        <f t="shared" si="90"/>
        <v>1+0.000571675884914015i</v>
      </c>
      <c r="U144" s="4">
        <f t="shared" si="100"/>
        <v>1.0000001634066453</v>
      </c>
      <c r="V144" s="4">
        <f t="shared" si="101"/>
        <v>5.7167582263692972E-4</v>
      </c>
      <c r="W144" t="str">
        <f t="shared" si="91"/>
        <v>1-0.000593856909248677i</v>
      </c>
      <c r="X144" s="4">
        <f t="shared" si="102"/>
        <v>1.0000001763329986</v>
      </c>
      <c r="Y144" s="4">
        <f t="shared" si="103"/>
        <v>-5.9385683943763922E-4</v>
      </c>
      <c r="Z144" t="str">
        <f t="shared" si="92"/>
        <v>0.999997880760823+0.00257166033079762i</v>
      </c>
      <c r="AA144" s="4">
        <f t="shared" si="104"/>
        <v>1.0000011874807919</v>
      </c>
      <c r="AB144" s="4">
        <f t="shared" si="105"/>
        <v>2.5716601115878738E-3</v>
      </c>
      <c r="AC144" s="48" t="str">
        <f t="shared" si="106"/>
        <v>0.854381394378926-22.2823115265732i</v>
      </c>
      <c r="AD144" s="20">
        <f t="shared" si="107"/>
        <v>26.965585241474717</v>
      </c>
      <c r="AE144" s="44">
        <f t="shared" si="108"/>
        <v>-87.804156056992156</v>
      </c>
      <c r="AF144" t="str">
        <f t="shared" si="93"/>
        <v>-0.0000333790427773504</v>
      </c>
      <c r="AG144" t="str">
        <f t="shared" si="94"/>
        <v>6.19696659246794E-06i</v>
      </c>
      <c r="AH144">
        <f t="shared" si="109"/>
        <v>6.19696659246794E-6</v>
      </c>
      <c r="AI144">
        <f t="shared" si="110"/>
        <v>1.5707963267948966</v>
      </c>
      <c r="AJ144" t="str">
        <f t="shared" si="95"/>
        <v>1+0.142771305870777i</v>
      </c>
      <c r="AK144">
        <f t="shared" si="111"/>
        <v>1.0101404089432553</v>
      </c>
      <c r="AL144">
        <f t="shared" si="112"/>
        <v>0.14181293334682366</v>
      </c>
      <c r="AM144" t="str">
        <f t="shared" si="96"/>
        <v>1+1.07475066363835i</v>
      </c>
      <c r="AN144">
        <f t="shared" si="113"/>
        <v>1.4680221350480629</v>
      </c>
      <c r="AO144">
        <f t="shared" si="114"/>
        <v>0.82141133174491643</v>
      </c>
      <c r="AP144" s="42" t="str">
        <f t="shared" si="115"/>
        <v>-4.91968761445586+6.08874212483297i</v>
      </c>
      <c r="AQ144">
        <f t="shared" si="116"/>
        <v>17.872911650547096</v>
      </c>
      <c r="AR144" s="44">
        <f t="shared" si="117"/>
        <v>128.93811999206108</v>
      </c>
      <c r="AS144" s="42" t="str">
        <f t="shared" si="118"/>
        <v>131.46795926655+114.824120025358i</v>
      </c>
      <c r="AT144" s="20">
        <f t="shared" si="119"/>
        <v>44.838496892021823</v>
      </c>
      <c r="AU144" s="44">
        <f t="shared" si="120"/>
        <v>41.133963935068977</v>
      </c>
    </row>
    <row r="145" spans="14:47" x14ac:dyDescent="0.3">
      <c r="N145" s="8">
        <v>27</v>
      </c>
      <c r="O145" s="35">
        <f t="shared" si="121"/>
        <v>186.20871366628685</v>
      </c>
      <c r="P145" s="34" t="str">
        <f t="shared" si="88"/>
        <v>545.10556621881</v>
      </c>
      <c r="Q145" s="4" t="str">
        <f t="shared" si="89"/>
        <v>1+24.9940888532361i</v>
      </c>
      <c r="R145" s="4">
        <f t="shared" si="98"/>
        <v>25.014085583995691</v>
      </c>
      <c r="S145" s="4">
        <f t="shared" si="99"/>
        <v>1.5308081947154935</v>
      </c>
      <c r="T145" s="4" t="str">
        <f t="shared" si="90"/>
        <v>1+0.00058499192688841i</v>
      </c>
      <c r="U145" s="4">
        <f t="shared" si="100"/>
        <v>1.0000001711077626</v>
      </c>
      <c r="V145" s="4">
        <f t="shared" si="101"/>
        <v>5.8499186015731146E-4</v>
      </c>
      <c r="W145" t="str">
        <f t="shared" si="91"/>
        <v>1-0.000607689613651679i</v>
      </c>
      <c r="X145" s="4">
        <f t="shared" si="102"/>
        <v>1.0000001846433162</v>
      </c>
      <c r="Y145" s="4">
        <f t="shared" si="103"/>
        <v>-6.0768953884780493E-4</v>
      </c>
      <c r="Z145" t="str">
        <f t="shared" si="92"/>
        <v>0.999997780884157+0.00263156199503161i</v>
      </c>
      <c r="AA145" s="4">
        <f t="shared" si="104"/>
        <v>1.0000012434451131</v>
      </c>
      <c r="AB145" s="4">
        <f t="shared" si="105"/>
        <v>2.6315617601440355E-3</v>
      </c>
      <c r="AC145" s="48" t="str">
        <f t="shared" si="106"/>
        <v>0.813387977312458-21.7767399881739i</v>
      </c>
      <c r="AD145" s="20">
        <f t="shared" si="107"/>
        <v>26.765911996112884</v>
      </c>
      <c r="AE145" s="44">
        <f t="shared" si="108"/>
        <v>-87.860926664816489</v>
      </c>
      <c r="AF145" t="str">
        <f t="shared" si="93"/>
        <v>-0.0000333790427773504</v>
      </c>
      <c r="AG145" t="str">
        <f t="shared" si="94"/>
        <v>6.34131248747039E-06i</v>
      </c>
      <c r="AH145">
        <f t="shared" si="109"/>
        <v>6.3413124874703903E-6</v>
      </c>
      <c r="AI145">
        <f t="shared" si="110"/>
        <v>1.5707963267948966</v>
      </c>
      <c r="AJ145" t="str">
        <f t="shared" si="95"/>
        <v>1+0.146096876796338i</v>
      </c>
      <c r="AK145">
        <f t="shared" si="111"/>
        <v>1.0106158010884474</v>
      </c>
      <c r="AL145">
        <f t="shared" si="112"/>
        <v>0.14507054382975609</v>
      </c>
      <c r="AM145" t="str">
        <f t="shared" si="96"/>
        <v>1+1.09978482255021i</v>
      </c>
      <c r="AN145">
        <f t="shared" si="113"/>
        <v>1.4864476633611414</v>
      </c>
      <c r="AO145">
        <f t="shared" si="114"/>
        <v>0.83288389088371151</v>
      </c>
      <c r="AP145" s="42" t="str">
        <f t="shared" si="115"/>
        <v>-4.91506027582385+5.98181851705866i</v>
      </c>
      <c r="AQ145">
        <f t="shared" si="116"/>
        <v>17.777165233172305</v>
      </c>
      <c r="AR145" s="44">
        <f t="shared" si="117"/>
        <v>129.40880187895851</v>
      </c>
      <c r="AS145" s="42" t="str">
        <f t="shared" si="118"/>
        <v>126.266655566309+111.899528917059i</v>
      </c>
      <c r="AT145" s="20">
        <f t="shared" si="119"/>
        <v>44.543077229285188</v>
      </c>
      <c r="AU145" s="44">
        <f t="shared" si="120"/>
        <v>41.547875214142124</v>
      </c>
    </row>
    <row r="146" spans="14:47" x14ac:dyDescent="0.3">
      <c r="N146" s="8">
        <v>28</v>
      </c>
      <c r="O146" s="35">
        <f t="shared" si="121"/>
        <v>190.54607179632498</v>
      </c>
      <c r="P146" s="34" t="str">
        <f t="shared" si="88"/>
        <v>545.10556621881</v>
      </c>
      <c r="Q146" s="4" t="str">
        <f t="shared" si="89"/>
        <v>1+25.5762759719592i</v>
      </c>
      <c r="R146" s="4">
        <f t="shared" si="98"/>
        <v>25.595817873117813</v>
      </c>
      <c r="S146" s="4">
        <f t="shared" si="99"/>
        <v>1.5317174985223534</v>
      </c>
      <c r="T146" s="4" t="str">
        <f t="shared" si="90"/>
        <v>1+0.00059861813932573i</v>
      </c>
      <c r="U146" s="4">
        <f t="shared" si="100"/>
        <v>1.0000001791718223</v>
      </c>
      <c r="V146" s="4">
        <f t="shared" si="101"/>
        <v>5.9861806782207031E-4</v>
      </c>
      <c r="W146" t="str">
        <f t="shared" si="91"/>
        <v>1-0.000621844523131567i</v>
      </c>
      <c r="X146" s="4">
        <f t="shared" si="102"/>
        <v>1.0000001933452867</v>
      </c>
      <c r="Y146" s="4">
        <f t="shared" si="103"/>
        <v>-6.2184444297777271E-4</v>
      </c>
      <c r="Z146" t="str">
        <f t="shared" si="92"/>
        <v>0.999997676300449+0.00269285894826823i</v>
      </c>
      <c r="AA146" s="4">
        <f t="shared" si="104"/>
        <v>1.0000013020469587</v>
      </c>
      <c r="AB146" s="4">
        <f t="shared" si="105"/>
        <v>2.692858696581547E-3</v>
      </c>
      <c r="AC146" s="48" t="str">
        <f t="shared" si="106"/>
        <v>0.774233803375294-21.2825673162907i</v>
      </c>
      <c r="AD146" s="20">
        <f t="shared" si="107"/>
        <v>26.56622403539615</v>
      </c>
      <c r="AE146" s="44">
        <f t="shared" si="108"/>
        <v>-87.916568283075804</v>
      </c>
      <c r="AF146" t="str">
        <f t="shared" si="93"/>
        <v>-0.0000333790427773504</v>
      </c>
      <c r="AG146" t="str">
        <f t="shared" si="94"/>
        <v>6.48902063029089E-06i</v>
      </c>
      <c r="AH146">
        <f t="shared" si="109"/>
        <v>6.4890206302908903E-6</v>
      </c>
      <c r="AI146">
        <f t="shared" si="110"/>
        <v>1.5707963267948966</v>
      </c>
      <c r="AJ146" t="str">
        <f t="shared" si="95"/>
        <v>1+0.149499910219798i</v>
      </c>
      <c r="AK146">
        <f t="shared" si="111"/>
        <v>1.0111133582124845</v>
      </c>
      <c r="AL146">
        <f t="shared" si="112"/>
        <v>0.14840082640558636</v>
      </c>
      <c r="AM146" t="str">
        <f t="shared" si="96"/>
        <v>1+1.12540210193238i</v>
      </c>
      <c r="AN146">
        <f t="shared" si="113"/>
        <v>1.5054998807817352</v>
      </c>
      <c r="AO146">
        <f t="shared" si="114"/>
        <v>0.84433143015565082</v>
      </c>
      <c r="AP146" s="42" t="str">
        <f t="shared" si="115"/>
        <v>-4.91022417801419+5.87800420363167i</v>
      </c>
      <c r="AQ146">
        <f t="shared" si="116"/>
        <v>17.683512012116886</v>
      </c>
      <c r="AR146" s="44">
        <f t="shared" si="117"/>
        <v>129.87388642886987</v>
      </c>
      <c r="AS146" s="42" t="str">
        <f t="shared" si="118"/>
        <v>121.297358608461+109.053126157499i</v>
      </c>
      <c r="AT146" s="20">
        <f t="shared" si="119"/>
        <v>44.249736047513018</v>
      </c>
      <c r="AU146" s="44">
        <f t="shared" si="120"/>
        <v>41.957318145794225</v>
      </c>
    </row>
    <row r="147" spans="14:47" x14ac:dyDescent="0.3">
      <c r="N147" s="8">
        <v>29</v>
      </c>
      <c r="O147" s="35">
        <f t="shared" si="121"/>
        <v>194.98445997580458</v>
      </c>
      <c r="P147" s="34" t="str">
        <f t="shared" ref="P147:P210" si="122">COMPLEX(Adc,0)</f>
        <v>545.10556621881</v>
      </c>
      <c r="Q147" s="4" t="str">
        <f t="shared" ref="Q147:Q210" si="123">IMSUM(COMPLEX(1,0),IMDIV(COMPLEX(0,2*PI()*O147),COMPLEX(wp_lf,0)))</f>
        <v>1+26.1720239707443i</v>
      </c>
      <c r="R147" s="4">
        <f t="shared" si="98"/>
        <v>26.191121372045419</v>
      </c>
      <c r="S147" s="4">
        <f t="shared" si="99"/>
        <v>1.5326061665283666</v>
      </c>
      <c r="T147" s="4" t="str">
        <f t="shared" ref="T147:T210" si="124">IMSUM(COMPLEX(1,0),IMDIV(COMPLEX(0,2*PI()*O147),COMPLEX(wz_esr,0)))</f>
        <v>1+0.00061256174702416i</v>
      </c>
      <c r="U147" s="4">
        <f t="shared" si="100"/>
        <v>1.0000001876159295</v>
      </c>
      <c r="V147" s="4">
        <f t="shared" si="101"/>
        <v>6.125616704066091E-4</v>
      </c>
      <c r="W147" t="str">
        <f t="shared" ref="W147:W210" si="125">IMSUB(COMPLEX(1,0),IMDIV(COMPLEX(0,2*PI()*O147),COMPLEX(wz_rhp,0)))</f>
        <v>1-0.000636329142808696i</v>
      </c>
      <c r="X147" s="4">
        <f t="shared" si="102"/>
        <v>1.0000002024573684</v>
      </c>
      <c r="Y147" s="4">
        <f t="shared" si="103"/>
        <v>-6.3632905692235901E-4</v>
      </c>
      <c r="Z147" t="str">
        <f t="shared" ref="Z147:Z210" si="126">IMSUM(COMPLEX(1,0),IMDIV(COMPLEX(0,2*PI()*O147),COMPLEX(Q*(wsl/2),0)),IMDIV(IMPOWER(COMPLEX(0,2*PI()*O147),2),IMPOWER(COMPLEX(wsl/2,0),2)))</f>
        <v>0.999997566787864+0.00275558369096339i</v>
      </c>
      <c r="AA147" s="4">
        <f t="shared" si="104"/>
        <v>1.0000013634106339</v>
      </c>
      <c r="AB147" s="4">
        <f t="shared" si="105"/>
        <v>2.755583421276121E-3</v>
      </c>
      <c r="AC147" s="48" t="str">
        <f t="shared" si="106"/>
        <v>0.736836599143897-20.7995413059173i</v>
      </c>
      <c r="AD147" s="20">
        <f t="shared" si="107"/>
        <v>26.366522018097129</v>
      </c>
      <c r="AE147" s="44">
        <f t="shared" si="108"/>
        <v>-87.971110068872377</v>
      </c>
      <c r="AF147" t="str">
        <f t="shared" ref="AF147:AF210" si="127">COMPLEX(Adc_ea,0)</f>
        <v>-0.0000333790427773504</v>
      </c>
      <c r="AG147" t="str">
        <f t="shared" ref="AG147:AG210" si="128">COMPLEX(0,2*PI()*O147*wp0_ea)</f>
        <v>0.0000066401693377419i</v>
      </c>
      <c r="AH147">
        <f t="shared" si="109"/>
        <v>6.6401693377418997E-6</v>
      </c>
      <c r="AI147">
        <f t="shared" si="110"/>
        <v>1.5707963267948966</v>
      </c>
      <c r="AJ147" t="str">
        <f t="shared" ref="AJ147:AJ210" si="129">IMSUM(COMPLEX(1,0),IMDIV(COMPLEX(0,2*PI()*O147),COMPLEX(wp1_ea,0)))</f>
        <v>1+0.152982210474521i</v>
      </c>
      <c r="AK147">
        <f t="shared" si="111"/>
        <v>1.0116341021939061</v>
      </c>
      <c r="AL147">
        <f t="shared" si="112"/>
        <v>0.15180525119735494</v>
      </c>
      <c r="AM147" t="str">
        <f t="shared" ref="AM147:AM210" si="130">IMSUM(COMPLEX(1,0),IMDIV(COMPLEX(0,2*PI()*O147),COMPLEX(wz_ea,0)))</f>
        <v>1+1.15161608440542i</v>
      </c>
      <c r="AN147">
        <f t="shared" si="113"/>
        <v>1.5251949402818223</v>
      </c>
      <c r="AO147">
        <f t="shared" si="114"/>
        <v>0.85574801891970098</v>
      </c>
      <c r="AP147" s="42" t="str">
        <f t="shared" si="115"/>
        <v>-4.90517035158463+5.77723987908535i</v>
      </c>
      <c r="AQ147">
        <f t="shared" si="116"/>
        <v>17.591932361676569</v>
      </c>
      <c r="AR147" s="44">
        <f t="shared" si="117"/>
        <v>130.33294960924846</v>
      </c>
      <c r="AS147" s="42" t="str">
        <f t="shared" si="118"/>
        <v>116.549630459145+106.282175125289i</v>
      </c>
      <c r="AT147" s="20">
        <f t="shared" si="119"/>
        <v>43.958454379773677</v>
      </c>
      <c r="AU147" s="44">
        <f t="shared" si="120"/>
        <v>42.361839540376103</v>
      </c>
    </row>
    <row r="148" spans="14:47" x14ac:dyDescent="0.3">
      <c r="N148" s="8">
        <v>30</v>
      </c>
      <c r="O148" s="35">
        <f t="shared" si="121"/>
        <v>199.52623149688802</v>
      </c>
      <c r="P148" s="34" t="str">
        <f t="shared" si="122"/>
        <v>545.10556621881</v>
      </c>
      <c r="Q148" s="4" t="str">
        <f t="shared" si="123"/>
        <v>1+26.7816487230666i</v>
      </c>
      <c r="R148" s="4">
        <f t="shared" ref="R148:R211" si="131">IMABS(Q148)</f>
        <v>26.800311720682185</v>
      </c>
      <c r="S148" s="4">
        <f t="shared" ref="S148:S211" si="132">IMARGUMENT(Q148)</f>
        <v>1.5334746642994026</v>
      </c>
      <c r="T148" s="4" t="str">
        <f t="shared" si="124"/>
        <v>1+0.00062683014306908i</v>
      </c>
      <c r="U148" s="4">
        <f t="shared" ref="U148:U211" si="133">IMABS(T148)</f>
        <v>1.0000001964579948</v>
      </c>
      <c r="V148" s="4">
        <f t="shared" ref="V148:V211" si="134">IMARGUMENT(T148)</f>
        <v>6.2683006097189592E-4</v>
      </c>
      <c r="W148" t="str">
        <f t="shared" si="125"/>
        <v>1-0.000651151152620158i</v>
      </c>
      <c r="X148" s="4">
        <f t="shared" ref="X148:X211" si="135">IMABS(W148)</f>
        <v>1.0000002119988893</v>
      </c>
      <c r="Y148" s="4">
        <f t="shared" ref="Y148:Y211" si="136">IMARGUMENT(W148)</f>
        <v>-6.5115106059129098E-4</v>
      </c>
      <c r="Z148" t="str">
        <f t="shared" si="126"/>
        <v>0.999997452114109+0.00281976948060597i</v>
      </c>
      <c r="AA148" s="4">
        <f t="shared" ref="AA148:AA211" si="137">IMABS(Z148)</f>
        <v>1.0000014276662976</v>
      </c>
      <c r="AB148" s="4">
        <f t="shared" ref="AB148:AB211" si="138">IMARGUMENT(Z148)</f>
        <v>2.8197691916307128E-3</v>
      </c>
      <c r="AC148" s="48" t="str">
        <f t="shared" ref="AC148:AC211" si="139">(IMDIV(IMPRODUCT(P148,T148,W148),IMPRODUCT(Q148,Z148)))</f>
        <v>0.701117749722212-20.3274150104775i</v>
      </c>
      <c r="AD148" s="20">
        <f t="shared" ref="AD148:AD211" si="140">20*LOG(IMABS(AC148))</f>
        <v>26.16680657344482</v>
      </c>
      <c r="AE148" s="44">
        <f t="shared" ref="AE148:AE211" si="141">(180/PI())*IMARGUMENT(AC148)</f>
        <v>-88.024580619109685</v>
      </c>
      <c r="AF148" t="str">
        <f t="shared" si="127"/>
        <v>-0.0000333790427773504</v>
      </c>
      <c r="AG148" t="str">
        <f t="shared" si="128"/>
        <v>6.79483875086883E-06i</v>
      </c>
      <c r="AH148">
        <f t="shared" ref="AH148:AH211" si="142">IMABS(AG148)</f>
        <v>6.7948387508688304E-6</v>
      </c>
      <c r="AI148">
        <f t="shared" ref="AI148:AI211" si="143">IMARGUMENT(AG148)</f>
        <v>1.5707963267948966</v>
      </c>
      <c r="AJ148" t="str">
        <f t="shared" si="129"/>
        <v>1+0.156545623922197i</v>
      </c>
      <c r="AK148">
        <f t="shared" ref="AK148:AK211" si="144">IMABS(AJ148)</f>
        <v>1.0121791009348049</v>
      </c>
      <c r="AL148">
        <f t="shared" ref="AL148:AL211" si="145">IMARGUMENT(AJ148)</f>
        <v>0.15528530745189861</v>
      </c>
      <c r="AM148" t="str">
        <f t="shared" si="130"/>
        <v>1+1.17844066896987i</v>
      </c>
      <c r="AN148">
        <f t="shared" ref="AN148:AN211" si="146">IMABS(AM148)</f>
        <v>1.5455492260947741</v>
      </c>
      <c r="AO148">
        <f t="shared" ref="AO148:AO211" si="147">IMARGUMENT(AM148)</f>
        <v>0.86712780715429671</v>
      </c>
      <c r="AP148" s="42" t="str">
        <f t="shared" ref="AP148:AP211" si="148">IMPRODUCT(AF148,IMDIV(AM148,IMPRODUCT(AG148,AJ148)))</f>
        <v>-4.89988948389489+5.67946757346384i</v>
      </c>
      <c r="AQ148">
        <f t="shared" ref="AQ148:AQ211" si="149">20*LOG(IMABS(AP148))</f>
        <v>17.502403985556519</v>
      </c>
      <c r="AR148" s="44">
        <f t="shared" ref="AR148:AR211" si="150">(180/PI())*IMARGUMENT(AP148)</f>
        <v>130.78557091099015</v>
      </c>
      <c r="AS148" s="42" t="str">
        <f t="shared" ref="AS148:AS211" si="151">IMPRODUCT(AC148,AP148)</f>
        <v>112.013494915513+103.584062569333i</v>
      </c>
      <c r="AT148" s="20">
        <f t="shared" ref="AT148:AT211" si="152">20*LOG(IMABS(AS148))</f>
        <v>43.669210559001328</v>
      </c>
      <c r="AU148" s="44">
        <f t="shared" ref="AU148:AU211" si="153">(180/PI())*IMARGUMENT(AS148)</f>
        <v>42.760990291880475</v>
      </c>
    </row>
    <row r="149" spans="14:47" x14ac:dyDescent="0.3">
      <c r="N149" s="8">
        <v>31</v>
      </c>
      <c r="O149" s="35">
        <f t="shared" si="121"/>
        <v>204.17379446695315</v>
      </c>
      <c r="P149" s="34" t="str">
        <f t="shared" si="122"/>
        <v>545.10556621881</v>
      </c>
      <c r="Q149" s="4" t="str">
        <f t="shared" si="123"/>
        <v>1+27.4054734600388i</v>
      </c>
      <c r="R149" s="4">
        <f t="shared" si="131"/>
        <v>27.423711921782051</v>
      </c>
      <c r="S149" s="4">
        <f t="shared" si="132"/>
        <v>1.5343234470807015</v>
      </c>
      <c r="T149" s="4" t="str">
        <f t="shared" si="124"/>
        <v>1+0.00064143089275293i</v>
      </c>
      <c r="U149" s="4">
        <f t="shared" si="133"/>
        <v>1.0000002057167738</v>
      </c>
      <c r="V149" s="4">
        <f t="shared" si="134"/>
        <v>6.4143080478421335E-4</v>
      </c>
      <c r="W149" t="str">
        <f t="shared" si="125"/>
        <v>1-0.000666318411391742i</v>
      </c>
      <c r="X149" s="4">
        <f t="shared" si="135"/>
        <v>1.0000002219900881</v>
      </c>
      <c r="Y149" s="4">
        <f t="shared" si="136"/>
        <v>-6.663183127810355E-4</v>
      </c>
      <c r="Z149" t="str">
        <f t="shared" si="126"/>
        <v>0.999997332035946+0.00288545034935122i</v>
      </c>
      <c r="AA149" s="4">
        <f t="shared" si="137"/>
        <v>1.0000014949502467</v>
      </c>
      <c r="AB149" s="4">
        <f t="shared" si="138"/>
        <v>2.8854500397084938E-3</v>
      </c>
      <c r="AC149" s="48" t="str">
        <f t="shared" si="139"/>
        <v>0.667002137967811-19.8659466540396i</v>
      </c>
      <c r="AD149" s="20">
        <f t="shared" si="140"/>
        <v>25.967078302436146</v>
      </c>
      <c r="AE149" s="44">
        <f t="shared" si="141"/>
        <v>-88.07700798413029</v>
      </c>
      <c r="AF149" t="str">
        <f t="shared" si="127"/>
        <v>-0.0000333790427773504</v>
      </c>
      <c r="AG149" t="str">
        <f t="shared" si="128"/>
        <v>6.95311087744179E-06i</v>
      </c>
      <c r="AH149">
        <f t="shared" si="142"/>
        <v>6.9531108774417903E-6</v>
      </c>
      <c r="AI149">
        <f t="shared" si="143"/>
        <v>1.5707963267948966</v>
      </c>
      <c r="AJ149" t="str">
        <f t="shared" si="129"/>
        <v>1+0.160192039931802i</v>
      </c>
      <c r="AK149">
        <f t="shared" si="144"/>
        <v>1.0127494703318842</v>
      </c>
      <c r="AL149">
        <f t="shared" si="145"/>
        <v>0.1588425029979495</v>
      </c>
      <c r="AM149" t="str">
        <f t="shared" si="130"/>
        <v>1+1.20589007837551i</v>
      </c>
      <c r="AN149">
        <f t="shared" si="146"/>
        <v>1.5665793567912523</v>
      </c>
      <c r="AO149">
        <f t="shared" si="147"/>
        <v>0.87846504001336756</v>
      </c>
      <c r="AP149" s="42" t="str">
        <f t="shared" si="148"/>
        <v>-4.89437190998919+5.58463060411944i</v>
      </c>
      <c r="AQ149">
        <f t="shared" si="149"/>
        <v>17.414901958517255</v>
      </c>
      <c r="AR149" s="44">
        <f t="shared" si="150"/>
        <v>131.23133421348032</v>
      </c>
      <c r="AS149" s="42" t="str">
        <f t="shared" si="151"/>
        <v>107.679417135981+100.956291821583i</v>
      </c>
      <c r="AT149" s="20">
        <f t="shared" si="152"/>
        <v>43.381980260953377</v>
      </c>
      <c r="AU149" s="44">
        <f t="shared" si="153"/>
        <v>43.154326229350062</v>
      </c>
    </row>
    <row r="150" spans="14:47" x14ac:dyDescent="0.3">
      <c r="N150" s="8">
        <v>32</v>
      </c>
      <c r="O150" s="35">
        <f t="shared" si="121"/>
        <v>208.92961308540396</v>
      </c>
      <c r="P150" s="34" t="str">
        <f t="shared" si="122"/>
        <v>545.10556621881</v>
      </c>
      <c r="Q150" s="4" t="str">
        <f t="shared" si="123"/>
        <v>1+28.0438289417941i</v>
      </c>
      <c r="R150" s="4">
        <f t="shared" si="131"/>
        <v>28.061652512220448</v>
      </c>
      <c r="S150" s="4">
        <f t="shared" si="132"/>
        <v>1.5351529600134131</v>
      </c>
      <c r="T150" s="4" t="str">
        <f t="shared" si="124"/>
        <v>1+0.000656371737586465i</v>
      </c>
      <c r="U150" s="4">
        <f t="shared" si="133"/>
        <v>1.0000002154119059</v>
      </c>
      <c r="V150" s="4">
        <f t="shared" si="134"/>
        <v>6.5637164332628796E-4</v>
      </c>
      <c r="W150" t="str">
        <f t="shared" si="125"/>
        <v>1-0.000681838961004818i</v>
      </c>
      <c r="X150" s="4">
        <f t="shared" si="135"/>
        <v>1.0000002324521573</v>
      </c>
      <c r="Y150" s="4">
        <f t="shared" si="136"/>
        <v>-6.8183885534154351E-4</v>
      </c>
      <c r="Z150" t="str">
        <f t="shared" si="126"/>
        <v>0.999997206298674+0.00295266112206518i</v>
      </c>
      <c r="AA150" s="4">
        <f t="shared" si="137"/>
        <v>1.0000015654052019</v>
      </c>
      <c r="AB150" s="4">
        <f t="shared" si="138"/>
        <v>2.9526607902768415E-3</v>
      </c>
      <c r="AC150" s="48" t="str">
        <f t="shared" si="139"/>
        <v>0.634417990614229-19.4148995434269i</v>
      </c>
      <c r="AD150" s="20">
        <f t="shared" si="140"/>
        <v>25.767337779088134</v>
      </c>
      <c r="AE150" s="44">
        <f t="shared" si="141"/>
        <v>-88.128419681165269</v>
      </c>
      <c r="AF150" t="str">
        <f t="shared" si="127"/>
        <v>-0.0000333790427773504</v>
      </c>
      <c r="AG150" t="str">
        <f t="shared" si="128"/>
        <v>7.11506963543726E-06i</v>
      </c>
      <c r="AH150">
        <f t="shared" si="142"/>
        <v>7.1150696354372604E-6</v>
      </c>
      <c r="AI150">
        <f t="shared" si="143"/>
        <v>1.5707963267948966</v>
      </c>
      <c r="AJ150" t="str">
        <f t="shared" si="129"/>
        <v>1+0.163923391881372i</v>
      </c>
      <c r="AK150">
        <f t="shared" si="144"/>
        <v>1.0133463763224764</v>
      </c>
      <c r="AL150">
        <f t="shared" si="145"/>
        <v>0.16247836363182228</v>
      </c>
      <c r="AM150" t="str">
        <f t="shared" si="130"/>
        <v>1+1.23397886666256i</v>
      </c>
      <c r="AN150">
        <f t="shared" si="146"/>
        <v>1.5883021889331439</v>
      </c>
      <c r="AO150">
        <f t="shared" si="147"/>
        <v>0.88975407178918009</v>
      </c>
      <c r="AP150" s="42" t="str">
        <f t="shared" si="148"/>
        <v>-4.88860760364574+5.4926735272446i</v>
      </c>
      <c r="AQ150">
        <f t="shared" si="149"/>
        <v>17.329398776328865</v>
      </c>
      <c r="AR150" s="44">
        <f t="shared" si="150"/>
        <v>131.66982861980469</v>
      </c>
      <c r="AS150" s="42" t="str">
        <f t="shared" si="151"/>
        <v>103.538284143488+98.3964764342694i</v>
      </c>
      <c r="AT150" s="20">
        <f t="shared" si="152"/>
        <v>43.096736555417003</v>
      </c>
      <c r="AU150" s="44">
        <f t="shared" si="153"/>
        <v>43.541408938639385</v>
      </c>
    </row>
    <row r="151" spans="14:47" x14ac:dyDescent="0.3">
      <c r="N151" s="8">
        <v>33</v>
      </c>
      <c r="O151" s="35">
        <f t="shared" si="121"/>
        <v>213.79620895022339</v>
      </c>
      <c r="P151" s="34" t="str">
        <f t="shared" si="122"/>
        <v>545.10556621881</v>
      </c>
      <c r="Q151" s="4" t="str">
        <f t="shared" si="123"/>
        <v>1+28.697053632858i</v>
      </c>
      <c r="R151" s="4">
        <f t="shared" si="131"/>
        <v>28.714471738256456</v>
      </c>
      <c r="S151" s="4">
        <f t="shared" si="132"/>
        <v>1.5359636383474182</v>
      </c>
      <c r="T151" s="4" t="str">
        <f t="shared" si="124"/>
        <v>1+0.00067166059940337i</v>
      </c>
      <c r="U151" s="4">
        <f t="shared" si="133"/>
        <v>1.0000002255639548</v>
      </c>
      <c r="V151" s="4">
        <f t="shared" si="134"/>
        <v>6.7166049840177182E-4</v>
      </c>
      <c r="W151" t="str">
        <f t="shared" si="125"/>
        <v>1-0.000697721030660219i</v>
      </c>
      <c r="X151" s="4">
        <f t="shared" si="135"/>
        <v>1.0000002434072888</v>
      </c>
      <c r="Y151" s="4">
        <f t="shared" si="136"/>
        <v>-6.9772091743998215E-4</v>
      </c>
      <c r="Z151" t="str">
        <f t="shared" si="126"/>
        <v>0.999997074635587+0.00302143743478912i</v>
      </c>
      <c r="AA151" s="4">
        <f t="shared" si="137"/>
        <v>1.0000016391806086</v>
      </c>
      <c r="AB151" s="4">
        <f t="shared" si="138"/>
        <v>3.0214370792713079E-3</v>
      </c>
      <c r="AC151" s="48" t="str">
        <f t="shared" si="139"/>
        <v>0.603296731009123-18.97404198037i</v>
      </c>
      <c r="AD151" s="20">
        <f t="shared" si="140"/>
        <v>25.567585551636274</v>
      </c>
      <c r="AE151" s="44">
        <f t="shared" si="141"/>
        <v>-88.178842707595194</v>
      </c>
      <c r="AF151" t="str">
        <f t="shared" si="127"/>
        <v>-0.0000333790427773504</v>
      </c>
      <c r="AG151" t="str">
        <f t="shared" si="128"/>
        <v>7.28080089753253E-06i</v>
      </c>
      <c r="AH151">
        <f t="shared" si="142"/>
        <v>7.2808008975325296E-6</v>
      </c>
      <c r="AI151">
        <f t="shared" si="143"/>
        <v>1.5707963267948966</v>
      </c>
      <c r="AJ151" t="str">
        <f t="shared" si="129"/>
        <v>1+0.1677416581831i</v>
      </c>
      <c r="AK151">
        <f t="shared" si="144"/>
        <v>1.0139710370074759</v>
      </c>
      <c r="AL151">
        <f t="shared" si="145"/>
        <v>0.1661944324259142</v>
      </c>
      <c r="AM151" t="str">
        <f t="shared" si="130"/>
        <v>1+1.26272192687834i</v>
      </c>
      <c r="AN151">
        <f t="shared" si="146"/>
        <v>1.6107348213220412</v>
      </c>
      <c r="AO151">
        <f t="shared" si="147"/>
        <v>0.90098937920316302</v>
      </c>
      <c r="AP151" s="42" t="str">
        <f t="shared" si="148"/>
        <v>-4.88258616864453+5.40354208907824i</v>
      </c>
      <c r="AQ151">
        <f t="shared" si="149"/>
        <v>17.245864413489841</v>
      </c>
      <c r="AR151" s="44">
        <f t="shared" si="150"/>
        <v>132.10064925787626</v>
      </c>
      <c r="AS151" s="42" t="str">
        <f t="shared" si="151"/>
        <v>99.5813861664531+95.9023342148463i</v>
      </c>
      <c r="AT151" s="20">
        <f t="shared" si="152"/>
        <v>42.813449965126111</v>
      </c>
      <c r="AU151" s="44">
        <f t="shared" si="153"/>
        <v>43.921806550281083</v>
      </c>
    </row>
    <row r="152" spans="14:47" x14ac:dyDescent="0.3">
      <c r="N152" s="8">
        <v>34</v>
      </c>
      <c r="O152" s="35">
        <f t="shared" si="121"/>
        <v>218.77616239495524</v>
      </c>
      <c r="P152" s="34" t="str">
        <f t="shared" si="122"/>
        <v>545.10556621881</v>
      </c>
      <c r="Q152" s="4" t="str">
        <f t="shared" si="123"/>
        <v>1+29.3654938816086i</v>
      </c>
      <c r="R152" s="4">
        <f t="shared" si="131"/>
        <v>29.38251573488547</v>
      </c>
      <c r="S152" s="4">
        <f t="shared" si="132"/>
        <v>1.5367559076504476</v>
      </c>
      <c r="T152" s="4" t="str">
        <f t="shared" si="124"/>
        <v>1+0.00068730558456056i</v>
      </c>
      <c r="U152" s="4">
        <f t="shared" si="133"/>
        <v>1.0000002361944553</v>
      </c>
      <c r="V152" s="4">
        <f t="shared" si="134"/>
        <v>6.8730547633539911E-4</v>
      </c>
      <c r="W152" t="str">
        <f t="shared" si="125"/>
        <v>1-0.000713973041241508i</v>
      </c>
      <c r="X152" s="4">
        <f t="shared" si="135"/>
        <v>1.0000002548787192</v>
      </c>
      <c r="Y152" s="4">
        <f t="shared" si="136"/>
        <v>-7.1397291992384001E-4</v>
      </c>
      <c r="Z152" t="str">
        <f t="shared" si="126"/>
        <v>0.999996936767409+0.00309181575363445i</v>
      </c>
      <c r="AA152" s="4">
        <f t="shared" si="137"/>
        <v>1.0000017164329549</v>
      </c>
      <c r="AB152" s="4">
        <f t="shared" si="138"/>
        <v>3.0918153726900272E-3</v>
      </c>
      <c r="AC152" s="48" t="str">
        <f t="shared" si="139"/>
        <v>0.573572838197114-18.5431471738218i</v>
      </c>
      <c r="AD152" s="20">
        <f t="shared" si="140"/>
        <v>25.367822143678641</v>
      </c>
      <c r="AE152" s="44">
        <f t="shared" si="141"/>
        <v>-88.228303554023569</v>
      </c>
      <c r="AF152" t="str">
        <f t="shared" si="127"/>
        <v>-0.0000333790427773504</v>
      </c>
      <c r="AG152" t="str">
        <f t="shared" si="128"/>
        <v>7.45039253663646E-06i</v>
      </c>
      <c r="AH152">
        <f t="shared" si="142"/>
        <v>7.4503925366364596E-6</v>
      </c>
      <c r="AI152">
        <f t="shared" si="143"/>
        <v>1.5707963267948966</v>
      </c>
      <c r="AJ152" t="str">
        <f t="shared" si="129"/>
        <v>1+0.17164886333232i</v>
      </c>
      <c r="AK152">
        <f t="shared" si="144"/>
        <v>1.0146247248531239</v>
      </c>
      <c r="AL152">
        <f t="shared" si="145"/>
        <v>0.16999226895508426</v>
      </c>
      <c r="AM152" t="str">
        <f t="shared" si="130"/>
        <v>1+1.29213449897386i</v>
      </c>
      <c r="AN152">
        <f t="shared" si="146"/>
        <v>1.633894599855948</v>
      </c>
      <c r="AO152">
        <f t="shared" si="147"/>
        <v>0.91216557395381459</v>
      </c>
      <c r="AP152" s="42" t="str">
        <f t="shared" si="148"/>
        <v>-4.87629683031401+5.31718317672569i</v>
      </c>
      <c r="AQ152">
        <f t="shared" si="149"/>
        <v>17.164266388111521</v>
      </c>
      <c r="AR152" s="44">
        <f t="shared" si="150"/>
        <v>132.5233980437028</v>
      </c>
      <c r="AS152" s="42" t="str">
        <f t="shared" si="151"/>
        <v>95.800398783339+93.4716816336419i</v>
      </c>
      <c r="AT152" s="20">
        <f t="shared" si="152"/>
        <v>42.532088531790166</v>
      </c>
      <c r="AU152" s="44">
        <f t="shared" si="153"/>
        <v>44.295094489679229</v>
      </c>
    </row>
    <row r="153" spans="14:47" x14ac:dyDescent="0.3">
      <c r="N153" s="8">
        <v>35</v>
      </c>
      <c r="O153" s="35">
        <f t="shared" si="121"/>
        <v>223.87211385683412</v>
      </c>
      <c r="P153" s="34" t="str">
        <f t="shared" si="122"/>
        <v>545.10556621881</v>
      </c>
      <c r="Q153" s="4" t="str">
        <f t="shared" si="123"/>
        <v>1+30.0495041039135i</v>
      </c>
      <c r="R153" s="4">
        <f t="shared" si="131"/>
        <v>30.066138709370616</v>
      </c>
      <c r="S153" s="4">
        <f t="shared" si="132"/>
        <v>1.5375301840134992</v>
      </c>
      <c r="T153" s="4" t="str">
        <f t="shared" si="124"/>
        <v>1+0.00070331498823625i</v>
      </c>
      <c r="U153" s="4">
        <f t="shared" si="133"/>
        <v>1.0000002473259557</v>
      </c>
      <c r="V153" s="4">
        <f t="shared" si="134"/>
        <v>7.0331487227090234E-4</v>
      </c>
      <c r="W153" t="str">
        <f t="shared" si="125"/>
        <v>1-0.000730603609779814i</v>
      </c>
      <c r="X153" s="4">
        <f t="shared" si="135"/>
        <v>1.0000002668907817</v>
      </c>
      <c r="Y153" s="4">
        <f t="shared" si="136"/>
        <v>-7.3060347978559257E-4</v>
      </c>
      <c r="Z153" t="str">
        <f t="shared" si="126"/>
        <v>0.999996792401705+0.00316383339411737i</v>
      </c>
      <c r="AA153" s="4">
        <f t="shared" si="137"/>
        <v>1.0000017973261071</v>
      </c>
      <c r="AB153" s="4">
        <f t="shared" si="138"/>
        <v>3.1638329859278122E-3</v>
      </c>
      <c r="AC153" s="48" t="str">
        <f t="shared" si="139"/>
        <v>0.54518371208681-18.1219931525562i</v>
      </c>
      <c r="AD153" s="20">
        <f t="shared" si="140"/>
        <v>25.168048055270297</v>
      </c>
      <c r="AE153" s="44">
        <f t="shared" si="141"/>
        <v>-88.276828217163668</v>
      </c>
      <c r="AF153" t="str">
        <f t="shared" si="127"/>
        <v>-0.0000333790427773504</v>
      </c>
      <c r="AG153" t="str">
        <f t="shared" si="128"/>
        <v>7.62393447248093E-06i</v>
      </c>
      <c r="AH153">
        <f t="shared" si="142"/>
        <v>7.6239344724809297E-6</v>
      </c>
      <c r="AI153">
        <f t="shared" si="143"/>
        <v>1.5707963267948966</v>
      </c>
      <c r="AJ153" t="str">
        <f t="shared" si="129"/>
        <v>1+0.17564707898092i</v>
      </c>
      <c r="AK153">
        <f t="shared" si="144"/>
        <v>1.0153087689735223</v>
      </c>
      <c r="AL153">
        <f t="shared" si="145"/>
        <v>0.17387344843574506</v>
      </c>
      <c r="AM153" t="str">
        <f t="shared" si="130"/>
        <v>1+1.32223217788415i</v>
      </c>
      <c r="AN153">
        <f t="shared" si="146"/>
        <v>1.6577991230038283</v>
      </c>
      <c r="AO153">
        <f t="shared" si="147"/>
        <v>0.92327741445869116</v>
      </c>
      <c r="AP153" s="42" t="str">
        <f t="shared" si="148"/>
        <v>-4.86972842741994+5.23354476853317i</v>
      </c>
      <c r="AQ153">
        <f t="shared" si="149"/>
        <v>17.08456983331833</v>
      </c>
      <c r="AR153" s="44">
        <f t="shared" si="150"/>
        <v>132.93768440348015</v>
      </c>
      <c r="AS153" s="42" t="str">
        <f t="shared" si="151"/>
        <v>92.187365838039+91.1024285807938i</v>
      </c>
      <c r="AT153" s="20">
        <f t="shared" si="152"/>
        <v>42.252617888588624</v>
      </c>
      <c r="AU153" s="44">
        <f t="shared" si="153"/>
        <v>44.660856186316487</v>
      </c>
    </row>
    <row r="154" spans="14:47" x14ac:dyDescent="0.3">
      <c r="N154" s="8">
        <v>36</v>
      </c>
      <c r="O154" s="35">
        <f t="shared" si="121"/>
        <v>229.08676527677744</v>
      </c>
      <c r="P154" s="34" t="str">
        <f t="shared" si="122"/>
        <v>545.10556621881</v>
      </c>
      <c r="Q154" s="4" t="str">
        <f t="shared" si="123"/>
        <v>1+30.7494469710464i</v>
      </c>
      <c r="R154" s="4">
        <f t="shared" si="131"/>
        <v>30.765703129055815</v>
      </c>
      <c r="S154" s="4">
        <f t="shared" si="132"/>
        <v>1.5382868742525737</v>
      </c>
      <c r="T154" s="4" t="str">
        <f t="shared" si="124"/>
        <v>1+0.000719697298828175i</v>
      </c>
      <c r="U154" s="4">
        <f t="shared" si="133"/>
        <v>1.0000002589820673</v>
      </c>
      <c r="V154" s="4">
        <f t="shared" si="134"/>
        <v>7.1969717456906801E-4</v>
      </c>
      <c r="W154" t="str">
        <f t="shared" si="125"/>
        <v>1-0.000747621554022706i</v>
      </c>
      <c r="X154" s="4">
        <f t="shared" si="135"/>
        <v>1.0000002794689551</v>
      </c>
      <c r="Y154" s="4">
        <f t="shared" si="136"/>
        <v>-7.4762141473139036E-4</v>
      </c>
      <c r="Z154" t="str">
        <f t="shared" si="126"/>
        <v>0.999996641232254+0.00323752854094414i</v>
      </c>
      <c r="AA154" s="4">
        <f t="shared" si="137"/>
        <v>1.0000018820316503</v>
      </c>
      <c r="AB154" s="4">
        <f t="shared" si="138"/>
        <v>3.2375281035608668E-3</v>
      </c>
      <c r="AC154" s="48" t="str">
        <f t="shared" si="139"/>
        <v>0.518069544450372-17.7103626781532i</v>
      </c>
      <c r="AD154" s="20">
        <f t="shared" si="140"/>
        <v>24.968263763968892</v>
      </c>
      <c r="AE154" s="44">
        <f t="shared" si="141"/>
        <v>-88.32444221254049</v>
      </c>
      <c r="AF154" t="str">
        <f t="shared" si="127"/>
        <v>-0.0000333790427773504</v>
      </c>
      <c r="AG154" t="str">
        <f t="shared" si="128"/>
        <v>0.0000078015187192974i</v>
      </c>
      <c r="AH154">
        <f t="shared" si="142"/>
        <v>7.8015187192973996E-6</v>
      </c>
      <c r="AI154">
        <f t="shared" si="143"/>
        <v>1.5707963267948966</v>
      </c>
      <c r="AJ154" t="str">
        <f t="shared" si="129"/>
        <v>1+0.17973842503576i</v>
      </c>
      <c r="AK154">
        <f t="shared" si="144"/>
        <v>1.0160245574957012</v>
      </c>
      <c r="AL154">
        <f t="shared" si="145"/>
        <v>0.17783956077232674</v>
      </c>
      <c r="AM154" t="str">
        <f t="shared" si="130"/>
        <v>1+1.35303092179697i</v>
      </c>
      <c r="AN154">
        <f t="shared" si="146"/>
        <v>1.682466247904771</v>
      </c>
      <c r="AO154">
        <f t="shared" si="147"/>
        <v>0.93431981673646658</v>
      </c>
      <c r="AP154" s="42" t="str">
        <f t="shared" si="148"/>
        <v>-4.8628694044686+5.15257588395925i</v>
      </c>
      <c r="AQ154">
        <f t="shared" si="149"/>
        <v>17.006737574477182</v>
      </c>
      <c r="AR154" s="44">
        <f t="shared" si="150"/>
        <v>133.34312595172133</v>
      </c>
      <c r="AS154" s="42" t="str">
        <f t="shared" si="151"/>
        <v>88.7346830945294+88.7925734505825i</v>
      </c>
      <c r="AT154" s="20">
        <f t="shared" si="152"/>
        <v>41.97500133844607</v>
      </c>
      <c r="AU154" s="44">
        <f t="shared" si="153"/>
        <v>45.018683739180865</v>
      </c>
    </row>
    <row r="155" spans="14:47" x14ac:dyDescent="0.3">
      <c r="N155" s="8">
        <v>37</v>
      </c>
      <c r="O155" s="35">
        <f t="shared" si="121"/>
        <v>234.42288153199232</v>
      </c>
      <c r="P155" s="34" t="str">
        <f t="shared" si="122"/>
        <v>545.10556621881</v>
      </c>
      <c r="Q155" s="4" t="str">
        <f t="shared" si="123"/>
        <v>1+31.4656936019803i</v>
      </c>
      <c r="R155" s="4">
        <f t="shared" si="131"/>
        <v>31.48157991355745</v>
      </c>
      <c r="S155" s="4">
        <f t="shared" si="132"/>
        <v>1.539026376106744</v>
      </c>
      <c r="T155" s="4" t="str">
        <f t="shared" si="124"/>
        <v>1+0.000736461202454255i</v>
      </c>
      <c r="U155" s="4">
        <f t="shared" si="133"/>
        <v>1.0000002711875147</v>
      </c>
      <c r="V155" s="4">
        <f t="shared" si="134"/>
        <v>7.3646106930822484E-4</v>
      </c>
      <c r="W155" t="str">
        <f t="shared" si="125"/>
        <v>1-0.000765035897109478i</v>
      </c>
      <c r="X155" s="4">
        <f t="shared" si="135"/>
        <v>1.0000002926399192</v>
      </c>
      <c r="Y155" s="4">
        <f t="shared" si="136"/>
        <v>-7.6503574785614654E-4</v>
      </c>
      <c r="Z155" t="str">
        <f t="shared" si="126"/>
        <v>0.999996482938407+0.00331294026825705i</v>
      </c>
      <c r="AA155" s="4">
        <f t="shared" si="137"/>
        <v>1.0000019707292607</v>
      </c>
      <c r="AB155" s="4">
        <f t="shared" si="138"/>
        <v>3.3129397995921091E-3</v>
      </c>
      <c r="AC155" s="48" t="str">
        <f t="shared" si="139"/>
        <v>0.492173195513843-17.3080431584664i</v>
      </c>
      <c r="AD155" s="20">
        <f t="shared" si="140"/>
        <v>24.768469725833459</v>
      </c>
      <c r="AE155" s="44">
        <f t="shared" si="141"/>
        <v>-88.371170587009388</v>
      </c>
      <c r="AF155" t="str">
        <f t="shared" si="127"/>
        <v>-0.0000333790427773504</v>
      </c>
      <c r="AG155" t="str">
        <f t="shared" si="128"/>
        <v>7.98323943460415E-06i</v>
      </c>
      <c r="AH155">
        <f t="shared" si="142"/>
        <v>7.9832394346041502E-6</v>
      </c>
      <c r="AI155">
        <f t="shared" si="143"/>
        <v>1.5707963267948966</v>
      </c>
      <c r="AJ155" t="str">
        <f t="shared" si="129"/>
        <v>1+0.183925070782671i</v>
      </c>
      <c r="AK155">
        <f t="shared" si="144"/>
        <v>1.0167735400089886</v>
      </c>
      <c r="AL155">
        <f t="shared" si="145"/>
        <v>0.18189220950557064</v>
      </c>
      <c r="AM155" t="str">
        <f t="shared" si="130"/>
        <v>1+1.384547060614i</v>
      </c>
      <c r="AN155">
        <f t="shared" si="146"/>
        <v>1.7079140970947184</v>
      </c>
      <c r="AO155">
        <f t="shared" si="147"/>
        <v>0.9452878643838597</v>
      </c>
      <c r="AP155" s="42" t="str">
        <f t="shared" si="148"/>
        <v>-4.85570780450021+5.07422653288633i</v>
      </c>
      <c r="AQ155">
        <f t="shared" si="149"/>
        <v>16.93073021153641</v>
      </c>
      <c r="AR155" s="44">
        <f t="shared" si="150"/>
        <v>133.7393491231515</v>
      </c>
      <c r="AS155" s="42" t="str">
        <f t="shared" si="151"/>
        <v>85.4350826004096+86.5401985326436i</v>
      </c>
      <c r="AT155" s="20">
        <f t="shared" si="152"/>
        <v>41.699199937369883</v>
      </c>
      <c r="AU155" s="44">
        <f t="shared" si="153"/>
        <v>45.368178536142103</v>
      </c>
    </row>
    <row r="156" spans="14:47" x14ac:dyDescent="0.3">
      <c r="N156" s="8">
        <v>38</v>
      </c>
      <c r="O156" s="35">
        <f t="shared" si="121"/>
        <v>239.88329190194912</v>
      </c>
      <c r="P156" s="34" t="str">
        <f t="shared" si="122"/>
        <v>545.10556621881</v>
      </c>
      <c r="Q156" s="4" t="str">
        <f t="shared" si="123"/>
        <v>1+32.1986237601599i</v>
      </c>
      <c r="R156" s="4">
        <f t="shared" si="131"/>
        <v>32.214148631437297</v>
      </c>
      <c r="S156" s="4">
        <f t="shared" si="132"/>
        <v>1.5397490784325827</v>
      </c>
      <c r="T156" s="4" t="str">
        <f t="shared" si="124"/>
        <v>1+0.0007536155875581i</v>
      </c>
      <c r="U156" s="4">
        <f t="shared" si="133"/>
        <v>1.0000002839681865</v>
      </c>
      <c r="V156" s="4">
        <f t="shared" si="134"/>
        <v>7.5361544488956043E-4</v>
      </c>
      <c r="W156" t="str">
        <f t="shared" si="125"/>
        <v>1-0.000782855872355352i</v>
      </c>
      <c r="X156" s="4">
        <f t="shared" si="135"/>
        <v>1.0000003064316116</v>
      </c>
      <c r="Y156" s="4">
        <f t="shared" si="136"/>
        <v>-7.8285571242752859E-4</v>
      </c>
      <c r="Z156" t="str">
        <f t="shared" si="126"/>
        <v>0.999996317184401+0.00339010856035218i</v>
      </c>
      <c r="AA156" s="4">
        <f t="shared" si="137"/>
        <v>1.0000020636070786</v>
      </c>
      <c r="AB156" s="4">
        <f t="shared" si="138"/>
        <v>3.3901080581682898E-3</v>
      </c>
      <c r="AC156" s="48" t="str">
        <f t="shared" si="139"/>
        <v>0.467440075905399-16.9148265616623i</v>
      </c>
      <c r="AD156" s="20">
        <f t="shared" si="140"/>
        <v>24.568666376379582</v>
      </c>
      <c r="AE156" s="44">
        <f t="shared" si="141"/>
        <v>-88.417037931093049</v>
      </c>
      <c r="AF156" t="str">
        <f t="shared" si="127"/>
        <v>-0.0000333790427773504</v>
      </c>
      <c r="AG156" t="str">
        <f t="shared" si="128"/>
        <v>0.0000081691929691298i</v>
      </c>
      <c r="AH156">
        <f t="shared" si="142"/>
        <v>8.1691929691298E-6</v>
      </c>
      <c r="AI156">
        <f t="shared" si="143"/>
        <v>1.5707963267948966</v>
      </c>
      <c r="AJ156" t="str">
        <f t="shared" si="129"/>
        <v>1+0.18820923603665i</v>
      </c>
      <c r="AK156">
        <f t="shared" si="144"/>
        <v>1.0175572301003513</v>
      </c>
      <c r="AL156">
        <f t="shared" si="145"/>
        <v>0.18603301065695205</v>
      </c>
      <c r="AM156" t="str">
        <f t="shared" si="130"/>
        <v>1+1.41679730460923i</v>
      </c>
      <c r="AN156">
        <f t="shared" si="146"/>
        <v>1.7341610658609479</v>
      </c>
      <c r="AO156">
        <f t="shared" si="147"/>
        <v>0.95617681761167383</v>
      </c>
      <c r="AP156" s="42" t="str">
        <f t="shared" si="148"/>
        <v>-4.84823126245792+4.99844766431959i</v>
      </c>
      <c r="AQ156">
        <f t="shared" si="149"/>
        <v>16.856506205739048</v>
      </c>
      <c r="AR156" s="44">
        <f t="shared" si="150"/>
        <v>134.12598975664355</v>
      </c>
      <c r="AS156" s="42" t="str">
        <f t="shared" si="151"/>
        <v>82.2816177301816+84.3434656909235i</v>
      </c>
      <c r="AT156" s="20">
        <f t="shared" si="152"/>
        <v>41.42517258211862</v>
      </c>
      <c r="AU156" s="44">
        <f t="shared" si="153"/>
        <v>45.708951825550514</v>
      </c>
    </row>
    <row r="157" spans="14:47" x14ac:dyDescent="0.3">
      <c r="N157" s="8">
        <v>39</v>
      </c>
      <c r="O157" s="35">
        <f t="shared" si="121"/>
        <v>245.4708915685033</v>
      </c>
      <c r="P157" s="34" t="str">
        <f t="shared" si="122"/>
        <v>545.10556621881</v>
      </c>
      <c r="Q157" s="4" t="str">
        <f t="shared" si="123"/>
        <v>1+32.9486260548561i</v>
      </c>
      <c r="R157" s="4">
        <f t="shared" si="131"/>
        <v>32.963797701459434</v>
      </c>
      <c r="S157" s="4">
        <f t="shared" si="132"/>
        <v>1.5404553613949701</v>
      </c>
      <c r="T157" s="4" t="str">
        <f t="shared" si="124"/>
        <v>1+0.000771169549621745i</v>
      </c>
      <c r="U157" s="4">
        <f t="shared" si="133"/>
        <v>1.0000002973511928</v>
      </c>
      <c r="V157" s="4">
        <f t="shared" si="134"/>
        <v>7.7116939674965314E-4</v>
      </c>
      <c r="W157" t="str">
        <f t="shared" si="125"/>
        <v>1-0.000801090928147066i</v>
      </c>
      <c r="X157" s="4">
        <f t="shared" si="135"/>
        <v>1.0000003208732862</v>
      </c>
      <c r="Y157" s="4">
        <f t="shared" si="136"/>
        <v>-8.0109075678131878E-4</v>
      </c>
      <c r="Z157" t="str">
        <f t="shared" si="126"/>
        <v>0.999996143618649+0.00346907433287937i</v>
      </c>
      <c r="AA157" s="4">
        <f t="shared" si="137"/>
        <v>1.0000021608621137</v>
      </c>
      <c r="AB157" s="4">
        <f t="shared" si="138"/>
        <v>3.4690737947792351E-3</v>
      </c>
      <c r="AC157" s="48" t="str">
        <f t="shared" si="139"/>
        <v>0.443818033737495-16.5305093309074i</v>
      </c>
      <c r="AD157" s="20">
        <f t="shared" si="140"/>
        <v>24.368854131491531</v>
      </c>
      <c r="AE157" s="44">
        <f t="shared" si="141"/>
        <v>-88.462068391139141</v>
      </c>
      <c r="AF157" t="str">
        <f t="shared" si="127"/>
        <v>-0.0000333790427773504</v>
      </c>
      <c r="AG157" t="str">
        <f t="shared" si="128"/>
        <v>8.35947791789974E-06i</v>
      </c>
      <c r="AH157">
        <f t="shared" si="142"/>
        <v>8.3594779178997392E-6</v>
      </c>
      <c r="AI157">
        <f t="shared" si="143"/>
        <v>1.5707963267948966</v>
      </c>
      <c r="AJ157" t="str">
        <f t="shared" si="129"/>
        <v>1+0.192593192318818i</v>
      </c>
      <c r="AK157">
        <f t="shared" si="144"/>
        <v>1.0183772079772571</v>
      </c>
      <c r="AL157">
        <f t="shared" si="145"/>
        <v>0.19026359146330005</v>
      </c>
      <c r="AM157" t="str">
        <f t="shared" si="130"/>
        <v>1+1.44979875328888i</v>
      </c>
      <c r="AN157">
        <f t="shared" si="146"/>
        <v>1.7612258302210966</v>
      </c>
      <c r="AO157">
        <f t="shared" si="147"/>
        <v>0.96698212131333028</v>
      </c>
      <c r="AP157" s="42" t="str">
        <f t="shared" si="148"/>
        <v>-4.84042699922206+4.92519111442075i</v>
      </c>
      <c r="AQ157">
        <f t="shared" si="149"/>
        <v>16.784021969960325</v>
      </c>
      <c r="AR157" s="44">
        <f t="shared" si="150"/>
        <v>134.50269363001277</v>
      </c>
      <c r="AS157" s="42" t="str">
        <f t="shared" si="151"/>
        <v>79.2676488801898+82.2006123124i</v>
      </c>
      <c r="AT157" s="20">
        <f t="shared" si="152"/>
        <v>41.152876101451866</v>
      </c>
      <c r="AU157" s="44">
        <f t="shared" si="153"/>
        <v>46.040625238873645</v>
      </c>
    </row>
    <row r="158" spans="14:47" x14ac:dyDescent="0.3">
      <c r="N158" s="8">
        <v>40</v>
      </c>
      <c r="O158" s="35">
        <f t="shared" si="121"/>
        <v>251.18864315095806</v>
      </c>
      <c r="P158" s="34" t="str">
        <f t="shared" si="122"/>
        <v>545.10556621881</v>
      </c>
      <c r="Q158" s="4" t="str">
        <f t="shared" si="123"/>
        <v>1+33.7160981472135i</v>
      </c>
      <c r="R158" s="4">
        <f t="shared" si="131"/>
        <v>33.730924598542117</v>
      </c>
      <c r="S158" s="4">
        <f t="shared" si="132"/>
        <v>1.5411455966543168</v>
      </c>
      <c r="T158" s="4" t="str">
        <f t="shared" si="124"/>
        <v>1+0.00078913239598824i</v>
      </c>
      <c r="U158" s="4">
        <f t="shared" si="133"/>
        <v>1.0000003113649207</v>
      </c>
      <c r="V158" s="4">
        <f t="shared" si="134"/>
        <v>7.8913223218284511E-4</v>
      </c>
      <c r="W158" t="str">
        <f t="shared" si="125"/>
        <v>1-0.000819750732952581i</v>
      </c>
      <c r="X158" s="4">
        <f t="shared" si="135"/>
        <v>1.0000003359955756</v>
      </c>
      <c r="Y158" s="4">
        <f t="shared" si="136"/>
        <v>-8.1975054933087783E-4</v>
      </c>
      <c r="Z158" t="str">
        <f t="shared" si="126"/>
        <v>0.999995961872995+0.00354987945453651i</v>
      </c>
      <c r="AA158" s="4">
        <f t="shared" si="137"/>
        <v>1.0000022627006591</v>
      </c>
      <c r="AB158" s="4">
        <f t="shared" si="138"/>
        <v>3.5498788779513776E-3</v>
      </c>
      <c r="AC158" s="48" t="str">
        <f t="shared" si="139"/>
        <v>0.421257246607447-16.1548922997755i</v>
      </c>
      <c r="AD158" s="20">
        <f t="shared" si="140"/>
        <v>24.169033388293897</v>
      </c>
      <c r="AE158" s="44">
        <f t="shared" si="141"/>
        <v>-88.50628568130108</v>
      </c>
      <c r="AF158" t="str">
        <f t="shared" si="127"/>
        <v>-0.0000333790427773504</v>
      </c>
      <c r="AG158" t="str">
        <f t="shared" si="128"/>
        <v>0.0000085541951725125i</v>
      </c>
      <c r="AH158">
        <f t="shared" si="142"/>
        <v>8.5541951725124999E-6</v>
      </c>
      <c r="AI158">
        <f t="shared" si="143"/>
        <v>1.5707963267948966</v>
      </c>
      <c r="AJ158" t="str">
        <f t="shared" si="129"/>
        <v>1+0.197079264060827i</v>
      </c>
      <c r="AK158">
        <f t="shared" si="144"/>
        <v>1.0192351231795131</v>
      </c>
      <c r="AL158">
        <f t="shared" si="145"/>
        <v>0.1945855889956245</v>
      </c>
      <c r="AM158" t="str">
        <f t="shared" si="130"/>
        <v>1+1.48356890445789i</v>
      </c>
      <c r="AN158">
        <f t="shared" si="146"/>
        <v>1.7891273555212284</v>
      </c>
      <c r="AO158">
        <f t="shared" si="147"/>
        <v>0.9776994121487208</v>
      </c>
      <c r="AP158" s="42" t="str">
        <f t="shared" si="148"/>
        <v>-4.8322818164099+4.85440955383063i</v>
      </c>
      <c r="AQ158">
        <f t="shared" si="149"/>
        <v>16.713231961924592</v>
      </c>
      <c r="AR158" s="44">
        <f t="shared" si="150"/>
        <v>134.86911694502675</v>
      </c>
      <c r="AS158" s="42" t="str">
        <f t="shared" si="151"/>
        <v>76.386829788323+80.109947508817i</v>
      </c>
      <c r="AT158" s="20">
        <f t="shared" si="152"/>
        <v>40.882265350218489</v>
      </c>
      <c r="AU158" s="44">
        <f t="shared" si="153"/>
        <v>46.362831263725688</v>
      </c>
    </row>
    <row r="159" spans="14:47" x14ac:dyDescent="0.3">
      <c r="N159" s="8">
        <v>41</v>
      </c>
      <c r="O159" s="35">
        <f t="shared" si="121"/>
        <v>257.03957827688663</v>
      </c>
      <c r="P159" s="34" t="str">
        <f t="shared" si="122"/>
        <v>545.10556621881</v>
      </c>
      <c r="Q159" s="4" t="str">
        <f t="shared" si="123"/>
        <v>1+34.5014469610936i</v>
      </c>
      <c r="R159" s="4">
        <f t="shared" si="131"/>
        <v>34.515936064507287</v>
      </c>
      <c r="S159" s="4">
        <f t="shared" si="132"/>
        <v>1.5418201475502273</v>
      </c>
      <c r="T159" s="4" t="str">
        <f t="shared" si="124"/>
        <v>1+0.000807513650796485i</v>
      </c>
      <c r="U159" s="4">
        <f t="shared" si="133"/>
        <v>1.0000003260390951</v>
      </c>
      <c r="V159" s="4">
        <f t="shared" si="134"/>
        <v>8.0751347527584509E-4</v>
      </c>
      <c r="W159" t="str">
        <f t="shared" si="125"/>
        <v>1-0.000838845180447386i</v>
      </c>
      <c r="X159" s="4">
        <f t="shared" si="135"/>
        <v>1.0000003518305565</v>
      </c>
      <c r="Y159" s="4">
        <f t="shared" si="136"/>
        <v>-8.388449836931901E-4</v>
      </c>
      <c r="Z159" t="str">
        <f t="shared" si="126"/>
        <v>0.999995771561933+0.00363256676926862i</v>
      </c>
      <c r="AA159" s="4">
        <f t="shared" si="137"/>
        <v>1.0000023693387325</v>
      </c>
      <c r="AB159" s="4">
        <f t="shared" si="138"/>
        <v>3.6325661514460118E-3</v>
      </c>
      <c r="AC159" s="48" t="str">
        <f t="shared" si="139"/>
        <v>0.399710118309535-15.7877806084392i</v>
      </c>
      <c r="AD159" s="20">
        <f t="shared" si="140"/>
        <v>23.969204525984527</v>
      </c>
      <c r="AE159" s="44">
        <f t="shared" si="141"/>
        <v>-88.549713095343918</v>
      </c>
      <c r="AF159" t="str">
        <f t="shared" si="127"/>
        <v>-0.0000333790427773504</v>
      </c>
      <c r="AG159" t="str">
        <f t="shared" si="128"/>
        <v>8.75344797463391E-06i</v>
      </c>
      <c r="AH159">
        <f t="shared" si="142"/>
        <v>8.7534479746339106E-6</v>
      </c>
      <c r="AI159">
        <f t="shared" si="143"/>
        <v>1.5707963267948966</v>
      </c>
      <c r="AJ159" t="str">
        <f t="shared" si="129"/>
        <v>1+0.201669829837292i</v>
      </c>
      <c r="AK159">
        <f t="shared" si="144"/>
        <v>1.0201326973813762</v>
      </c>
      <c r="AL159">
        <f t="shared" si="145"/>
        <v>0.19900064865589615</v>
      </c>
      <c r="AM159" t="str">
        <f t="shared" si="130"/>
        <v>1+1.5181256634974i</v>
      </c>
      <c r="AN159">
        <f t="shared" si="146"/>
        <v>1.8178849056443098</v>
      </c>
      <c r="AO159">
        <f t="shared" si="147"/>
        <v>0.98832452463497988</v>
      </c>
      <c r="AP159" s="42" t="str">
        <f t="shared" si="148"/>
        <v>-4.82378209204483+4.78605643423508i</v>
      </c>
      <c r="AQ159">
        <f t="shared" si="149"/>
        <v>16.64408877955902</v>
      </c>
      <c r="AR159" s="44">
        <f t="shared" si="150"/>
        <v>135.22492676250906</v>
      </c>
      <c r="AS159" s="42" t="str">
        <f t="shared" si="151"/>
        <v>73.6330944526016+78.0698485556859i</v>
      </c>
      <c r="AT159" s="20">
        <f t="shared" si="152"/>
        <v>40.61329330554355</v>
      </c>
      <c r="AU159" s="44">
        <f t="shared" si="153"/>
        <v>46.675213667165146</v>
      </c>
    </row>
    <row r="160" spans="14:47" x14ac:dyDescent="0.3">
      <c r="N160" s="8">
        <v>42</v>
      </c>
      <c r="O160" s="35">
        <f t="shared" si="121"/>
        <v>263.02679918953817</v>
      </c>
      <c r="P160" s="34" t="str">
        <f t="shared" si="122"/>
        <v>545.10556621881</v>
      </c>
      <c r="Q160" s="4" t="str">
        <f t="shared" si="123"/>
        <v>1+35.3050888988331i</v>
      </c>
      <c r="R160" s="4">
        <f t="shared" si="131"/>
        <v>35.319248323747033</v>
      </c>
      <c r="S160" s="4">
        <f t="shared" si="132"/>
        <v>1.5424793692816432</v>
      </c>
      <c r="T160" s="4" t="str">
        <f t="shared" si="124"/>
        <v>1+0.00082632306003109i</v>
      </c>
      <c r="U160" s="4">
        <f t="shared" si="133"/>
        <v>1.0000003414048415</v>
      </c>
      <c r="V160" s="4">
        <f t="shared" si="134"/>
        <v>8.2632287195733944E-4</v>
      </c>
      <c r="W160" t="str">
        <f t="shared" si="125"/>
        <v>1-0.000858384394760294i</v>
      </c>
      <c r="X160" s="4">
        <f t="shared" si="135"/>
        <v>1.0000003684118166</v>
      </c>
      <c r="Y160" s="4">
        <f t="shared" si="136"/>
        <v>-8.5838418393437881E-4</v>
      </c>
      <c r="Z160" t="str">
        <f t="shared" si="126"/>
        <v>0.999995572281786+0.00371718011898452i</v>
      </c>
      <c r="AA160" s="4">
        <f t="shared" si="137"/>
        <v>1.0000024810025292</v>
      </c>
      <c r="AB160" s="4">
        <f t="shared" si="138"/>
        <v>3.717179456975102E-3</v>
      </c>
      <c r="AC160" s="48" t="str">
        <f t="shared" si="139"/>
        <v>0.37913118005942-15.4289836207019i</v>
      </c>
      <c r="AD160" s="20">
        <f t="shared" si="140"/>
        <v>23.769367906630091</v>
      </c>
      <c r="AE160" s="44">
        <f t="shared" si="141"/>
        <v>-88.592373518278649</v>
      </c>
      <c r="AF160" t="str">
        <f t="shared" si="127"/>
        <v>-0.0000333790427773504</v>
      </c>
      <c r="AG160" t="str">
        <f t="shared" si="128"/>
        <v>8.95734197073703E-06i</v>
      </c>
      <c r="AH160">
        <f t="shared" si="142"/>
        <v>8.9573419707370307E-6</v>
      </c>
      <c r="AI160">
        <f t="shared" si="143"/>
        <v>1.5707963267948966</v>
      </c>
      <c r="AJ160" t="str">
        <f t="shared" si="129"/>
        <v>1+0.206367323626953i</v>
      </c>
      <c r="AK160">
        <f t="shared" si="144"/>
        <v>1.0210717272850873</v>
      </c>
      <c r="AL160">
        <f t="shared" si="145"/>
        <v>0.20351042254550963</v>
      </c>
      <c r="AM160" t="str">
        <f t="shared" si="130"/>
        <v>1+1.55348735285845i</v>
      </c>
      <c r="AN160">
        <f t="shared" si="146"/>
        <v>1.8475180528187416</v>
      </c>
      <c r="AO160">
        <f t="shared" si="147"/>
        <v>0.99885349624470465</v>
      </c>
      <c r="AP160" s="42" t="str">
        <f t="shared" si="148"/>
        <v>-4.81491377721152+4.72008593413725i</v>
      </c>
      <c r="AQ160">
        <f t="shared" si="149"/>
        <v>16.576543257766442</v>
      </c>
      <c r="AR160" s="44">
        <f t="shared" si="150"/>
        <v>135.56980138792622</v>
      </c>
      <c r="AS160" s="42" t="str">
        <f t="shared" si="151"/>
        <v>71.0006446238705+76.0787575538798i</v>
      </c>
      <c r="AT160" s="20">
        <f t="shared" si="152"/>
        <v>40.345911164396533</v>
      </c>
      <c r="AU160" s="44">
        <f t="shared" si="153"/>
        <v>46.977427869647592</v>
      </c>
    </row>
    <row r="161" spans="14:47" x14ac:dyDescent="0.3">
      <c r="N161" s="8">
        <v>43</v>
      </c>
      <c r="O161" s="35">
        <f t="shared" si="121"/>
        <v>269.15348039269179</v>
      </c>
      <c r="P161" s="34" t="str">
        <f t="shared" si="122"/>
        <v>545.10556621881</v>
      </c>
      <c r="Q161" s="4" t="str">
        <f t="shared" si="123"/>
        <v>1+36.1274500620251i</v>
      </c>
      <c r="R161" s="4">
        <f t="shared" si="131"/>
        <v>36.141287303914858</v>
      </c>
      <c r="S161" s="4">
        <f t="shared" si="132"/>
        <v>1.5431236090834992</v>
      </c>
      <c r="T161" s="4" t="str">
        <f t="shared" si="124"/>
        <v>1+0.000845570596689805i</v>
      </c>
      <c r="U161" s="4">
        <f t="shared" si="133"/>
        <v>1.0000003574947531</v>
      </c>
      <c r="V161" s="4">
        <f t="shared" si="134"/>
        <v>8.4557039516515431E-4</v>
      </c>
      <c r="W161" t="str">
        <f t="shared" si="125"/>
        <v>1-0.000878378735841367i</v>
      </c>
      <c r="X161" s="4">
        <f t="shared" si="135"/>
        <v>1.0000003857745274</v>
      </c>
      <c r="Y161" s="4">
        <f t="shared" si="136"/>
        <v>-8.7837850993733354E-4</v>
      </c>
      <c r="Z161" t="str">
        <f t="shared" si="126"/>
        <v>0.999995363609856+0.0038037643668022i</v>
      </c>
      <c r="AA161" s="4">
        <f t="shared" si="137"/>
        <v>1.0000025979289084</v>
      </c>
      <c r="AB161" s="4">
        <f t="shared" si="138"/>
        <v>3.8037636574456898E-3</v>
      </c>
      <c r="AC161" s="48" t="str">
        <f t="shared" si="139"/>
        <v>0.359476996039877-15.0783148419215i</v>
      </c>
      <c r="AD161" s="20">
        <f t="shared" si="140"/>
        <v>23.569523875925906</v>
      </c>
      <c r="AE161" s="44">
        <f t="shared" si="141"/>
        <v>-88.634289437827121</v>
      </c>
      <c r="AF161" t="str">
        <f t="shared" si="127"/>
        <v>-0.0000333790427773504</v>
      </c>
      <c r="AG161" t="str">
        <f t="shared" si="128"/>
        <v>9.16598526811749E-06i</v>
      </c>
      <c r="AH161">
        <f t="shared" si="142"/>
        <v>9.1659852681174906E-6</v>
      </c>
      <c r="AI161">
        <f t="shared" si="143"/>
        <v>1.5707963267948966</v>
      </c>
      <c r="AJ161" t="str">
        <f t="shared" si="129"/>
        <v>1+0.211174236103196i</v>
      </c>
      <c r="AK161">
        <f t="shared" si="144"/>
        <v>1.0220540876068001</v>
      </c>
      <c r="AL161">
        <f t="shared" si="145"/>
        <v>0.20811656769897133</v>
      </c>
      <c r="AM161" t="str">
        <f t="shared" si="130"/>
        <v>1+1.58967272177684i</v>
      </c>
      <c r="AN161">
        <f t="shared" si="146"/>
        <v>1.8780466880142748</v>
      </c>
      <c r="AO161">
        <f t="shared" si="147"/>
        <v>1.0092825715202762</v>
      </c>
      <c r="AP161" s="42" t="str">
        <f t="shared" si="148"/>
        <v>-4.80566239381783+4.65645290380175i</v>
      </c>
      <c r="AQ161">
        <f t="shared" si="149"/>
        <v>16.510544565919091</v>
      </c>
      <c r="AR161" s="44">
        <f t="shared" si="150"/>
        <v>135.90343070832273</v>
      </c>
      <c r="AS161" s="42" t="str">
        <f t="shared" si="151"/>
        <v>68.4839378487909+74.1351783000272i</v>
      </c>
      <c r="AT161" s="20">
        <f t="shared" si="152"/>
        <v>40.080068441844993</v>
      </c>
      <c r="AU161" s="44">
        <f t="shared" si="153"/>
        <v>47.269141270495631</v>
      </c>
    </row>
    <row r="162" spans="14:47" x14ac:dyDescent="0.3">
      <c r="N162" s="8">
        <v>44</v>
      </c>
      <c r="O162" s="35">
        <f t="shared" si="121"/>
        <v>275.42287033381683</v>
      </c>
      <c r="P162" s="34" t="str">
        <f t="shared" si="122"/>
        <v>545.10556621881</v>
      </c>
      <c r="Q162" s="4" t="str">
        <f t="shared" si="123"/>
        <v>1+36.9689664774432i</v>
      </c>
      <c r="R162" s="4">
        <f t="shared" si="131"/>
        <v>36.982488861761574</v>
      </c>
      <c r="S162" s="4">
        <f t="shared" si="132"/>
        <v>1.5437532063999335</v>
      </c>
      <c r="T162" s="4" t="str">
        <f t="shared" si="124"/>
        <v>1+0.000865266466071335i</v>
      </c>
      <c r="U162" s="4">
        <f t="shared" si="133"/>
        <v>1.0000003743429586</v>
      </c>
      <c r="V162" s="4">
        <f t="shared" si="134"/>
        <v>8.6526625013378571E-4</v>
      </c>
      <c r="W162" t="str">
        <f t="shared" si="125"/>
        <v>1-0.0008988388049549i</v>
      </c>
      <c r="X162" s="4">
        <f t="shared" si="135"/>
        <v>1.000000403955517</v>
      </c>
      <c r="Y162" s="4">
        <f t="shared" si="136"/>
        <v>-8.9883856289437239E-4</v>
      </c>
      <c r="Z162" t="str">
        <f t="shared" si="126"/>
        <v>0.99999514510352+0.00389236542083594i</v>
      </c>
      <c r="AA162" s="4">
        <f t="shared" si="137"/>
        <v>1.0000027203658894</v>
      </c>
      <c r="AB162" s="4">
        <f t="shared" si="138"/>
        <v>3.8923646607460323E-3</v>
      </c>
      <c r="AC162" s="48" t="str">
        <f t="shared" si="139"/>
        <v>0.340706073084167-14.7355918378722i</v>
      </c>
      <c r="AD162" s="20">
        <f t="shared" si="140"/>
        <v>23.369672763922267</v>
      </c>
      <c r="AE162" s="44">
        <f t="shared" si="141"/>
        <v>-88.675482955720739</v>
      </c>
      <c r="AF162" t="str">
        <f t="shared" si="127"/>
        <v>-0.0000333790427773504</v>
      </c>
      <c r="AG162" t="str">
        <f t="shared" si="128"/>
        <v>9.37948849221325E-06i</v>
      </c>
      <c r="AH162">
        <f t="shared" si="142"/>
        <v>9.3794884922132506E-6</v>
      </c>
      <c r="AI162">
        <f t="shared" si="143"/>
        <v>1.5707963267948966</v>
      </c>
      <c r="AJ162" t="str">
        <f t="shared" si="129"/>
        <v>1+0.216093115954642i</v>
      </c>
      <c r="AK162">
        <f t="shared" si="144"/>
        <v>1.0230817341556766</v>
      </c>
      <c r="AL162">
        <f t="shared" si="145"/>
        <v>0.21282074417633651</v>
      </c>
      <c r="AM162" t="str">
        <f t="shared" si="130"/>
        <v>1+1.62670095621411i</v>
      </c>
      <c r="AN162">
        <f t="shared" si="146"/>
        <v>1.9094910319108336</v>
      </c>
      <c r="AO162">
        <f t="shared" si="147"/>
        <v>1.0196082052206401</v>
      </c>
      <c r="AP162" s="42" t="str">
        <f t="shared" si="148"/>
        <v>-4.79601303359435+4.59511280934444i</v>
      </c>
      <c r="AQ162">
        <f t="shared" si="149"/>
        <v>16.446040305411017</v>
      </c>
      <c r="AR162" s="44">
        <f t="shared" si="150"/>
        <v>136.22551648191387</v>
      </c>
      <c r="AS162" s="42" t="str">
        <f t="shared" si="151"/>
        <v>66.0776760403415+72.2376733528121i</v>
      </c>
      <c r="AT162" s="20">
        <f t="shared" si="152"/>
        <v>39.815713069333285</v>
      </c>
      <c r="AU162" s="44">
        <f t="shared" si="153"/>
        <v>47.550033526193147</v>
      </c>
    </row>
    <row r="163" spans="14:47" x14ac:dyDescent="0.3">
      <c r="N163" s="8">
        <v>45</v>
      </c>
      <c r="O163" s="35">
        <f t="shared" si="121"/>
        <v>281.83829312644554</v>
      </c>
      <c r="P163" s="34" t="str">
        <f t="shared" si="122"/>
        <v>545.10556621881</v>
      </c>
      <c r="Q163" s="4" t="str">
        <f t="shared" si="123"/>
        <v>1+37.8300843282298i</v>
      </c>
      <c r="R163" s="4">
        <f t="shared" si="131"/>
        <v>37.84329901423736</v>
      </c>
      <c r="S163" s="4">
        <f t="shared" si="132"/>
        <v>1.5443684930540915</v>
      </c>
      <c r="T163" s="4" t="str">
        <f t="shared" si="124"/>
        <v>1+0.00088542111118633i</v>
      </c>
      <c r="U163" s="4">
        <f t="shared" si="133"/>
        <v>1.0000003919851952</v>
      </c>
      <c r="V163" s="4">
        <f t="shared" si="134"/>
        <v>8.8542087980508202E-4</v>
      </c>
      <c r="W163" t="str">
        <f t="shared" si="125"/>
        <v>1-0.000919775450300357i</v>
      </c>
      <c r="X163" s="4">
        <f t="shared" si="135"/>
        <v>1.0000004229933501</v>
      </c>
      <c r="Y163" s="4">
        <f t="shared" si="136"/>
        <v>-9.1977519092783448E-4</v>
      </c>
      <c r="Z163" t="str">
        <f t="shared" si="126"/>
        <v>0.999994916299298+0.00398303025853735i</v>
      </c>
      <c r="AA163" s="4">
        <f t="shared" si="137"/>
        <v>1.0000028485731831</v>
      </c>
      <c r="AB163" s="4">
        <f t="shared" si="138"/>
        <v>3.9830294440855374E-3</v>
      </c>
      <c r="AC163" s="48" t="str">
        <f t="shared" si="139"/>
        <v>0.322778774320692-14.4006361545828i</v>
      </c>
      <c r="AD163" s="20">
        <f t="shared" si="140"/>
        <v>23.169814885717877</v>
      </c>
      <c r="AE163" s="44">
        <f t="shared" si="141"/>
        <v>-88.715975798836297</v>
      </c>
      <c r="AF163" t="str">
        <f t="shared" si="127"/>
        <v>-0.0000333790427773504</v>
      </c>
      <c r="AG163" t="str">
        <f t="shared" si="128"/>
        <v>0.0000095979648452598i</v>
      </c>
      <c r="AH163">
        <f t="shared" si="142"/>
        <v>9.5979648452598008E-6</v>
      </c>
      <c r="AI163">
        <f t="shared" si="143"/>
        <v>1.5707963267948966</v>
      </c>
      <c r="AJ163" t="str">
        <f t="shared" si="129"/>
        <v>1+0.221126571236497i</v>
      </c>
      <c r="AK163">
        <f t="shared" si="144"/>
        <v>1.024156707006701</v>
      </c>
      <c r="AL163">
        <f t="shared" si="145"/>
        <v>0.21762461300784697</v>
      </c>
      <c r="AM163" t="str">
        <f t="shared" si="130"/>
        <v>1+1.6645916890303i</v>
      </c>
      <c r="AN163">
        <f t="shared" si="146"/>
        <v>1.9418716464248473</v>
      </c>
      <c r="AO163">
        <f t="shared" si="147"/>
        <v>1.0298270645242031</v>
      </c>
      <c r="AP163" s="42" t="str">
        <f t="shared" si="148"/>
        <v>-4.78595035847168+4.53602167594889i</v>
      </c>
      <c r="AQ163">
        <f t="shared" si="149"/>
        <v>16.382976606647148</v>
      </c>
      <c r="AR163" s="44">
        <f t="shared" si="150"/>
        <v>136.53577258206599</v>
      </c>
      <c r="AS163" s="42" t="str">
        <f t="shared" si="151"/>
        <v>63.7767945539737+70.3848612831007i</v>
      </c>
      <c r="AT163" s="20">
        <f t="shared" si="152"/>
        <v>39.552791492365024</v>
      </c>
      <c r="AU163" s="44">
        <f t="shared" si="153"/>
        <v>47.819796783229705</v>
      </c>
    </row>
    <row r="164" spans="14:47" x14ac:dyDescent="0.3">
      <c r="N164" s="8">
        <v>46</v>
      </c>
      <c r="O164" s="35">
        <f t="shared" si="121"/>
        <v>288.40315031266073</v>
      </c>
      <c r="P164" s="34" t="str">
        <f t="shared" si="122"/>
        <v>545.10556621881</v>
      </c>
      <c r="Q164" s="4" t="str">
        <f t="shared" si="123"/>
        <v>1+38.7112601904675i</v>
      </c>
      <c r="R164" s="4">
        <f t="shared" si="131"/>
        <v>38.724174174978522</v>
      </c>
      <c r="S164" s="4">
        <f t="shared" si="132"/>
        <v>1.5449697934145641</v>
      </c>
      <c r="T164" s="4" t="str">
        <f t="shared" si="124"/>
        <v>1+0.00090604521829441i</v>
      </c>
      <c r="U164" s="4">
        <f t="shared" si="133"/>
        <v>1.0000004104588847</v>
      </c>
      <c r="V164" s="4">
        <f t="shared" si="134"/>
        <v>9.0604497036494145E-4</v>
      </c>
      <c r="W164" t="str">
        <f t="shared" si="125"/>
        <v>1-0.00094119977276423i</v>
      </c>
      <c r="X164" s="4">
        <f t="shared" si="135"/>
        <v>1.000000442928408</v>
      </c>
      <c r="Y164" s="4">
        <f t="shared" si="136"/>
        <v>-9.4119949484157146E-4</v>
      </c>
      <c r="Z164" t="str">
        <f t="shared" si="126"/>
        <v>0.999994676711865+0.00407580695160347i</v>
      </c>
      <c r="AA164" s="4">
        <f t="shared" si="137"/>
        <v>1.0000029828227386</v>
      </c>
      <c r="AB164" s="4">
        <f t="shared" si="138"/>
        <v>4.0758060789017319E-3</v>
      </c>
      <c r="AC164" s="48" t="str">
        <f t="shared" si="139"/>
        <v>0.305657236609816-14.0732732391868i</v>
      </c>
      <c r="AD164" s="20">
        <f t="shared" si="140"/>
        <v>22.969950542121865</v>
      </c>
      <c r="AE164" s="44">
        <f t="shared" si="141"/>
        <v>-88.755789330171353</v>
      </c>
      <c r="AF164" t="str">
        <f t="shared" si="127"/>
        <v>-0.0000333790427773504</v>
      </c>
      <c r="AG164" t="str">
        <f t="shared" si="128"/>
        <v>9.82153016631138E-06i</v>
      </c>
      <c r="AH164">
        <f t="shared" si="142"/>
        <v>9.8215301663113797E-6</v>
      </c>
      <c r="AI164">
        <f t="shared" si="143"/>
        <v>1.5707963267948966</v>
      </c>
      <c r="AJ164" t="str">
        <f t="shared" si="129"/>
        <v>1+0.226277270753379i</v>
      </c>
      <c r="AK164">
        <f t="shared" si="144"/>
        <v>1.0252811337675136</v>
      </c>
      <c r="AL164">
        <f t="shared" si="145"/>
        <v>0.22252983398421503</v>
      </c>
      <c r="AM164" t="str">
        <f t="shared" si="130"/>
        <v>1+1.70336501039349i</v>
      </c>
      <c r="AN164">
        <f t="shared" si="146"/>
        <v>1.9752094467759147</v>
      </c>
      <c r="AO164">
        <f t="shared" si="147"/>
        <v>1.0399360303177347</v>
      </c>
      <c r="AP164" s="42" t="str">
        <f t="shared" si="148"/>
        <v>-4.77545860248219+4.47913603019863i</v>
      </c>
      <c r="AQ164">
        <f t="shared" si="149"/>
        <v>16.321298224889961</v>
      </c>
      <c r="AR164" s="44">
        <f t="shared" si="150"/>
        <v>136.83392519775256</v>
      </c>
      <c r="AS164" s="42" t="str">
        <f t="shared" si="151"/>
        <v>61.5764517484925+68.575414096547i</v>
      </c>
      <c r="AT164" s="20">
        <f t="shared" si="152"/>
        <v>39.291248767011837</v>
      </c>
      <c r="AU164" s="44">
        <f t="shared" si="153"/>
        <v>48.078135867581224</v>
      </c>
    </row>
    <row r="165" spans="14:47" x14ac:dyDescent="0.3">
      <c r="N165" s="8">
        <v>47</v>
      </c>
      <c r="O165" s="35">
        <f t="shared" si="121"/>
        <v>295.12092266663871</v>
      </c>
      <c r="P165" s="34" t="str">
        <f t="shared" si="122"/>
        <v>545.10556621881</v>
      </c>
      <c r="Q165" s="4" t="str">
        <f t="shared" si="123"/>
        <v>1+39.6129612752623i</v>
      </c>
      <c r="R165" s="4">
        <f t="shared" si="131"/>
        <v>39.625581396308007</v>
      </c>
      <c r="S165" s="4">
        <f t="shared" si="132"/>
        <v>1.545557424558506</v>
      </c>
      <c r="T165" s="4" t="str">
        <f t="shared" si="124"/>
        <v>1+0.000927149722570155i</v>
      </c>
      <c r="U165" s="4">
        <f t="shared" si="133"/>
        <v>1.0000004298032117</v>
      </c>
      <c r="V165" s="4">
        <f t="shared" si="134"/>
        <v>9.2714945690894931E-4</v>
      </c>
      <c r="W165" t="str">
        <f t="shared" si="125"/>
        <v>1-0.000963123131805874i</v>
      </c>
      <c r="X165" s="4">
        <f t="shared" si="135"/>
        <v>1.000000463802976</v>
      </c>
      <c r="Y165" s="4">
        <f t="shared" si="136"/>
        <v>-9.6312283400638756E-4</v>
      </c>
      <c r="Z165" t="str">
        <f t="shared" si="126"/>
        <v>0.999994425833024+0.00417074469146501i</v>
      </c>
      <c r="AA165" s="4">
        <f t="shared" si="137"/>
        <v>1.0000031233993227</v>
      </c>
      <c r="AB165" s="4">
        <f t="shared" si="138"/>
        <v>4.1707437563472428E-3</v>
      </c>
      <c r="AC165" s="48" t="str">
        <f t="shared" si="139"/>
        <v>0.289305291610358-13.7533323618161i</v>
      </c>
      <c r="AD165" s="20">
        <f t="shared" si="140"/>
        <v>22.770080020286649</v>
      </c>
      <c r="AE165" s="44">
        <f t="shared" si="141"/>
        <v>-88.794944559663278</v>
      </c>
      <c r="AF165" t="str">
        <f t="shared" si="127"/>
        <v>-0.0000333790427773504</v>
      </c>
      <c r="AG165" t="str">
        <f t="shared" si="128"/>
        <v>0.0000100503029926605i</v>
      </c>
      <c r="AH165">
        <f t="shared" si="142"/>
        <v>1.0050302992660499E-5</v>
      </c>
      <c r="AI165">
        <f t="shared" si="143"/>
        <v>1.5707963267948966</v>
      </c>
      <c r="AJ165" t="str">
        <f t="shared" si="129"/>
        <v>1+0.231547945474347i</v>
      </c>
      <c r="AK165">
        <f t="shared" si="144"/>
        <v>1.0264572329392936</v>
      </c>
      <c r="AL165">
        <f t="shared" si="145"/>
        <v>0.22753806328602399</v>
      </c>
      <c r="AM165" t="str">
        <f t="shared" si="130"/>
        <v>1+1.7430414784319i</v>
      </c>
      <c r="AN165">
        <f t="shared" si="146"/>
        <v>2.0095257140763496</v>
      </c>
      <c r="AO165">
        <f t="shared" si="147"/>
        <v>1.0499321976070963</v>
      </c>
      <c r="AP165" s="42" t="str">
        <f t="shared" si="148"/>
        <v>-4.76452157534335+4.42441284152458i</v>
      </c>
      <c r="AQ165">
        <f t="shared" si="149"/>
        <v>16.260948634436971</v>
      </c>
      <c r="AR165" s="44">
        <f t="shared" si="150"/>
        <v>137.1197129929123</v>
      </c>
      <c r="AS165" s="42" t="str">
        <f t="shared" si="151"/>
        <v>59.4720190116362+66.8080548180626i</v>
      </c>
      <c r="AT165" s="20">
        <f t="shared" si="152"/>
        <v>39.03102865472362</v>
      </c>
      <c r="AU165" s="44">
        <f t="shared" si="153"/>
        <v>48.324768433249019</v>
      </c>
    </row>
    <row r="166" spans="14:47" x14ac:dyDescent="0.3">
      <c r="N166" s="8">
        <v>48</v>
      </c>
      <c r="O166" s="35">
        <f t="shared" si="121"/>
        <v>301.99517204020168</v>
      </c>
      <c r="P166" s="34" t="str">
        <f t="shared" si="122"/>
        <v>545.10556621881</v>
      </c>
      <c r="Q166" s="4" t="str">
        <f t="shared" si="123"/>
        <v>1+40.5356656764648i</v>
      </c>
      <c r="R166" s="4">
        <f t="shared" si="131"/>
        <v>40.547998616875368</v>
      </c>
      <c r="S166" s="4">
        <f t="shared" si="132"/>
        <v>1.5461316964314773</v>
      </c>
      <c r="T166" s="4" t="str">
        <f t="shared" si="124"/>
        <v>1+0.000948745813901085i</v>
      </c>
      <c r="U166" s="4">
        <f t="shared" si="133"/>
        <v>1.0000004500592083</v>
      </c>
      <c r="V166" s="4">
        <f t="shared" si="134"/>
        <v>9.4874552923998135E-4</v>
      </c>
      <c r="W166" t="str">
        <f t="shared" si="125"/>
        <v>1-0.000985557151480444i</v>
      </c>
      <c r="X166" s="4">
        <f t="shared" si="135"/>
        <v>1.0000004856613314</v>
      </c>
      <c r="Y166" s="4">
        <f t="shared" si="136"/>
        <v>-9.8555683238255357E-4</v>
      </c>
      <c r="Z166" t="str">
        <f t="shared" si="126"/>
        <v>0.999994163130628+0.0042678938153683i</v>
      </c>
      <c r="AA166" s="4">
        <f t="shared" si="137"/>
        <v>1.0000032706011237</v>
      </c>
      <c r="AB166" s="4">
        <f t="shared" si="138"/>
        <v>4.2678928133704271E-3</v>
      </c>
      <c r="AC166" s="48" t="str">
        <f t="shared" si="139"/>
        <v>0.273688390320012-13.4406465385633i</v>
      </c>
      <c r="AD166" s="20">
        <f t="shared" si="140"/>
        <v>22.570203594311934</v>
      </c>
      <c r="AE166" s="44">
        <f t="shared" si="141"/>
        <v>-88.833462154854644</v>
      </c>
      <c r="AF166" t="str">
        <f t="shared" si="127"/>
        <v>-0.0000333790427773504</v>
      </c>
      <c r="AG166" t="str">
        <f t="shared" si="128"/>
        <v>0.0000102844046226877i</v>
      </c>
      <c r="AH166">
        <f t="shared" si="142"/>
        <v>1.0284404622687699E-5</v>
      </c>
      <c r="AI166">
        <f t="shared" si="143"/>
        <v>1.5707963267948966</v>
      </c>
      <c r="AJ166" t="str">
        <f t="shared" si="129"/>
        <v>1+0.236941389980906i</v>
      </c>
      <c r="AK166">
        <f t="shared" si="144"/>
        <v>1.0276873173714287</v>
      </c>
      <c r="AL166">
        <f t="shared" si="145"/>
        <v>0.23265095094582078</v>
      </c>
      <c r="AM166" t="str">
        <f t="shared" si="130"/>
        <v>1+1.78364213013404i</v>
      </c>
      <c r="AN166">
        <f t="shared" si="146"/>
        <v>2.0448421084252684</v>
      </c>
      <c r="AO166">
        <f t="shared" si="147"/>
        <v>1.0598128750905174</v>
      </c>
      <c r="AP166" s="42" t="str">
        <f t="shared" si="148"/>
        <v>-4.75312266788658+4.37180946277721i</v>
      </c>
      <c r="AQ166">
        <f t="shared" si="149"/>
        <v>16.201870120654032</v>
      </c>
      <c r="AR166" s="44">
        <f t="shared" si="150"/>
        <v>137.39288722741145</v>
      </c>
      <c r="AS166" s="42" t="str">
        <f t="shared" si="151"/>
        <v>57.4590712311673+65.0815552281498i</v>
      </c>
      <c r="AT166" s="20">
        <f t="shared" si="152"/>
        <v>38.772073714965963</v>
      </c>
      <c r="AU166" s="44">
        <f t="shared" si="153"/>
        <v>48.559425072556856</v>
      </c>
    </row>
    <row r="167" spans="14:47" x14ac:dyDescent="0.3">
      <c r="N167" s="8">
        <v>49</v>
      </c>
      <c r="O167" s="35">
        <f t="shared" si="121"/>
        <v>309.02954325135937</v>
      </c>
      <c r="P167" s="34" t="str">
        <f t="shared" si="122"/>
        <v>545.10556621881</v>
      </c>
      <c r="Q167" s="4" t="str">
        <f t="shared" si="123"/>
        <v>1+41.4798626241619i</v>
      </c>
      <c r="R167" s="4">
        <f t="shared" si="131"/>
        <v>41.491914915069223</v>
      </c>
      <c r="S167" s="4">
        <f t="shared" si="132"/>
        <v>1.5466929120040536</v>
      </c>
      <c r="T167" s="4" t="str">
        <f t="shared" si="124"/>
        <v>1+0.00097084494282068i</v>
      </c>
      <c r="U167" s="4">
        <f t="shared" si="133"/>
        <v>1.0000004712698405</v>
      </c>
      <c r="V167" s="4">
        <f t="shared" si="134"/>
        <v>9.7084463780081976E-4</v>
      </c>
      <c r="W167" t="str">
        <f t="shared" si="125"/>
        <v>1-0.00100851372660212i</v>
      </c>
      <c r="X167" s="4">
        <f t="shared" si="135"/>
        <v>1.0000005085498391</v>
      </c>
      <c r="Y167" s="4">
        <f t="shared" si="136"/>
        <v>-1.0085133846825796E-3</v>
      </c>
      <c r="Z167" t="str">
        <f t="shared" si="126"/>
        <v>0.999993888047449+0.00436730583306475i</v>
      </c>
      <c r="AA167" s="4">
        <f t="shared" si="137"/>
        <v>1.0000034247403824</v>
      </c>
      <c r="AB167" s="4">
        <f t="shared" si="138"/>
        <v>4.3673047594034176E-3</v>
      </c>
      <c r="AC167" s="48" t="str">
        <f t="shared" si="139"/>
        <v>0.258773530940177-13.1350524555352i</v>
      </c>
      <c r="AD167" s="20">
        <f t="shared" si="140"/>
        <v>22.370321525821467</v>
      </c>
      <c r="AE167" s="44">
        <f t="shared" si="141"/>
        <v>-88.871362451408572</v>
      </c>
      <c r="AF167" t="str">
        <f t="shared" si="127"/>
        <v>-0.0000333790427773504</v>
      </c>
      <c r="AG167" t="str">
        <f t="shared" si="128"/>
        <v>0.0000105239591801762i</v>
      </c>
      <c r="AH167">
        <f t="shared" si="142"/>
        <v>1.0523959180176201E-5</v>
      </c>
      <c r="AI167">
        <f t="shared" si="143"/>
        <v>1.5707963267948966</v>
      </c>
      <c r="AJ167" t="str">
        <f t="shared" si="129"/>
        <v>1+0.242460463948722i</v>
      </c>
      <c r="AK167">
        <f t="shared" si="144"/>
        <v>1.0289737978093658</v>
      </c>
      <c r="AL167">
        <f t="shared" si="145"/>
        <v>0.23787013813655211</v>
      </c>
      <c r="AM167" t="str">
        <f t="shared" si="130"/>
        <v>1+1.82518849250288i</v>
      </c>
      <c r="AN167">
        <f t="shared" si="146"/>
        <v>2.0811806824888932</v>
      </c>
      <c r="AO167">
        <f t="shared" si="147"/>
        <v>1.0695755839394756</v>
      </c>
      <c r="AP167" s="42" t="str">
        <f t="shared" si="148"/>
        <v>-4.74124485950552+4.32128356994621i</v>
      </c>
      <c r="AQ167">
        <f t="shared" si="149"/>
        <v>16.144003869448898</v>
      </c>
      <c r="AR167" s="44">
        <f t="shared" si="150"/>
        <v>137.65321184255421</v>
      </c>
      <c r="AS167" s="42" t="str">
        <f t="shared" si="151"/>
        <v>55.5333776931397+63.3947337417304i</v>
      </c>
      <c r="AT167" s="20">
        <f t="shared" si="152"/>
        <v>38.514325395270369</v>
      </c>
      <c r="AU167" s="44">
        <f t="shared" si="153"/>
        <v>48.781849391145634</v>
      </c>
    </row>
    <row r="168" spans="14:47" x14ac:dyDescent="0.3">
      <c r="N168" s="8">
        <v>50</v>
      </c>
      <c r="O168" s="35">
        <f t="shared" si="121"/>
        <v>316.22776601683825</v>
      </c>
      <c r="P168" s="34" t="str">
        <f t="shared" si="122"/>
        <v>545.10556621881</v>
      </c>
      <c r="Q168" s="4" t="str">
        <f t="shared" si="123"/>
        <v>1+42.4460527440732i</v>
      </c>
      <c r="R168" s="4">
        <f t="shared" si="131"/>
        <v>42.457830768335818</v>
      </c>
      <c r="S168" s="4">
        <f t="shared" si="132"/>
        <v>1.5472413674252534</v>
      </c>
      <c r="T168" s="4" t="str">
        <f t="shared" si="124"/>
        <v>1+0.00099345882657961i</v>
      </c>
      <c r="U168" s="4">
        <f t="shared" si="133"/>
        <v>1.0000004934800983</v>
      </c>
      <c r="V168" s="4">
        <f t="shared" si="134"/>
        <v>9.9345849974494986E-4</v>
      </c>
      <c r="W168" t="str">
        <f t="shared" si="125"/>
        <v>1-0.0010320050290509i</v>
      </c>
      <c r="X168" s="4">
        <f t="shared" si="135"/>
        <v>1.0000005325170482</v>
      </c>
      <c r="Y168" s="4">
        <f t="shared" si="136"/>
        <v>-1.032004662677522E-3</v>
      </c>
      <c r="Z168" t="str">
        <f t="shared" si="126"/>
        <v>0.9999936+0.00446903345412201i</v>
      </c>
      <c r="AA168" s="4">
        <f t="shared" si="137"/>
        <v>1.0000035861440568</v>
      </c>
      <c r="AB168" s="4">
        <f t="shared" si="138"/>
        <v>4.4690323036717374E-3</v>
      </c>
      <c r="AC168" s="48" t="str">
        <f t="shared" si="139"/>
        <v>0.244529189921909-12.8363903940169i</v>
      </c>
      <c r="AD168" s="20">
        <f t="shared" si="140"/>
        <v>22.170434064513778</v>
      </c>
      <c r="AE168" s="44">
        <f t="shared" si="141"/>
        <v>-88.908665463477789</v>
      </c>
      <c r="AF168" t="str">
        <f t="shared" si="127"/>
        <v>-0.0000333790427773504</v>
      </c>
      <c r="AG168" t="str">
        <f t="shared" si="128"/>
        <v>0.000010769093680123i</v>
      </c>
      <c r="AH168">
        <f t="shared" si="142"/>
        <v>1.0769093680123E-5</v>
      </c>
      <c r="AI168">
        <f t="shared" si="143"/>
        <v>1.5707963267948966</v>
      </c>
      <c r="AJ168" t="str">
        <f t="shared" si="129"/>
        <v>1+0.248108093663867i</v>
      </c>
      <c r="AK168">
        <f t="shared" si="144"/>
        <v>1.0303191865346963</v>
      </c>
      <c r="AL168">
        <f t="shared" si="145"/>
        <v>0.24319725428024383</v>
      </c>
      <c r="AM168" t="str">
        <f t="shared" si="130"/>
        <v>1+1.86770259396967i</v>
      </c>
      <c r="AN168">
        <f t="shared" si="146"/>
        <v>2.1185638955483581</v>
      </c>
      <c r="AO168">
        <f t="shared" si="147"/>
        <v>1.0792180558356204</v>
      </c>
      <c r="AP168" s="42" t="str">
        <f t="shared" si="148"/>
        <v>-4.72887072780369+4.27279310106344i</v>
      </c>
      <c r="AQ168">
        <f t="shared" si="149"/>
        <v>16.087290053826191</v>
      </c>
      <c r="AR168" s="44">
        <f t="shared" si="150"/>
        <v>137.90046351426707</v>
      </c>
      <c r="AS168" s="42" t="str">
        <f t="shared" si="151"/>
        <v>53.6908933897972+61.746453420634i</v>
      </c>
      <c r="AT168" s="20">
        <f t="shared" si="152"/>
        <v>38.257724118339972</v>
      </c>
      <c r="AU168" s="44">
        <f t="shared" si="153"/>
        <v>48.991798050789278</v>
      </c>
    </row>
    <row r="169" spans="14:47" x14ac:dyDescent="0.3">
      <c r="N169" s="8">
        <v>51</v>
      </c>
      <c r="O169" s="35">
        <f t="shared" si="121"/>
        <v>323.59365692962825</v>
      </c>
      <c r="P169" s="34" t="str">
        <f t="shared" si="122"/>
        <v>545.10556621881</v>
      </c>
      <c r="Q169" s="4" t="str">
        <f t="shared" si="123"/>
        <v>1+43.4347483229893i</v>
      </c>
      <c r="R169" s="4">
        <f t="shared" si="131"/>
        <v>43.446258318541325</v>
      </c>
      <c r="S169" s="4">
        <f t="shared" si="132"/>
        <v>1.5477773521728264</v>
      </c>
      <c r="T169" s="4" t="str">
        <f t="shared" si="124"/>
        <v>1+0.00101659945535838i</v>
      </c>
      <c r="U169" s="4">
        <f t="shared" si="133"/>
        <v>1.0000005167370929</v>
      </c>
      <c r="V169" s="4">
        <f t="shared" si="134"/>
        <v>1.0165991051487421E-3</v>
      </c>
      <c r="W169" t="str">
        <f t="shared" si="125"/>
        <v>1-0.00105604351422628i</v>
      </c>
      <c r="X169" s="4">
        <f t="shared" si="135"/>
        <v>1.0000005576137965</v>
      </c>
      <c r="Y169" s="4">
        <f t="shared" si="136"/>
        <v>-1.0560431216501444E-3</v>
      </c>
      <c r="Z169" t="str">
        <f t="shared" si="126"/>
        <v>0.999993298377292+0.00457313061587131i</v>
      </c>
      <c r="AA169" s="4">
        <f t="shared" si="137"/>
        <v>1.0000037551545122</v>
      </c>
      <c r="AB169" s="4">
        <f t="shared" si="138"/>
        <v>4.5731293831400366E-3</v>
      </c>
      <c r="AC169" s="48" t="str">
        <f t="shared" si="139"/>
        <v>0.230925256055519-12.544504156762i</v>
      </c>
      <c r="AD169" s="20">
        <f t="shared" si="140"/>
        <v>21.970541448688191</v>
      </c>
      <c r="AE169" s="44">
        <f t="shared" si="141"/>
        <v>-88.945390893930394</v>
      </c>
      <c r="AF169" t="str">
        <f t="shared" si="127"/>
        <v>-0.0000333790427773504</v>
      </c>
      <c r="AG169" t="str">
        <f t="shared" si="128"/>
        <v>0.0000110199380960848i</v>
      </c>
      <c r="AH169">
        <f t="shared" si="142"/>
        <v>1.10199380960848E-5</v>
      </c>
      <c r="AI169">
        <f t="shared" si="143"/>
        <v>1.5707963267948966</v>
      </c>
      <c r="AJ169" t="str">
        <f t="shared" si="129"/>
        <v>1+0.253887273574372i</v>
      </c>
      <c r="AK169">
        <f t="shared" si="144"/>
        <v>1.0317261010961329</v>
      </c>
      <c r="AL169">
        <f t="shared" si="145"/>
        <v>0.24863391397101978</v>
      </c>
      <c r="AM169" t="str">
        <f t="shared" si="130"/>
        <v>1+1.91120697607375i</v>
      </c>
      <c r="AN169">
        <f t="shared" si="146"/>
        <v>2.157014627996984</v>
      </c>
      <c r="AO169">
        <f t="shared" si="147"/>
        <v>1.0887382303150692</v>
      </c>
      <c r="AP169" s="42" t="str">
        <f t="shared" si="148"/>
        <v>-4.71598246063009+4.22629619433951i</v>
      </c>
      <c r="AQ169">
        <f t="shared" si="149"/>
        <v>16.03166791722585</v>
      </c>
      <c r="AR169" s="44">
        <f t="shared" si="150"/>
        <v>138.13443167723747</v>
      </c>
      <c r="AS169" s="42" t="str">
        <f t="shared" si="151"/>
        <v>51.9277507203251+60.1356201114352i</v>
      </c>
      <c r="AT169" s="20">
        <f t="shared" si="152"/>
        <v>38.002209365914048</v>
      </c>
      <c r="AU169" s="44">
        <f t="shared" si="153"/>
        <v>49.189040783307071</v>
      </c>
    </row>
    <row r="170" spans="14:47" x14ac:dyDescent="0.3">
      <c r="N170" s="8">
        <v>52</v>
      </c>
      <c r="O170" s="35">
        <f t="shared" si="121"/>
        <v>331.13112148259137</v>
      </c>
      <c r="P170" s="34" t="str">
        <f t="shared" si="122"/>
        <v>545.10556621881</v>
      </c>
      <c r="Q170" s="4" t="str">
        <f t="shared" si="123"/>
        <v>1+44.4464735803933i</v>
      </c>
      <c r="R170" s="4">
        <f t="shared" si="131"/>
        <v>44.457721643518795</v>
      </c>
      <c r="S170" s="4">
        <f t="shared" si="132"/>
        <v>1.5483011492004546</v>
      </c>
      <c r="T170" s="4" t="str">
        <f t="shared" si="124"/>
        <v>1+0.00104027909862466i</v>
      </c>
      <c r="U170" s="4">
        <f t="shared" si="133"/>
        <v>1.0000005410901551</v>
      </c>
      <c r="V170" s="4">
        <f t="shared" si="134"/>
        <v>1.0402787233682828E-3</v>
      </c>
      <c r="W170" t="str">
        <f t="shared" si="125"/>
        <v>1-0.00108064192765129i</v>
      </c>
      <c r="X170" s="4">
        <f t="shared" si="135"/>
        <v>1.0000005838933175</v>
      </c>
      <c r="Y170" s="4">
        <f t="shared" si="136"/>
        <v>-1.0806415069983951E-3</v>
      </c>
      <c r="Z170" t="str">
        <f t="shared" si="126"/>
        <v>0.999992982539545+0.00467965251200569i</v>
      </c>
      <c r="AA170" s="4">
        <f t="shared" si="137"/>
        <v>1.0000039321302532</v>
      </c>
      <c r="AB170" s="4">
        <f t="shared" si="138"/>
        <v>4.6796511911085352E-3</v>
      </c>
      <c r="AC170" s="48" t="str">
        <f t="shared" si="139"/>
        <v>0.217932967472099-12.2592409954205i</v>
      </c>
      <c r="AD170" s="20">
        <f t="shared" si="140"/>
        <v>21.770643905746532</v>
      </c>
      <c r="AE170" s="44">
        <f t="shared" si="141"/>
        <v>-88.981558144436505</v>
      </c>
      <c r="AF170" t="str">
        <f t="shared" si="127"/>
        <v>-0.0000333790427773504</v>
      </c>
      <c r="AG170" t="str">
        <f t="shared" si="128"/>
        <v>0.0000112766254290913i</v>
      </c>
      <c r="AH170">
        <f t="shared" si="142"/>
        <v>1.12766254290913E-5</v>
      </c>
      <c r="AI170">
        <f t="shared" si="143"/>
        <v>1.5707963267948966</v>
      </c>
      <c r="AJ170" t="str">
        <f t="shared" si="129"/>
        <v>1+0.259801067877922i</v>
      </c>
      <c r="AK170">
        <f t="shared" si="144"/>
        <v>1.0331972681296193</v>
      </c>
      <c r="AL170">
        <f t="shared" si="145"/>
        <v>0.25418171370691051</v>
      </c>
      <c r="AM170" t="str">
        <f t="shared" si="130"/>
        <v>1+1.95572470541437i</v>
      </c>
      <c r="AN170">
        <f t="shared" si="146"/>
        <v>2.1965561962690883</v>
      </c>
      <c r="AO170">
        <f t="shared" si="147"/>
        <v>1.0981342514733194</v>
      </c>
      <c r="AP170" s="42" t="str">
        <f t="shared" si="148"/>
        <v>-4.70256187069749+4.18175112560248i</v>
      </c>
      <c r="AQ170">
        <f t="shared" si="149"/>
        <v>15.977075853408756</v>
      </c>
      <c r="AR170" s="44">
        <f t="shared" si="150"/>
        <v>138.35491852337066</v>
      </c>
      <c r="AS170" s="42" t="str">
        <f t="shared" si="151"/>
        <v>50.2402515684295+58.5611807007883i</v>
      </c>
      <c r="AT170" s="20">
        <f t="shared" si="152"/>
        <v>37.747719759155288</v>
      </c>
      <c r="AU170" s="44">
        <f t="shared" si="153"/>
        <v>49.373360378934123</v>
      </c>
    </row>
    <row r="171" spans="14:47" x14ac:dyDescent="0.3">
      <c r="N171" s="8">
        <v>53</v>
      </c>
      <c r="O171" s="35">
        <f t="shared" si="121"/>
        <v>338.84415613920277</v>
      </c>
      <c r="P171" s="34" t="str">
        <f t="shared" si="122"/>
        <v>545.10556621881</v>
      </c>
      <c r="Q171" s="4" t="str">
        <f t="shared" si="123"/>
        <v>1+45.481764946408i</v>
      </c>
      <c r="R171" s="4">
        <f t="shared" si="131"/>
        <v>45.492757034942471</v>
      </c>
      <c r="S171" s="4">
        <f t="shared" si="132"/>
        <v>1.5488130350819105</v>
      </c>
      <c r="T171" s="4" t="str">
        <f t="shared" si="124"/>
        <v>1+0.00106451031163875i</v>
      </c>
      <c r="U171" s="4">
        <f t="shared" si="133"/>
        <v>1.0000005665909413</v>
      </c>
      <c r="V171" s="4">
        <f t="shared" si="134"/>
        <v>1.0645099095443098E-3</v>
      </c>
      <c r="W171" t="str">
        <f t="shared" si="125"/>
        <v>1-0.00110581331173033i</v>
      </c>
      <c r="X171" s="4">
        <f t="shared" si="135"/>
        <v>1.0000006114113533</v>
      </c>
      <c r="Y171" s="4">
        <f t="shared" si="136"/>
        <v>-1.1058128609926473E-3</v>
      </c>
      <c r="Z171" t="str">
        <f t="shared" si="126"/>
        <v>0.999992651816822+0.00478865562184443i</v>
      </c>
      <c r="AA171" s="4">
        <f t="shared" si="137"/>
        <v>1.0000041174466754</v>
      </c>
      <c r="AB171" s="4">
        <f t="shared" si="138"/>
        <v>4.7886542064756194E-3</v>
      </c>
      <c r="AC171" s="48" t="str">
        <f t="shared" si="139"/>
        <v>0.2055248514307-11.9804515391158i</v>
      </c>
      <c r="AD171" s="20">
        <f t="shared" si="140"/>
        <v>21.570741652672595</v>
      </c>
      <c r="AE171" s="44">
        <f t="shared" si="141"/>
        <v>-89.017186325419033</v>
      </c>
      <c r="AF171" t="str">
        <f t="shared" si="127"/>
        <v>-0.0000333790427773504</v>
      </c>
      <c r="AG171" t="str">
        <f t="shared" si="128"/>
        <v>0.0000115392917781641i</v>
      </c>
      <c r="AH171">
        <f t="shared" si="142"/>
        <v>1.15392917781641E-5</v>
      </c>
      <c r="AI171">
        <f t="shared" si="143"/>
        <v>1.5707963267948966</v>
      </c>
      <c r="AJ171" t="str">
        <f t="shared" si="129"/>
        <v>1+0.265852612146533i</v>
      </c>
      <c r="AK171">
        <f t="shared" si="144"/>
        <v>1.034735527265366</v>
      </c>
      <c r="AL171">
        <f t="shared" si="145"/>
        <v>0.25984222842529381</v>
      </c>
      <c r="AM171" t="str">
        <f t="shared" si="130"/>
        <v>1+2.00127938588085i</v>
      </c>
      <c r="AN171">
        <f t="shared" si="146"/>
        <v>2.237212368183144</v>
      </c>
      <c r="AO171">
        <f t="shared" si="147"/>
        <v>1.1074044640854042</v>
      </c>
      <c r="AP171" s="42" t="str">
        <f t="shared" si="148"/>
        <v>-4.6885904129844+4.13911624512352i</v>
      </c>
      <c r="AQ171">
        <f t="shared" si="149"/>
        <v>15.923451482712291</v>
      </c>
      <c r="AR171" s="44">
        <f t="shared" si="150"/>
        <v>138.56173897799678</v>
      </c>
      <c r="AS171" s="42" t="str">
        <f t="shared" si="151"/>
        <v>48.6248597414213+57.0221214808559i</v>
      </c>
      <c r="AT171" s="20">
        <f t="shared" si="152"/>
        <v>37.494193135384883</v>
      </c>
      <c r="AU171" s="44">
        <f t="shared" si="153"/>
        <v>49.544552652577735</v>
      </c>
    </row>
    <row r="172" spans="14:47" x14ac:dyDescent="0.3">
      <c r="N172" s="8">
        <v>54</v>
      </c>
      <c r="O172" s="35">
        <f t="shared" si="121"/>
        <v>346.73685045253183</v>
      </c>
      <c r="P172" s="34" t="str">
        <f t="shared" si="122"/>
        <v>545.10556621881</v>
      </c>
      <c r="Q172" s="4" t="str">
        <f t="shared" si="123"/>
        <v>1+46.5411713462198i</v>
      </c>
      <c r="R172" s="4">
        <f t="shared" si="131"/>
        <v>46.551913282680346</v>
      </c>
      <c r="S172" s="4">
        <f t="shared" si="132"/>
        <v>1.5493132801522254</v>
      </c>
      <c r="T172" s="4" t="str">
        <f t="shared" si="124"/>
        <v>1+0.00108930594211054i</v>
      </c>
      <c r="U172" s="4">
        <f t="shared" si="133"/>
        <v>1.0000005932935416</v>
      </c>
      <c r="V172" s="4">
        <f t="shared" si="134"/>
        <v>1.0893055112585987E-3</v>
      </c>
      <c r="W172" t="str">
        <f t="shared" si="125"/>
        <v>1-0.00113157101266442i</v>
      </c>
      <c r="X172" s="4">
        <f t="shared" si="135"/>
        <v>1.0000006402262736</v>
      </c>
      <c r="Y172" s="4">
        <f t="shared" si="136"/>
        <v>-1.131570529690308E-3</v>
      </c>
      <c r="Z172" t="str">
        <f t="shared" si="126"/>
        <v>0.999992305507618+0.00490019774027925i</v>
      </c>
      <c r="AA172" s="4">
        <f t="shared" si="137"/>
        <v>1.0000043114968731</v>
      </c>
      <c r="AB172" s="4">
        <f t="shared" si="138"/>
        <v>4.9001962236819869E-3</v>
      </c>
      <c r="AC172" s="48" t="str">
        <f t="shared" si="139"/>
        <v>0.193674666770102-11.7079897241762i</v>
      </c>
      <c r="AD172" s="20">
        <f t="shared" si="140"/>
        <v>21.370834896489256</v>
      </c>
      <c r="AE172" s="44">
        <f t="shared" si="141"/>
        <v>-89.052294265872348</v>
      </c>
      <c r="AF172" t="str">
        <f t="shared" si="127"/>
        <v>-0.0000333790427773504</v>
      </c>
      <c r="AG172" t="str">
        <f t="shared" si="128"/>
        <v>0.0000118080764124782i</v>
      </c>
      <c r="AH172">
        <f t="shared" si="142"/>
        <v>1.18080764124782E-5</v>
      </c>
      <c r="AI172">
        <f t="shared" si="143"/>
        <v>1.5707963267948966</v>
      </c>
      <c r="AJ172" t="str">
        <f t="shared" si="129"/>
        <v>1+0.272045114989081i</v>
      </c>
      <c r="AK172">
        <f t="shared" si="144"/>
        <v>1.0363438351191279</v>
      </c>
      <c r="AL172">
        <f t="shared" si="145"/>
        <v>0.26561700783730252</v>
      </c>
      <c r="AM172" t="str">
        <f t="shared" si="130"/>
        <v>1+2.04789517116781i</v>
      </c>
      <c r="AN172">
        <f t="shared" si="146"/>
        <v>2.2790073786831924</v>
      </c>
      <c r="AO172">
        <f t="shared" si="147"/>
        <v>1.1165474091966592</v>
      </c>
      <c r="AP172" s="42" t="str">
        <f t="shared" si="148"/>
        <v>-4.67404920512664+4.09834991393535i</v>
      </c>
      <c r="AQ172">
        <f t="shared" si="149"/>
        <v>15.870731724559157</v>
      </c>
      <c r="AR172" s="44">
        <f t="shared" si="150"/>
        <v>138.75472065726424</v>
      </c>
      <c r="AS172" s="42" t="str">
        <f t="shared" si="151"/>
        <v>47.0781937561635+55.5174666178053i</v>
      </c>
      <c r="AT172" s="20">
        <f t="shared" si="152"/>
        <v>37.241566621048406</v>
      </c>
      <c r="AU172" s="44">
        <f t="shared" si="153"/>
        <v>49.702426391391917</v>
      </c>
    </row>
    <row r="173" spans="14:47" x14ac:dyDescent="0.3">
      <c r="N173" s="8">
        <v>55</v>
      </c>
      <c r="O173" s="35">
        <f t="shared" si="121"/>
        <v>354.81338923357566</v>
      </c>
      <c r="P173" s="34" t="str">
        <f t="shared" si="122"/>
        <v>545.10556621881</v>
      </c>
      <c r="Q173" s="4" t="str">
        <f t="shared" si="123"/>
        <v>1+47.6252544911245i</v>
      </c>
      <c r="R173" s="4">
        <f t="shared" si="131"/>
        <v>47.635751965770147</v>
      </c>
      <c r="S173" s="4">
        <f t="shared" si="132"/>
        <v>1.5498021486459115</v>
      </c>
      <c r="T173" s="4" t="str">
        <f t="shared" si="124"/>
        <v>1+0.00111467913701149i</v>
      </c>
      <c r="U173" s="4">
        <f t="shared" si="133"/>
        <v>1.0000006212545962</v>
      </c>
      <c r="V173" s="4">
        <f t="shared" si="134"/>
        <v>1.1146786753453326E-3</v>
      </c>
      <c r="W173" t="str">
        <f t="shared" si="125"/>
        <v>1-0.00115792868752754i</v>
      </c>
      <c r="X173" s="4">
        <f t="shared" si="135"/>
        <v>1.0000006703991979</v>
      </c>
      <c r="Y173" s="4">
        <f t="shared" si="136"/>
        <v>-1.157928170011474E-3</v>
      </c>
      <c r="Z173" t="str">
        <f t="shared" si="126"/>
        <v>0.999991942877364+0.00501433800841774i</v>
      </c>
      <c r="AA173" s="4">
        <f t="shared" si="137"/>
        <v>1.0000045146924628</v>
      </c>
      <c r="AB173" s="4">
        <f t="shared" si="138"/>
        <v>5.0143363833519607E-3</v>
      </c>
      <c r="AC173" s="48" t="str">
        <f t="shared" si="139"/>
        <v>0.182357348909295-11.4417127250272i</v>
      </c>
      <c r="AD173" s="20">
        <f t="shared" si="140"/>
        <v>21.170923834695135</v>
      </c>
      <c r="AE173" s="44">
        <f t="shared" si="141"/>
        <v>-89.086900523052776</v>
      </c>
      <c r="AF173" t="str">
        <f t="shared" si="127"/>
        <v>-0.0000333790427773504</v>
      </c>
      <c r="AG173" t="str">
        <f t="shared" si="128"/>
        <v>0.0000120831218452046i</v>
      </c>
      <c r="AH173">
        <f t="shared" si="142"/>
        <v>1.20831218452046E-5</v>
      </c>
      <c r="AI173">
        <f t="shared" si="143"/>
        <v>1.5707963267948966</v>
      </c>
      <c r="AJ173" t="str">
        <f t="shared" si="129"/>
        <v>1+0.278381859752539i</v>
      </c>
      <c r="AK173">
        <f t="shared" si="144"/>
        <v>1.0380252693645189</v>
      </c>
      <c r="AL173">
        <f t="shared" si="145"/>
        <v>0.27150757255708424</v>
      </c>
      <c r="AM173" t="str">
        <f t="shared" si="130"/>
        <v>1+2.09559677758162i</v>
      </c>
      <c r="AN173">
        <f t="shared" si="146"/>
        <v>2.3219659459627033</v>
      </c>
      <c r="AO173">
        <f t="shared" si="147"/>
        <v>1.1255618192394046</v>
      </c>
      <c r="AP173" s="42" t="str">
        <f t="shared" si="148"/>
        <v>-4.65891905100664+4.05941043977007i</v>
      </c>
      <c r="AQ173">
        <f t="shared" si="149"/>
        <v>15.818852866158652</v>
      </c>
      <c r="AR173" s="44">
        <f t="shared" si="150"/>
        <v>138.93370381012193</v>
      </c>
      <c r="AS173" s="42" t="str">
        <f t="shared" si="151"/>
        <v>45.5970199579009+54.0462767167055i</v>
      </c>
      <c r="AT173" s="20">
        <f t="shared" si="152"/>
        <v>36.989776700853788</v>
      </c>
      <c r="AU173" s="44">
        <f t="shared" si="153"/>
        <v>49.846803287069157</v>
      </c>
    </row>
    <row r="174" spans="14:47" x14ac:dyDescent="0.3">
      <c r="N174" s="8">
        <v>56</v>
      </c>
      <c r="O174" s="35">
        <f t="shared" si="121"/>
        <v>363.07805477010152</v>
      </c>
      <c r="P174" s="34" t="str">
        <f t="shared" si="122"/>
        <v>545.10556621881</v>
      </c>
      <c r="Q174" s="4" t="str">
        <f t="shared" si="123"/>
        <v>1+48.7345891763554i</v>
      </c>
      <c r="R174" s="4">
        <f t="shared" si="131"/>
        <v>48.744847750179055</v>
      </c>
      <c r="S174" s="4">
        <f t="shared" si="132"/>
        <v>1.5502798988322926</v>
      </c>
      <c r="T174" s="4" t="str">
        <f t="shared" si="124"/>
        <v>1+0.00114064334954543i</v>
      </c>
      <c r="U174" s="4">
        <f t="shared" si="133"/>
        <v>1.0000006505334138</v>
      </c>
      <c r="V174" s="4">
        <f t="shared" si="134"/>
        <v>1.140642854861247E-3</v>
      </c>
      <c r="W174" t="str">
        <f t="shared" si="125"/>
        <v>1-0.00118490031150778i</v>
      </c>
      <c r="X174" s="4">
        <f t="shared" si="135"/>
        <v>1.0000007019941277</v>
      </c>
      <c r="Y174" s="4">
        <f t="shared" si="136"/>
        <v>-1.1848997569793454E-3</v>
      </c>
      <c r="Z174" t="str">
        <f t="shared" si="126"/>
        <v>0.999991563156873+0.00513113694494092i</v>
      </c>
      <c r="AA174" s="4">
        <f t="shared" si="137"/>
        <v>1.0000047274644626</v>
      </c>
      <c r="AB174" s="4">
        <f t="shared" si="138"/>
        <v>5.1311352036487214E-3</v>
      </c>
      <c r="AC174" s="48" t="str">
        <f t="shared" si="139"/>
        <v>0.171548957285546-11.1814808862463i</v>
      </c>
      <c r="AD174" s="20">
        <f t="shared" si="140"/>
        <v>20.97100865568105</v>
      </c>
      <c r="AE174" s="44">
        <f t="shared" si="141"/>
        <v>-89.121023392044364</v>
      </c>
      <c r="AF174" t="str">
        <f t="shared" si="127"/>
        <v>-0.0000333790427773504</v>
      </c>
      <c r="AG174" t="str">
        <f t="shared" si="128"/>
        <v>0.0000123645739090724i</v>
      </c>
      <c r="AH174">
        <f t="shared" si="142"/>
        <v>1.23645739090724E-5</v>
      </c>
      <c r="AI174">
        <f t="shared" si="143"/>
        <v>1.5707963267948966</v>
      </c>
      <c r="AJ174" t="str">
        <f t="shared" si="129"/>
        <v>1+0.284866206262857i</v>
      </c>
      <c r="AK174">
        <f t="shared" si="144"/>
        <v>1.0397830328826263</v>
      </c>
      <c r="AL174">
        <f t="shared" si="145"/>
        <v>0.27751541002253283</v>
      </c>
      <c r="AM174" t="str">
        <f t="shared" si="130"/>
        <v>1+2.1444094971454i</v>
      </c>
      <c r="AN174">
        <f t="shared" si="146"/>
        <v>2.3661132879571483</v>
      </c>
      <c r="AO174">
        <f t="shared" si="147"/>
        <v>1.1344466127305981</v>
      </c>
      <c r="AP174" s="42" t="str">
        <f t="shared" si="148"/>
        <v>-4.64318046775383+4.02225601276681i</v>
      </c>
      <c r="AQ174">
        <f t="shared" si="149"/>
        <v>15.767750627399252</v>
      </c>
      <c r="AR174" s="44">
        <f t="shared" si="150"/>
        <v>139.09854124824182</v>
      </c>
      <c r="AS174" s="42" t="str">
        <f t="shared" si="151"/>
        <v>44.1782459586096+52.6076474765073i</v>
      </c>
      <c r="AT174" s="20">
        <f t="shared" si="152"/>
        <v>36.738759283080313</v>
      </c>
      <c r="AU174" s="44">
        <f t="shared" si="153"/>
        <v>49.977517856197444</v>
      </c>
    </row>
    <row r="175" spans="14:47" x14ac:dyDescent="0.3">
      <c r="N175" s="8">
        <v>57</v>
      </c>
      <c r="O175" s="35">
        <f t="shared" si="121"/>
        <v>371.53522909717265</v>
      </c>
      <c r="P175" s="34" t="str">
        <f t="shared" si="122"/>
        <v>545.10556621881</v>
      </c>
      <c r="Q175" s="4" t="str">
        <f t="shared" si="123"/>
        <v>1+49.869763585846i</v>
      </c>
      <c r="R175" s="4">
        <f t="shared" si="131"/>
        <v>49.879788693499613</v>
      </c>
      <c r="S175" s="4">
        <f t="shared" si="132"/>
        <v>1.5507467831479875</v>
      </c>
      <c r="T175" s="4" t="str">
        <f t="shared" si="124"/>
        <v>1+0.00116721234628148i</v>
      </c>
      <c r="U175" s="4">
        <f t="shared" si="133"/>
        <v>1.0000006811920987</v>
      </c>
      <c r="V175" s="4">
        <f t="shared" si="134"/>
        <v>1.1672118162178477E-3</v>
      </c>
      <c r="W175" t="str">
        <f t="shared" si="125"/>
        <v>1-0.0012125001853172i</v>
      </c>
      <c r="X175" s="4">
        <f t="shared" si="135"/>
        <v>1.0000007350780795</v>
      </c>
      <c r="Y175" s="4">
        <f t="shared" si="136"/>
        <v>-1.2124995911293006E-3</v>
      </c>
      <c r="Z175" t="str">
        <f t="shared" si="126"/>
        <v>0.999991165540707+0.00525065647819092i</v>
      </c>
      <c r="AA175" s="4">
        <f t="shared" si="137"/>
        <v>1.0000049502642043</v>
      </c>
      <c r="AB175" s="4">
        <f t="shared" si="138"/>
        <v>5.2506546123595194E-3</v>
      </c>
      <c r="AC175" s="48" t="str">
        <f t="shared" si="139"/>
        <v>0.161226625123683-10.9271576557813i</v>
      </c>
      <c r="AD175" s="20">
        <f t="shared" si="140"/>
        <v>20.771089539127317</v>
      </c>
      <c r="AE175" s="44">
        <f t="shared" si="141"/>
        <v>-89.154680915203841</v>
      </c>
      <c r="AF175" t="str">
        <f t="shared" si="127"/>
        <v>-0.0000333790427773504</v>
      </c>
      <c r="AG175" t="str">
        <f t="shared" si="128"/>
        <v>0.0000126525818336912i</v>
      </c>
      <c r="AH175">
        <f t="shared" si="142"/>
        <v>1.26525818336912E-5</v>
      </c>
      <c r="AI175">
        <f t="shared" si="143"/>
        <v>1.5707963267948966</v>
      </c>
      <c r="AJ175" t="str">
        <f t="shared" si="129"/>
        <v>1+0.291501592606386i</v>
      </c>
      <c r="AK175">
        <f t="shared" si="144"/>
        <v>1.0416204579846056</v>
      </c>
      <c r="AL175">
        <f t="shared" si="145"/>
        <v>0.28364197020484916</v>
      </c>
      <c r="AM175" t="str">
        <f t="shared" si="130"/>
        <v>1+2.19435921100919i</v>
      </c>
      <c r="AN175">
        <f t="shared" si="146"/>
        <v>2.4114751391919582</v>
      </c>
      <c r="AO175">
        <f t="shared" si="147"/>
        <v>1.1432008886043823</v>
      </c>
      <c r="AP175" s="42" t="str">
        <f t="shared" si="148"/>
        <v>-4.62681371636706+3.98684464112315i</v>
      </c>
      <c r="AQ175">
        <f t="shared" si="149"/>
        <v>15.717360221980567</v>
      </c>
      <c r="AR175" s="44">
        <f t="shared" si="150"/>
        <v>139.24909826712306</v>
      </c>
      <c r="AS175" s="42" t="str">
        <f t="shared" si="151"/>
        <v>42.8189143820937+51.200708429055i</v>
      </c>
      <c r="AT175" s="20">
        <f t="shared" si="152"/>
        <v>36.488449761107894</v>
      </c>
      <c r="AU175" s="44">
        <f t="shared" si="153"/>
        <v>50.094417351919219</v>
      </c>
    </row>
    <row r="176" spans="14:47" x14ac:dyDescent="0.3">
      <c r="N176" s="8">
        <v>58</v>
      </c>
      <c r="O176" s="35">
        <f t="shared" si="121"/>
        <v>380.18939632056163</v>
      </c>
      <c r="P176" s="34" t="str">
        <f t="shared" si="122"/>
        <v>545.10556621881</v>
      </c>
      <c r="Q176" s="4" t="str">
        <f t="shared" si="123"/>
        <v>1+51.0313796040941i</v>
      </c>
      <c r="R176" s="4">
        <f t="shared" si="131"/>
        <v>51.04117655674829</v>
      </c>
      <c r="S176" s="4">
        <f t="shared" si="132"/>
        <v>1.5512030483265982</v>
      </c>
      <c r="T176" s="4" t="str">
        <f t="shared" si="124"/>
        <v>1+0.00119440021445341i</v>
      </c>
      <c r="U176" s="4">
        <f t="shared" si="133"/>
        <v>1.0000007132956816</v>
      </c>
      <c r="V176" s="4">
        <f t="shared" si="134"/>
        <v>1.1943996464800169E-3</v>
      </c>
      <c r="W176" t="str">
        <f t="shared" si="125"/>
        <v>1-0.0012407429427742i</v>
      </c>
      <c r="X176" s="4">
        <f t="shared" si="135"/>
        <v>1.0000007697212288</v>
      </c>
      <c r="Y176" s="4">
        <f t="shared" si="136"/>
        <v>-1.2407423060904214E-3</v>
      </c>
      <c r="Z176" t="str">
        <f t="shared" si="126"/>
        <v>0.999990749185467+0.00537295997900631i</v>
      </c>
      <c r="AA176" s="4">
        <f t="shared" si="137"/>
        <v>1.0000051835642891</v>
      </c>
      <c r="AB176" s="4">
        <f t="shared" si="138"/>
        <v>5.3729579797283673E-3</v>
      </c>
      <c r="AC176" s="48" t="str">
        <f t="shared" si="139"/>
        <v>0.151368511434667-10.6786095193315i</v>
      </c>
      <c r="AD176" s="20">
        <f t="shared" si="140"/>
        <v>20.571166656383181</v>
      </c>
      <c r="AE176" s="44">
        <f t="shared" si="141"/>
        <v>-89.187890891488607</v>
      </c>
      <c r="AF176" t="str">
        <f t="shared" si="127"/>
        <v>-0.0000333790427773504</v>
      </c>
      <c r="AG176" t="str">
        <f t="shared" si="128"/>
        <v>0.000012947298324675i</v>
      </c>
      <c r="AH176">
        <f t="shared" si="142"/>
        <v>1.2947298324675E-5</v>
      </c>
      <c r="AI176">
        <f t="shared" si="143"/>
        <v>1.5707963267948966</v>
      </c>
      <c r="AJ176" t="str">
        <f t="shared" si="129"/>
        <v>1+0.298291536952794i</v>
      </c>
      <c r="AK176">
        <f t="shared" si="144"/>
        <v>1.0435410107023395</v>
      </c>
      <c r="AL176">
        <f t="shared" si="145"/>
        <v>0.28988866110521794</v>
      </c>
      <c r="AM176" t="str">
        <f t="shared" si="130"/>
        <v>1+2.24547240317243i</v>
      </c>
      <c r="AN176">
        <f t="shared" si="146"/>
        <v>2.4580777679741881</v>
      </c>
      <c r="AO176">
        <f t="shared" si="147"/>
        <v>1.1518239202321305</v>
      </c>
      <c r="AP176" s="42" t="str">
        <f t="shared" si="148"/>
        <v>-4.60979883616935+3.95313408689146i</v>
      </c>
      <c r="AQ176">
        <f t="shared" si="149"/>
        <v>15.667616414884854</v>
      </c>
      <c r="AR176" s="44">
        <f t="shared" si="150"/>
        <v>139.38525256148702</v>
      </c>
      <c r="AS176" s="42" t="str">
        <f t="shared" si="151"/>
        <v>41.5161969036288+49.8246217563557i</v>
      </c>
      <c r="AT176" s="20">
        <f t="shared" si="152"/>
        <v>36.238783071268038</v>
      </c>
      <c r="AU176" s="44">
        <f t="shared" si="153"/>
        <v>50.197361669998401</v>
      </c>
    </row>
    <row r="177" spans="14:47" x14ac:dyDescent="0.3">
      <c r="N177" s="8">
        <v>59</v>
      </c>
      <c r="O177" s="35">
        <f t="shared" si="121"/>
        <v>389.04514499428063</v>
      </c>
      <c r="P177" s="34" t="str">
        <f t="shared" si="122"/>
        <v>545.10556621881</v>
      </c>
      <c r="Q177" s="4" t="str">
        <f t="shared" si="123"/>
        <v>1+52.2200531352885i</v>
      </c>
      <c r="R177" s="4">
        <f t="shared" si="131"/>
        <v>52.229627123428273</v>
      </c>
      <c r="S177" s="4">
        <f t="shared" si="132"/>
        <v>1.5516489355256513</v>
      </c>
      <c r="T177" s="4" t="str">
        <f t="shared" si="124"/>
        <v>1+0.00122222136942881i</v>
      </c>
      <c r="U177" s="4">
        <f t="shared" si="133"/>
        <v>1.0000007469122589</v>
      </c>
      <c r="V177" s="4">
        <f t="shared" si="134"/>
        <v>1.2222207608343788E-3</v>
      </c>
      <c r="W177" t="str">
        <f t="shared" si="125"/>
        <v>1-0.00126964355856264i</v>
      </c>
      <c r="X177" s="4">
        <f t="shared" si="135"/>
        <v>1.0000008059970582</v>
      </c>
      <c r="Y177" s="4">
        <f t="shared" si="136"/>
        <v>-1.2696428763437095E-3</v>
      </c>
      <c r="Z177" t="str">
        <f t="shared" si="126"/>
        <v>0.99999031320801+0.00549811229432211i</v>
      </c>
      <c r="AA177" s="4">
        <f t="shared" si="137"/>
        <v>1.0000054278595967</v>
      </c>
      <c r="AB177" s="4">
        <f t="shared" si="138"/>
        <v>5.4981101520531813E-3</v>
      </c>
      <c r="AC177" s="48" t="str">
        <f t="shared" si="139"/>
        <v>0.141953755145918-10.4357059358877i</v>
      </c>
      <c r="AD177" s="20">
        <f t="shared" si="140"/>
        <v>20.371240170827992</v>
      </c>
      <c r="AE177" s="44">
        <f t="shared" si="141"/>
        <v>-89.220670885671538</v>
      </c>
      <c r="AF177" t="str">
        <f t="shared" si="127"/>
        <v>-0.0000333790427773504</v>
      </c>
      <c r="AG177" t="str">
        <f t="shared" si="128"/>
        <v>0.0000132488796446083i</v>
      </c>
      <c r="AH177">
        <f t="shared" si="142"/>
        <v>1.3248879644608301E-5</v>
      </c>
      <c r="AI177">
        <f t="shared" si="143"/>
        <v>1.5707963267948966</v>
      </c>
      <c r="AJ177" t="str">
        <f t="shared" si="129"/>
        <v>1+0.30523963942045i</v>
      </c>
      <c r="AK177">
        <f t="shared" si="144"/>
        <v>1.0455482951416095</v>
      </c>
      <c r="AL177">
        <f t="shared" si="145"/>
        <v>0.2962568440379203</v>
      </c>
      <c r="AM177" t="str">
        <f t="shared" si="130"/>
        <v>1+2.29777617452617i</v>
      </c>
      <c r="AN177">
        <f t="shared" si="146"/>
        <v>2.5059479939176947</v>
      </c>
      <c r="AO177">
        <f t="shared" si="147"/>
        <v>1.160315149180849</v>
      </c>
      <c r="AP177" s="42" t="str">
        <f t="shared" si="148"/>
        <v>-4.59211568330252+3.92108180214933i</v>
      </c>
      <c r="AQ177">
        <f t="shared" si="149"/>
        <v>15.618453576336798</v>
      </c>
      <c r="AR177" s="44">
        <f t="shared" si="150"/>
        <v>139.5068941379167</v>
      </c>
      <c r="AS177" s="42" t="str">
        <f t="shared" si="151"/>
        <v>40.2673885724817+48.4785811805725i</v>
      </c>
      <c r="AT177" s="20">
        <f t="shared" si="152"/>
        <v>35.989693747164779</v>
      </c>
      <c r="AU177" s="44">
        <f t="shared" si="153"/>
        <v>50.286223252245172</v>
      </c>
    </row>
    <row r="178" spans="14:47" x14ac:dyDescent="0.3">
      <c r="N178" s="8">
        <v>60</v>
      </c>
      <c r="O178" s="35">
        <f t="shared" si="121"/>
        <v>398.10717055349761</v>
      </c>
      <c r="P178" s="34" t="str">
        <f t="shared" si="122"/>
        <v>545.10556621881</v>
      </c>
      <c r="Q178" s="4" t="str">
        <f t="shared" si="123"/>
        <v>1+53.4364144298692i</v>
      </c>
      <c r="R178" s="4">
        <f t="shared" si="131"/>
        <v>53.445770526026976</v>
      </c>
      <c r="S178" s="4">
        <f t="shared" si="132"/>
        <v>1.552084680450841</v>
      </c>
      <c r="T178" s="4" t="str">
        <f t="shared" si="124"/>
        <v>1+0.00125069056235229i</v>
      </c>
      <c r="U178" s="4">
        <f t="shared" si="133"/>
        <v>1.0000007821131356</v>
      </c>
      <c r="V178" s="4">
        <f t="shared" si="134"/>
        <v>1.2506899102316354E-3</v>
      </c>
      <c r="W178" t="str">
        <f t="shared" si="125"/>
        <v>1-0.00129921735617155i</v>
      </c>
      <c r="X178" s="4">
        <f t="shared" si="135"/>
        <v>1.0000008439825132</v>
      </c>
      <c r="Y178" s="4">
        <f t="shared" si="136"/>
        <v>-1.2992166251608289E-3</v>
      </c>
      <c r="Z178" t="str">
        <f t="shared" si="126"/>
        <v>0.999989856683568+0.00562617978155246i</v>
      </c>
      <c r="AA178" s="4">
        <f t="shared" si="137"/>
        <v>1.0000056836683267</v>
      </c>
      <c r="AB178" s="4">
        <f t="shared" si="138"/>
        <v>5.6261774860654418E-3</v>
      </c>
      <c r="AC178" s="48" t="str">
        <f t="shared" si="139"/>
        <v>0.132962431269936-10.1983192744284i</v>
      </c>
      <c r="AD178" s="20">
        <f t="shared" si="140"/>
        <v>20.171310238216378</v>
      </c>
      <c r="AE178" s="44">
        <f t="shared" si="141"/>
        <v>-89.253038237446376</v>
      </c>
      <c r="AF178" t="str">
        <f t="shared" si="127"/>
        <v>-0.0000333790427773504</v>
      </c>
      <c r="AG178" t="str">
        <f t="shared" si="128"/>
        <v>0.0000135574856958988i</v>
      </c>
      <c r="AH178">
        <f t="shared" si="142"/>
        <v>1.3557485695898801E-5</v>
      </c>
      <c r="AI178">
        <f t="shared" si="143"/>
        <v>1.5707963267948966</v>
      </c>
      <c r="AJ178" t="str">
        <f t="shared" si="129"/>
        <v>1+0.31234958398525i</v>
      </c>
      <c r="AK178">
        <f t="shared" si="144"/>
        <v>1.0476460578915758</v>
      </c>
      <c r="AL178">
        <f t="shared" si="145"/>
        <v>0.30274782870033834</v>
      </c>
      <c r="AM178" t="str">
        <f t="shared" si="130"/>
        <v>1+2.3512982572223i</v>
      </c>
      <c r="AN178">
        <f t="shared" si="146"/>
        <v>2.5551132057927735</v>
      </c>
      <c r="AO178">
        <f t="shared" si="147"/>
        <v>1.1686741787586434</v>
      </c>
      <c r="AP178" s="42" t="str">
        <f t="shared" si="148"/>
        <v>-4.57374397346133+3.89064486580114i</v>
      </c>
      <c r="AQ178">
        <f t="shared" si="149"/>
        <v>15.569805732440967</v>
      </c>
      <c r="AR178" s="44">
        <f t="shared" si="150"/>
        <v>139.6139252275089</v>
      </c>
      <c r="AS178" s="42" t="str">
        <f t="shared" si="151"/>
        <v>39.069902406138+47.1618109214162i</v>
      </c>
      <c r="AT178" s="20">
        <f t="shared" si="152"/>
        <v>35.74111597065734</v>
      </c>
      <c r="AU178" s="44">
        <f t="shared" si="153"/>
        <v>50.360886990062539</v>
      </c>
    </row>
    <row r="179" spans="14:47" x14ac:dyDescent="0.3">
      <c r="N179" s="8">
        <v>61</v>
      </c>
      <c r="O179" s="35">
        <f t="shared" si="121"/>
        <v>407.38027780411272</v>
      </c>
      <c r="P179" s="34" t="str">
        <f t="shared" si="122"/>
        <v>545.10556621881</v>
      </c>
      <c r="Q179" s="4" t="str">
        <f t="shared" si="123"/>
        <v>1+54.6811084186954i</v>
      </c>
      <c r="R179" s="4">
        <f t="shared" si="131"/>
        <v>54.690251580122776</v>
      </c>
      <c r="S179" s="4">
        <f t="shared" si="132"/>
        <v>1.5525105134776236</v>
      </c>
      <c r="T179" s="4" t="str">
        <f t="shared" si="124"/>
        <v>1+0.00127982288796677i</v>
      </c>
      <c r="U179" s="4">
        <f t="shared" si="133"/>
        <v>1.000000818972977</v>
      </c>
      <c r="V179" s="4">
        <f t="shared" si="134"/>
        <v>1.2798221892069302E-3</v>
      </c>
      <c r="W179" t="str">
        <f t="shared" si="125"/>
        <v>1-0.00132948001601988i</v>
      </c>
      <c r="X179" s="4">
        <f t="shared" si="135"/>
        <v>1.000000883758166</v>
      </c>
      <c r="Y179" s="4">
        <f t="shared" si="136"/>
        <v>-1.3294792327278174E-3</v>
      </c>
      <c r="Z179" t="str">
        <f t="shared" si="126"/>
        <v>0.999989378643792+0.0057572303437743i</v>
      </c>
      <c r="AA179" s="4">
        <f t="shared" si="137"/>
        <v>1.0000059515331039</v>
      </c>
      <c r="AB179" s="4">
        <f t="shared" si="138"/>
        <v>5.7572278841105896E-3</v>
      </c>
      <c r="AC179" s="48" t="str">
        <f t="shared" si="139"/>
        <v>0.124375509021789-9.96632475176568i</v>
      </c>
      <c r="AD179" s="20">
        <f t="shared" si="140"/>
        <v>19.971377007007241</v>
      </c>
      <c r="AE179" s="44">
        <f t="shared" si="141"/>
        <v>-89.285010070427546</v>
      </c>
      <c r="AF179" t="str">
        <f t="shared" si="127"/>
        <v>-0.0000333790427773504</v>
      </c>
      <c r="AG179" t="str">
        <f t="shared" si="128"/>
        <v>0.0000138732801055598i</v>
      </c>
      <c r="AH179">
        <f t="shared" si="142"/>
        <v>1.3873280105559801E-5</v>
      </c>
      <c r="AI179">
        <f t="shared" si="143"/>
        <v>1.5707963267948966</v>
      </c>
      <c r="AJ179" t="str">
        <f t="shared" si="129"/>
        <v>1+0.319625140433915i</v>
      </c>
      <c r="AK179">
        <f t="shared" si="144"/>
        <v>1.0498381924836797</v>
      </c>
      <c r="AL179">
        <f t="shared" si="145"/>
        <v>0.30936286803163204</v>
      </c>
      <c r="AM179" t="str">
        <f t="shared" si="130"/>
        <v>1+2.40606702937753i</v>
      </c>
      <c r="AN179">
        <f t="shared" si="146"/>
        <v>2.6056013796929127</v>
      </c>
      <c r="AO179">
        <f t="shared" si="147"/>
        <v>1.1769007673936582</v>
      </c>
      <c r="AP179" s="42" t="str">
        <f t="shared" si="148"/>
        <v>-4.55466332905823+3.86177992130016i</v>
      </c>
      <c r="AQ179">
        <f t="shared" si="149"/>
        <v>15.521606612729023</v>
      </c>
      <c r="AR179" s="44">
        <f t="shared" si="150"/>
        <v>139.70626020108929</v>
      </c>
      <c r="AS179" s="42" t="str">
        <f t="shared" si="151"/>
        <v>37.921264245551+45.8735647157943i</v>
      </c>
      <c r="AT179" s="20">
        <f t="shared" si="152"/>
        <v>35.492983619736265</v>
      </c>
      <c r="AU179" s="44">
        <f t="shared" si="153"/>
        <v>50.421250130661718</v>
      </c>
    </row>
    <row r="180" spans="14:47" x14ac:dyDescent="0.3">
      <c r="N180" s="8">
        <v>62</v>
      </c>
      <c r="O180" s="35">
        <f t="shared" si="121"/>
        <v>416.86938347033572</v>
      </c>
      <c r="P180" s="34" t="str">
        <f t="shared" si="122"/>
        <v>545.10556621881</v>
      </c>
      <c r="Q180" s="4" t="str">
        <f t="shared" si="123"/>
        <v>1+55.9547950549952i</v>
      </c>
      <c r="R180" s="4">
        <f t="shared" si="131"/>
        <v>55.963730126274783</v>
      </c>
      <c r="S180" s="4">
        <f t="shared" si="132"/>
        <v>1.5529266597702083</v>
      </c>
      <c r="T180" s="4" t="str">
        <f t="shared" si="124"/>
        <v>1+0.00130963379261691i</v>
      </c>
      <c r="U180" s="4">
        <f t="shared" si="133"/>
        <v>1.0000008575699677</v>
      </c>
      <c r="V180" s="4">
        <f t="shared" si="134"/>
        <v>1.3096330438822866E-3</v>
      </c>
      <c r="W180" t="str">
        <f t="shared" si="125"/>
        <v>1-0.00136044758377045i</v>
      </c>
      <c r="X180" s="4">
        <f t="shared" si="135"/>
        <v>1.0000009254083859</v>
      </c>
      <c r="Y180" s="4">
        <f t="shared" si="136"/>
        <v>-1.3604467444579254E-3</v>
      </c>
      <c r="Z180" t="str">
        <f t="shared" si="126"/>
        <v>0.999988878074696+0.00589133346573037i</v>
      </c>
      <c r="AA180" s="4">
        <f t="shared" si="137"/>
        <v>1.0000062320221279</v>
      </c>
      <c r="AB180" s="4">
        <f t="shared" si="138"/>
        <v>5.8913308301475455E-3</v>
      </c>
      <c r="AC180" s="48" t="str">
        <f t="shared" si="139"/>
        <v>0.116174811799849-9.73960037153323i</v>
      </c>
      <c r="AD180" s="20">
        <f t="shared" si="140"/>
        <v>19.771440618676813</v>
      </c>
      <c r="AE180" s="44">
        <f t="shared" si="141"/>
        <v>-89.316603301048445</v>
      </c>
      <c r="AF180" t="str">
        <f t="shared" si="127"/>
        <v>-0.0000333790427773504</v>
      </c>
      <c r="AG180" t="str">
        <f t="shared" si="128"/>
        <v>0.0000141964303119673i</v>
      </c>
      <c r="AH180">
        <f t="shared" si="142"/>
        <v>1.41964303119673E-5</v>
      </c>
      <c r="AI180">
        <f t="shared" si="143"/>
        <v>1.5707963267948966</v>
      </c>
      <c r="AJ180" t="str">
        <f t="shared" si="129"/>
        <v>1+0.327070166362778i</v>
      </c>
      <c r="AK180">
        <f t="shared" si="144"/>
        <v>1.0521287438923885</v>
      </c>
      <c r="AL180">
        <f t="shared" si="145"/>
        <v>0.31610315286326984</v>
      </c>
      <c r="AM180" t="str">
        <f t="shared" si="130"/>
        <v>1+2.46211153011981i</v>
      </c>
      <c r="AN180">
        <f t="shared" si="146"/>
        <v>2.6574410975125886</v>
      </c>
      <c r="AO180">
        <f t="shared" si="147"/>
        <v>1.1849948218902862</v>
      </c>
      <c r="AP180" s="42" t="str">
        <f t="shared" si="148"/>
        <v>-4.53485333099744+3.83444311561025i</v>
      </c>
      <c r="AQ180">
        <f t="shared" si="149"/>
        <v>15.473789694883058</v>
      </c>
      <c r="AR180" s="44">
        <f t="shared" si="150"/>
        <v>139.78382548932595</v>
      </c>
      <c r="AS180" s="42" t="str">
        <f t="shared" si="151"/>
        <v>36.8191078611521+44.6131248947446i</v>
      </c>
      <c r="AT180" s="20">
        <f t="shared" si="152"/>
        <v>35.245230313559873</v>
      </c>
      <c r="AU180" s="44">
        <f t="shared" si="153"/>
        <v>50.467222188277468</v>
      </c>
    </row>
    <row r="181" spans="14:47" x14ac:dyDescent="0.3">
      <c r="N181" s="8">
        <v>63</v>
      </c>
      <c r="O181" s="35">
        <f t="shared" si="121"/>
        <v>426.57951880159294</v>
      </c>
      <c r="P181" s="34" t="str">
        <f t="shared" si="122"/>
        <v>545.10556621881</v>
      </c>
      <c r="Q181" s="4" t="str">
        <f t="shared" si="123"/>
        <v>1+57.2581496642824i</v>
      </c>
      <c r="R181" s="4">
        <f t="shared" si="131"/>
        <v>57.266881379881006</v>
      </c>
      <c r="S181" s="4">
        <f t="shared" si="132"/>
        <v>1.5533333393979991</v>
      </c>
      <c r="T181" s="4" t="str">
        <f t="shared" si="124"/>
        <v>1+0.00134013908243895i</v>
      </c>
      <c r="U181" s="4">
        <f t="shared" si="133"/>
        <v>1.0000008979859769</v>
      </c>
      <c r="V181" s="4">
        <f t="shared" si="134"/>
        <v>1.3401382801553855E-3</v>
      </c>
      <c r="W181" t="str">
        <f t="shared" si="125"/>
        <v>1-0.00139213647883758i</v>
      </c>
      <c r="X181" s="4">
        <f t="shared" si="135"/>
        <v>1.0000009690215184</v>
      </c>
      <c r="Y181" s="4">
        <f t="shared" si="136"/>
        <v>-1.3921355794980538E-3</v>
      </c>
      <c r="Z181" t="str">
        <f t="shared" si="126"/>
        <v>0.999988353914505+0.00602856025067098i</v>
      </c>
      <c r="AA181" s="4">
        <f t="shared" si="137"/>
        <v>1.0000065257303761</v>
      </c>
      <c r="AB181" s="4">
        <f t="shared" si="138"/>
        <v>6.0285574265867368E-3</v>
      </c>
      <c r="AC181" s="48" t="str">
        <f t="shared" si="139"/>
        <v>0.108342978947832-9.51802686431045i</v>
      </c>
      <c r="AD181" s="20">
        <f t="shared" si="140"/>
        <v>19.571501208017963</v>
      </c>
      <c r="AE181" s="44">
        <f t="shared" si="141"/>
        <v>-89.347834647361708</v>
      </c>
      <c r="AF181" t="str">
        <f t="shared" si="127"/>
        <v>-0.0000333790427773504</v>
      </c>
      <c r="AG181" t="str">
        <f t="shared" si="128"/>
        <v>0.0000145271076536383i</v>
      </c>
      <c r="AH181">
        <f t="shared" si="142"/>
        <v>1.4527107653638299E-5</v>
      </c>
      <c r="AI181">
        <f t="shared" si="143"/>
        <v>1.5707963267948966</v>
      </c>
      <c r="AJ181" t="str">
        <f t="shared" si="129"/>
        <v>1+0.334688609223131i</v>
      </c>
      <c r="AK181">
        <f t="shared" si="144"/>
        <v>1.054521913069479</v>
      </c>
      <c r="AL181">
        <f t="shared" si="145"/>
        <v>0.3229698063662047</v>
      </c>
      <c r="AM181" t="str">
        <f t="shared" si="130"/>
        <v>1+2.51946147498524i</v>
      </c>
      <c r="AN181">
        <f t="shared" si="146"/>
        <v>2.7106615657316575</v>
      </c>
      <c r="AO181">
        <f t="shared" si="147"/>
        <v>1.1929563906037599</v>
      </c>
      <c r="AP181" s="42" t="str">
        <f t="shared" si="148"/>
        <v>-4.51429357522027+3.8085900397602i</v>
      </c>
      <c r="AQ181">
        <f t="shared" si="149"/>
        <v>15.42628824693444</v>
      </c>
      <c r="AR181" s="44">
        <f t="shared" si="150"/>
        <v>139.84655950981468</v>
      </c>
      <c r="AS181" s="42" t="str">
        <f t="shared" si="151"/>
        <v>35.7611702997984+43.3798015128293i</v>
      </c>
      <c r="AT181" s="20">
        <f t="shared" si="152"/>
        <v>34.997789454952418</v>
      </c>
      <c r="AU181" s="44">
        <f t="shared" si="153"/>
        <v>50.498724862452988</v>
      </c>
    </row>
    <row r="182" spans="14:47" x14ac:dyDescent="0.3">
      <c r="N182" s="8">
        <v>64</v>
      </c>
      <c r="O182" s="35">
        <f t="shared" si="121"/>
        <v>436.51583224016622</v>
      </c>
      <c r="P182" s="34" t="str">
        <f t="shared" si="122"/>
        <v>545.10556621881</v>
      </c>
      <c r="Q182" s="4" t="str">
        <f t="shared" si="123"/>
        <v>1+58.5918633024227i</v>
      </c>
      <c r="R182" s="4">
        <f t="shared" si="131"/>
        <v>58.600396289187223</v>
      </c>
      <c r="S182" s="4">
        <f t="shared" si="132"/>
        <v>1.5537307674495282</v>
      </c>
      <c r="T182" s="4" t="str">
        <f t="shared" si="124"/>
        <v>1+0.00137135493174134i</v>
      </c>
      <c r="U182" s="4">
        <f t="shared" si="133"/>
        <v>1.0000009403067325</v>
      </c>
      <c r="V182" s="4">
        <f t="shared" si="134"/>
        <v>1.371354072079056E-3</v>
      </c>
      <c r="W182" t="str">
        <f t="shared" si="125"/>
        <v>1-0.0014245635030929i</v>
      </c>
      <c r="X182" s="4">
        <f t="shared" si="135"/>
        <v>1.0000010146900724</v>
      </c>
      <c r="Y182" s="4">
        <f t="shared" si="136"/>
        <v>-1.4245625394332885E-3</v>
      </c>
      <c r="Z182" t="str">
        <f t="shared" si="126"/>
        <v>0.999987805051405+0.00616898345805391i</v>
      </c>
      <c r="AA182" s="4">
        <f t="shared" si="137"/>
        <v>1.0000068332808696</v>
      </c>
      <c r="AB182" s="4">
        <f t="shared" si="138"/>
        <v>6.1689804319859836E-3</v>
      </c>
      <c r="AC182" s="48" t="str">
        <f t="shared" si="139"/>
        <v>0.1008634292197-9.30148762887152i</v>
      </c>
      <c r="AD182" s="20">
        <f t="shared" si="140"/>
        <v>19.371558903424646</v>
      </c>
      <c r="AE182" s="44">
        <f t="shared" si="141"/>
        <v>-89.378720637745701</v>
      </c>
      <c r="AF182" t="str">
        <f t="shared" si="127"/>
        <v>-0.0000333790427773504</v>
      </c>
      <c r="AG182" t="str">
        <f t="shared" si="128"/>
        <v>0.0000148654874600761i</v>
      </c>
      <c r="AH182">
        <f t="shared" si="142"/>
        <v>1.4865487460076099E-5</v>
      </c>
      <c r="AI182">
        <f t="shared" si="143"/>
        <v>1.5707963267948966</v>
      </c>
      <c r="AJ182" t="str">
        <f t="shared" si="129"/>
        <v>1+0.342484508414221i</v>
      </c>
      <c r="AK182">
        <f t="shared" si="144"/>
        <v>1.0570220615028481</v>
      </c>
      <c r="AL182">
        <f t="shared" si="145"/>
        <v>0.32996387830121054</v>
      </c>
      <c r="AM182" t="str">
        <f t="shared" si="130"/>
        <v>1+2.57814727167373i</v>
      </c>
      <c r="AN182">
        <f t="shared" si="146"/>
        <v>2.7652926345033899</v>
      </c>
      <c r="AO182">
        <f t="shared" si="147"/>
        <v>1.2007856565713975</v>
      </c>
      <c r="AP182" s="42" t="str">
        <f t="shared" si="148"/>
        <v>-4.49296373416452+3.7841756713758i</v>
      </c>
      <c r="AQ182">
        <f t="shared" si="149"/>
        <v>15.379035367265761</v>
      </c>
      <c r="AR182" s="44">
        <f t="shared" si="150"/>
        <v>139.89441260295897</v>
      </c>
      <c r="AS182" s="42" t="str">
        <f t="shared" si="151"/>
        <v>34.745287463191+42.1729315252844i</v>
      </c>
      <c r="AT182" s="20">
        <f t="shared" si="152"/>
        <v>34.750594270690407</v>
      </c>
      <c r="AU182" s="44">
        <f t="shared" si="153"/>
        <v>50.515691965213264</v>
      </c>
    </row>
    <row r="183" spans="14:47" x14ac:dyDescent="0.3">
      <c r="N183" s="8">
        <v>65</v>
      </c>
      <c r="O183" s="35">
        <f t="shared" si="121"/>
        <v>446.68359215096331</v>
      </c>
      <c r="P183" s="34" t="str">
        <f t="shared" si="122"/>
        <v>545.10556621881</v>
      </c>
      <c r="Q183" s="4" t="str">
        <f t="shared" si="123"/>
        <v>1+59.956643122041i</v>
      </c>
      <c r="R183" s="4">
        <f t="shared" si="131"/>
        <v>59.964981901638112</v>
      </c>
      <c r="S183" s="4">
        <f t="shared" si="132"/>
        <v>1.5541191541439343</v>
      </c>
      <c r="T183" s="4" t="str">
        <f t="shared" si="124"/>
        <v>1+0.00140329789158056i</v>
      </c>
      <c r="U183" s="4">
        <f t="shared" si="133"/>
        <v>1.0000009846220015</v>
      </c>
      <c r="V183" s="4">
        <f t="shared" si="134"/>
        <v>1.4032969704358758E-3</v>
      </c>
      <c r="W183" t="str">
        <f t="shared" si="125"/>
        <v>1-0.00145774584977389i</v>
      </c>
      <c r="X183" s="4">
        <f t="shared" si="135"/>
        <v>1.0000010625109168</v>
      </c>
      <c r="Y183" s="4">
        <f t="shared" si="136"/>
        <v>-1.4577448171940717E-3</v>
      </c>
      <c r="Z183" t="str">
        <f t="shared" si="126"/>
        <v>0.999987230321184+0.00631267754212245i</v>
      </c>
      <c r="AA183" s="4">
        <f t="shared" si="137"/>
        <v>1.0000071553259924</v>
      </c>
      <c r="AB183" s="4">
        <f t="shared" si="138"/>
        <v>6.3126742996242359E-3</v>
      </c>
      <c r="AC183" s="48" t="str">
        <f t="shared" si="139"/>
        <v>0.0937203258723958-9.08986867455105i</v>
      </c>
      <c r="AD183" s="20">
        <f t="shared" si="140"/>
        <v>19.171613827163295</v>
      </c>
      <c r="AE183" s="44">
        <f t="shared" si="141"/>
        <v>-89.409277619520864</v>
      </c>
      <c r="AF183" t="str">
        <f t="shared" si="127"/>
        <v>-0.0000333790427773504</v>
      </c>
      <c r="AG183" t="str">
        <f t="shared" si="128"/>
        <v>0.0000152117491447333i</v>
      </c>
      <c r="AH183">
        <f t="shared" si="142"/>
        <v>1.52117491447333E-5</v>
      </c>
      <c r="AI183">
        <f t="shared" si="143"/>
        <v>1.5707963267948966</v>
      </c>
      <c r="AJ183" t="str">
        <f t="shared" si="129"/>
        <v>1+0.350461997424991i</v>
      </c>
      <c r="AK183">
        <f t="shared" si="144"/>
        <v>1.0596337157900906</v>
      </c>
      <c r="AL183">
        <f t="shared" si="145"/>
        <v>0.33708633908075647</v>
      </c>
      <c r="AM183" t="str">
        <f t="shared" si="130"/>
        <v>1+2.63820003617147i</v>
      </c>
      <c r="AN183">
        <f t="shared" si="146"/>
        <v>2.8213648170442522</v>
      </c>
      <c r="AO183">
        <f t="shared" si="147"/>
        <v>1.2084829306358129</v>
      </c>
      <c r="AP183" s="42" t="str">
        <f t="shared" si="148"/>
        <v>-4.47084362325548+3.76115431960728i</v>
      </c>
      <c r="AQ183">
        <f t="shared" si="149"/>
        <v>15.331964022765565</v>
      </c>
      <c r="AR183" s="44">
        <f t="shared" si="150"/>
        <v>139.92734697819003</v>
      </c>
      <c r="AS183" s="42" t="str">
        <f t="shared" si="151"/>
        <v>33.7693899086546+40.9918780083363i</v>
      </c>
      <c r="AT183" s="20">
        <f t="shared" si="152"/>
        <v>34.503577849928874</v>
      </c>
      <c r="AU183" s="44">
        <f t="shared" si="153"/>
        <v>50.518069358669173</v>
      </c>
    </row>
    <row r="184" spans="14:47" x14ac:dyDescent="0.3">
      <c r="N184" s="8">
        <v>66</v>
      </c>
      <c r="O184" s="35">
        <f t="shared" ref="O184:O218" si="154">10^(2+(N184/100))</f>
        <v>457.0881896148756</v>
      </c>
      <c r="P184" s="34" t="str">
        <f t="shared" si="122"/>
        <v>545.10556621881</v>
      </c>
      <c r="Q184" s="4" t="str">
        <f t="shared" si="123"/>
        <v>1+61.3532127474627i</v>
      </c>
      <c r="R184" s="4">
        <f t="shared" si="131"/>
        <v>61.361361738763748</v>
      </c>
      <c r="S184" s="4">
        <f t="shared" si="132"/>
        <v>1.5544987049400276</v>
      </c>
      <c r="T184" s="4" t="str">
        <f t="shared" si="124"/>
        <v>1+0.00143598489853675i</v>
      </c>
      <c r="U184" s="4">
        <f t="shared" si="133"/>
        <v>1.000001031025783</v>
      </c>
      <c r="V184" s="4">
        <f t="shared" si="134"/>
        <v>1.4359839115124927E-3</v>
      </c>
      <c r="W184" t="str">
        <f t="shared" si="125"/>
        <v>1-0.00149170111259997i</v>
      </c>
      <c r="X184" s="4">
        <f t="shared" si="135"/>
        <v>1.0000011125854857</v>
      </c>
      <c r="Y184" s="4">
        <f t="shared" si="136"/>
        <v>-1.491700006170827E-3</v>
      </c>
      <c r="Z184" t="str">
        <f t="shared" si="126"/>
        <v>0.999986628504762+0.00645971869138201i</v>
      </c>
      <c r="AA184" s="4">
        <f t="shared" si="137"/>
        <v>1.0000074925488771</v>
      </c>
      <c r="AB184" s="4">
        <f t="shared" si="138"/>
        <v>6.459715216973588E-3</v>
      </c>
      <c r="AC184" s="48" t="str">
        <f t="shared" si="139"/>
        <v>0.086898543314588-8.88305856471487i</v>
      </c>
      <c r="AD184" s="20">
        <f t="shared" si="140"/>
        <v>18.971666095631207</v>
      </c>
      <c r="AE184" s="44">
        <f t="shared" si="141"/>
        <v>-89.439521767479732</v>
      </c>
      <c r="AF184" t="str">
        <f t="shared" si="127"/>
        <v>-0.0000333790427773504</v>
      </c>
      <c r="AG184" t="str">
        <f t="shared" si="128"/>
        <v>0.0000155660763001384i</v>
      </c>
      <c r="AH184">
        <f t="shared" si="142"/>
        <v>1.5566076300138401E-5</v>
      </c>
      <c r="AI184">
        <f t="shared" si="143"/>
        <v>1.5707963267948966</v>
      </c>
      <c r="AJ184" t="str">
        <f t="shared" si="129"/>
        <v>1+0.358625306025709i</v>
      </c>
      <c r="AK184">
        <f t="shared" si="144"/>
        <v>1.0623615722163682</v>
      </c>
      <c r="AL184">
        <f t="shared" si="145"/>
        <v>0.34433807365285063</v>
      </c>
      <c r="AM184" t="str">
        <f t="shared" si="130"/>
        <v>1+2.6996516092491i</v>
      </c>
      <c r="AN184">
        <f t="shared" si="146"/>
        <v>2.8789093093255391</v>
      </c>
      <c r="AO184">
        <f t="shared" si="147"/>
        <v>1.2160486445925685</v>
      </c>
      <c r="AP184" s="42" t="str">
        <f t="shared" si="148"/>
        <v>-4.44791327251894+3.73947957290439i</v>
      </c>
      <c r="AQ184">
        <f t="shared" si="149"/>
        <v>15.28500708550887</v>
      </c>
      <c r="AR184" s="44">
        <f t="shared" si="150"/>
        <v>139.94533667178504</v>
      </c>
      <c r="AS184" s="42" t="str">
        <f t="shared" si="151"/>
        <v>32.8314988634931+39.8360294181984i</v>
      </c>
      <c r="AT184" s="20">
        <f t="shared" si="152"/>
        <v>34.25667318114008</v>
      </c>
      <c r="AU184" s="44">
        <f t="shared" si="153"/>
        <v>50.505814904305339</v>
      </c>
    </row>
    <row r="185" spans="14:47" x14ac:dyDescent="0.3">
      <c r="N185" s="8">
        <v>67</v>
      </c>
      <c r="O185" s="35">
        <f t="shared" si="154"/>
        <v>467.7351412871983</v>
      </c>
      <c r="P185" s="34" t="str">
        <f t="shared" si="122"/>
        <v>545.10556621881</v>
      </c>
      <c r="Q185" s="4" t="str">
        <f t="shared" si="123"/>
        <v>1+62.7823126583887i</v>
      </c>
      <c r="R185" s="4">
        <f t="shared" si="131"/>
        <v>62.790276179800912</v>
      </c>
      <c r="S185" s="4">
        <f t="shared" si="132"/>
        <v>1.5548696206429919</v>
      </c>
      <c r="T185" s="4" t="str">
        <f t="shared" si="124"/>
        <v>1+0.00146943328369364i</v>
      </c>
      <c r="U185" s="4">
        <f t="shared" si="133"/>
        <v>1.0000010796165049</v>
      </c>
      <c r="V185" s="4">
        <f t="shared" si="134"/>
        <v>1.4694322260781554E-3</v>
      </c>
      <c r="W185" t="str">
        <f t="shared" si="125"/>
        <v>1-0.00152644729510095i</v>
      </c>
      <c r="X185" s="4">
        <f t="shared" si="135"/>
        <v>1.0000011650199938</v>
      </c>
      <c r="Y185" s="4">
        <f t="shared" si="136"/>
        <v>-1.5264461095408381E-3</v>
      </c>
      <c r="Z185" t="str">
        <f t="shared" si="126"/>
        <v>0.999985998325607+0.0066101848689962i</v>
      </c>
      <c r="AA185" s="4">
        <f t="shared" si="137"/>
        <v>1.0000078456648545</v>
      </c>
      <c r="AB185" s="4">
        <f t="shared" si="138"/>
        <v>6.6101811460904094E-3</v>
      </c>
      <c r="AC185" s="48" t="str">
        <f t="shared" si="139"/>
        <v>0.0803836352427196-8.68094836132474i</v>
      </c>
      <c r="AD185" s="20">
        <f t="shared" si="140"/>
        <v>18.771715819602566</v>
      </c>
      <c r="AE185" s="44">
        <f t="shared" si="141"/>
        <v>-89.469469092334819</v>
      </c>
      <c r="AF185" t="str">
        <f t="shared" si="127"/>
        <v>-0.0000333790427773504</v>
      </c>
      <c r="AG185" t="str">
        <f t="shared" si="128"/>
        <v>0.0000159286567952391i</v>
      </c>
      <c r="AH185">
        <f t="shared" si="142"/>
        <v>1.59286567952391E-5</v>
      </c>
      <c r="AI185">
        <f t="shared" si="143"/>
        <v>1.5707963267948966</v>
      </c>
      <c r="AJ185" t="str">
        <f t="shared" si="129"/>
        <v>1+0.366978762510649i</v>
      </c>
      <c r="AK185">
        <f t="shared" si="144"/>
        <v>1.0652105013253705</v>
      </c>
      <c r="AL185">
        <f t="shared" si="145"/>
        <v>0.35171987521945458</v>
      </c>
      <c r="AM185" t="str">
        <f t="shared" si="130"/>
        <v>1+2.76253457334406i</v>
      </c>
      <c r="AN185">
        <f t="shared" si="146"/>
        <v>2.9379580100677485</v>
      </c>
      <c r="AO185">
        <f t="shared" si="147"/>
        <v>1.2234833443917228</v>
      </c>
      <c r="AP185" s="42" t="str">
        <f t="shared" si="148"/>
        <v>-4.42415300337122+3.71910425012093i</v>
      </c>
      <c r="AQ185">
        <f t="shared" si="149"/>
        <v>15.238097368347482</v>
      </c>
      <c r="AR185" s="44">
        <f t="shared" si="150"/>
        <v>139.94836751725401</v>
      </c>
      <c r="AS185" s="42" t="str">
        <f t="shared" si="151"/>
        <v>31.9297224444022+38.7047988843367i</v>
      </c>
      <c r="AT185" s="20">
        <f t="shared" si="152"/>
        <v>34.009813187950051</v>
      </c>
      <c r="AU185" s="44">
        <f t="shared" si="153"/>
        <v>50.478898424919208</v>
      </c>
    </row>
    <row r="186" spans="14:47" x14ac:dyDescent="0.3">
      <c r="N186" s="8">
        <v>68</v>
      </c>
      <c r="O186" s="35">
        <f t="shared" si="154"/>
        <v>478.63009232263886</v>
      </c>
      <c r="P186" s="34" t="str">
        <f t="shared" si="122"/>
        <v>545.10556621881</v>
      </c>
      <c r="Q186" s="4" t="str">
        <f t="shared" si="123"/>
        <v>1+64.2447005825085i</v>
      </c>
      <c r="R186" s="4">
        <f t="shared" si="131"/>
        <v>64.252482854253714</v>
      </c>
      <c r="S186" s="4">
        <f t="shared" si="132"/>
        <v>1.5552320975087683</v>
      </c>
      <c r="T186" s="4" t="str">
        <f t="shared" si="124"/>
        <v>1+0.00150366078182781i</v>
      </c>
      <c r="U186" s="4">
        <f t="shared" si="133"/>
        <v>1.0000011304972345</v>
      </c>
      <c r="V186" s="4">
        <f t="shared" si="134"/>
        <v>1.5036596485724699E-3</v>
      </c>
      <c r="W186" t="str">
        <f t="shared" si="125"/>
        <v>1-0.00156200282016272i</v>
      </c>
      <c r="X186" s="4">
        <f t="shared" si="135"/>
        <v>1.0000012199256609</v>
      </c>
      <c r="Y186" s="4">
        <f t="shared" si="136"/>
        <v>-1.5620015498122562E-3</v>
      </c>
      <c r="Z186" t="str">
        <f t="shared" si="126"/>
        <v>0.999985338447022+0.00676415585412409i</v>
      </c>
      <c r="AA186" s="4">
        <f t="shared" si="137"/>
        <v>1.0000082154229653</v>
      </c>
      <c r="AB186" s="4">
        <f t="shared" si="138"/>
        <v>6.7641518649473494E-3</v>
      </c>
      <c r="AC186" s="48" t="str">
        <f t="shared" si="139"/>
        <v>0.0741618041986267-8.48343157058477i</v>
      </c>
      <c r="AD186" s="20">
        <f t="shared" si="140"/>
        <v>18.571763104462555</v>
      </c>
      <c r="AE186" s="44">
        <f t="shared" si="141"/>
        <v>-89.499135449087774</v>
      </c>
      <c r="AF186" t="str">
        <f t="shared" si="127"/>
        <v>-0.0000333790427773504</v>
      </c>
      <c r="AG186" t="str">
        <f t="shared" si="128"/>
        <v>0.0000162996828750134i</v>
      </c>
      <c r="AH186">
        <f t="shared" si="142"/>
        <v>1.62996828750134E-5</v>
      </c>
      <c r="AI186">
        <f t="shared" si="143"/>
        <v>1.5707963267948966</v>
      </c>
      <c r="AJ186" t="str">
        <f t="shared" si="129"/>
        <v>1+0.37552679599301i</v>
      </c>
      <c r="AK186">
        <f t="shared" si="144"/>
        <v>1.0681855524714681</v>
      </c>
      <c r="AL186">
        <f t="shared" si="145"/>
        <v>0.35923243880439099</v>
      </c>
      <c r="AM186" t="str">
        <f t="shared" si="130"/>
        <v>1+2.82688226983628i</v>
      </c>
      <c r="AN186">
        <f t="shared" si="146"/>
        <v>2.9985435410403358</v>
      </c>
      <c r="AO186">
        <f t="shared" si="147"/>
        <v>1.2307876834199161</v>
      </c>
      <c r="AP186" s="42" t="str">
        <f t="shared" si="148"/>
        <v>-4.39954351060436+3.69998035546363i</v>
      </c>
      <c r="AQ186">
        <f t="shared" si="149"/>
        <v>15.191167659809429</v>
      </c>
      <c r="AR186" s="44">
        <f t="shared" si="150"/>
        <v>139.93643712896184</v>
      </c>
      <c r="AS186" s="42" t="str">
        <f t="shared" si="151"/>
        <v>31.0622520736868+37.597623532683i</v>
      </c>
      <c r="AT186" s="20">
        <f t="shared" si="152"/>
        <v>33.762930764271971</v>
      </c>
      <c r="AU186" s="44">
        <f t="shared" si="153"/>
        <v>50.437301679874096</v>
      </c>
    </row>
    <row r="187" spans="14:47" x14ac:dyDescent="0.3">
      <c r="N187" s="8">
        <v>69</v>
      </c>
      <c r="O187" s="35">
        <f t="shared" si="154"/>
        <v>489.77881936844625</v>
      </c>
      <c r="P187" s="34" t="str">
        <f t="shared" si="122"/>
        <v>545.10556621881</v>
      </c>
      <c r="Q187" s="4" t="str">
        <f t="shared" si="123"/>
        <v>1+65.7411518972563i</v>
      </c>
      <c r="R187" s="4">
        <f t="shared" si="131"/>
        <v>65.74875704359836</v>
      </c>
      <c r="S187" s="4">
        <f t="shared" si="132"/>
        <v>1.5555863273461654</v>
      </c>
      <c r="T187" s="4" t="str">
        <f t="shared" si="124"/>
        <v>1+0.0015386855408118i</v>
      </c>
      <c r="U187" s="4">
        <f t="shared" si="133"/>
        <v>1.000001183775896</v>
      </c>
      <c r="V187" s="4">
        <f t="shared" si="134"/>
        <v>1.5386843265069029E-3</v>
      </c>
      <c r="W187" t="str">
        <f t="shared" si="125"/>
        <v>1-0.00159838653979529i</v>
      </c>
      <c r="X187" s="4">
        <f t="shared" si="135"/>
        <v>1.0000012774189495</v>
      </c>
      <c r="Y187" s="4">
        <f t="shared" si="136"/>
        <v>-1.5983851785903377E-3</v>
      </c>
      <c r="Z187" t="str">
        <f t="shared" si="126"/>
        <v>0.999984647469318+0.00692171328422003i</v>
      </c>
      <c r="AA187" s="4">
        <f t="shared" si="137"/>
        <v>1.0000086026075601</v>
      </c>
      <c r="AB187" s="4">
        <f t="shared" si="138"/>
        <v>6.9217090097274401E-3</v>
      </c>
      <c r="AC187" s="48" t="str">
        <f t="shared" si="139"/>
        <v>0.0682198724858601-8.29040408965708i</v>
      </c>
      <c r="AD187" s="20">
        <f t="shared" si="140"/>
        <v>18.371808050430243</v>
      </c>
      <c r="AE187" s="44">
        <f t="shared" si="141"/>
        <v>-89.528536545324172</v>
      </c>
      <c r="AF187" t="str">
        <f t="shared" si="127"/>
        <v>-0.0000333790427773504</v>
      </c>
      <c r="AG187" t="str">
        <f t="shared" si="128"/>
        <v>0.0000166793512623998i</v>
      </c>
      <c r="AH187">
        <f t="shared" si="142"/>
        <v>1.66793512623998E-5</v>
      </c>
      <c r="AI187">
        <f t="shared" si="143"/>
        <v>1.5707963267948966</v>
      </c>
      <c r="AJ187" t="str">
        <f t="shared" si="129"/>
        <v>1+0.384273938753292i</v>
      </c>
      <c r="AK187">
        <f t="shared" si="144"/>
        <v>1.0712919583404745</v>
      </c>
      <c r="AL187">
        <f t="shared" si="145"/>
        <v>0.36687635468812818</v>
      </c>
      <c r="AM187" t="str">
        <f t="shared" si="130"/>
        <v>1+2.89272881672618i</v>
      </c>
      <c r="AN187">
        <f t="shared" si="146"/>
        <v>3.0606992676703877</v>
      </c>
      <c r="AO187">
        <f t="shared" si="147"/>
        <v>1.2379624158867479</v>
      </c>
      <c r="AP187" s="42" t="str">
        <f t="shared" si="148"/>
        <v>-4.37406594954051+3.68205903782763i</v>
      </c>
      <c r="AQ187">
        <f t="shared" si="149"/>
        <v>15.144150758712126</v>
      </c>
      <c r="AR187" s="44">
        <f t="shared" si="150"/>
        <v>139.9095548993555</v>
      </c>
      <c r="AS187" s="42" t="str">
        <f t="shared" si="151"/>
        <v>30.2273590842426+36.5139638345464i</v>
      </c>
      <c r="AT187" s="20">
        <f t="shared" si="152"/>
        <v>33.515958809142361</v>
      </c>
      <c r="AU187" s="44">
        <f t="shared" si="153"/>
        <v>50.381018354031319</v>
      </c>
    </row>
    <row r="188" spans="14:47" x14ac:dyDescent="0.3">
      <c r="N188" s="8">
        <v>70</v>
      </c>
      <c r="O188" s="35">
        <f t="shared" si="154"/>
        <v>501.18723362727269</v>
      </c>
      <c r="P188" s="34" t="str">
        <f t="shared" si="122"/>
        <v>545.10556621881</v>
      </c>
      <c r="Q188" s="4" t="str">
        <f t="shared" si="123"/>
        <v>1+67.2724600409269i</v>
      </c>
      <c r="R188" s="4">
        <f t="shared" si="131"/>
        <v>67.279892092348859</v>
      </c>
      <c r="S188" s="4">
        <f t="shared" si="132"/>
        <v>1.5559324976167406</v>
      </c>
      <c r="T188" s="4" t="str">
        <f t="shared" si="124"/>
        <v>1+0.00157452613123643i</v>
      </c>
      <c r="U188" s="4">
        <f t="shared" si="133"/>
        <v>1.0000012395655007</v>
      </c>
      <c r="V188" s="4">
        <f t="shared" si="134"/>
        <v>1.5745248300853775E-3</v>
      </c>
      <c r="W188" t="str">
        <f t="shared" si="125"/>
        <v>1-0.0016356177451284i</v>
      </c>
      <c r="X188" s="4">
        <f t="shared" si="135"/>
        <v>1.0000013376218095</v>
      </c>
      <c r="Y188" s="4">
        <f t="shared" si="136"/>
        <v>-1.6356162865711205E-3</v>
      </c>
      <c r="Z188" t="str">
        <f t="shared" si="126"/>
        <v>0.999983923926838+0.00708294069831896i</v>
      </c>
      <c r="AA188" s="4">
        <f t="shared" si="137"/>
        <v>1.0000090080399535</v>
      </c>
      <c r="AB188" s="4">
        <f t="shared" si="138"/>
        <v>7.0829361181033819E-3</v>
      </c>
      <c r="AC188" s="48" t="str">
        <f t="shared" si="139"/>
        <v>0.0625452543845517-8.10176415443335i</v>
      </c>
      <c r="AD188" s="20">
        <f t="shared" si="140"/>
        <v>18.171850752770492</v>
      </c>
      <c r="AE188" s="44">
        <f t="shared" si="141"/>
        <v>-89.557687949437295</v>
      </c>
      <c r="AF188" t="str">
        <f t="shared" si="127"/>
        <v>-0.0000333790427773504</v>
      </c>
      <c r="AG188" t="str">
        <f t="shared" si="128"/>
        <v>0.0000170678632626029i</v>
      </c>
      <c r="AH188">
        <f t="shared" si="142"/>
        <v>1.7067863262602899E-5</v>
      </c>
      <c r="AI188">
        <f t="shared" si="143"/>
        <v>1.5707963267948966</v>
      </c>
      <c r="AJ188" t="str">
        <f t="shared" si="129"/>
        <v>1+0.393224828642367i</v>
      </c>
      <c r="AK188">
        <f t="shared" si="144"/>
        <v>1.074535139425798</v>
      </c>
      <c r="AL188">
        <f t="shared" si="145"/>
        <v>0.37465210172940266</v>
      </c>
      <c r="AM188" t="str">
        <f t="shared" si="130"/>
        <v>1+2.9601091267245i</v>
      </c>
      <c r="AN188">
        <f t="shared" si="146"/>
        <v>3.1244593199652448</v>
      </c>
      <c r="AO188">
        <f t="shared" si="147"/>
        <v>1.2450083903365159</v>
      </c>
      <c r="AP188" s="42" t="str">
        <f t="shared" si="148"/>
        <v>-4.34770202827999+3.66529055508731i</v>
      </c>
      <c r="AQ188">
        <f t="shared" si="149"/>
        <v>15.096979508896499</v>
      </c>
      <c r="AR188" s="44">
        <f t="shared" si="150"/>
        <v>139.86774200985769</v>
      </c>
      <c r="AS188" s="42" t="str">
        <f t="shared" si="151"/>
        <v>29.4233915054425+35.4533029770372i</v>
      </c>
      <c r="AT188" s="20">
        <f t="shared" si="152"/>
        <v>33.268830261666992</v>
      </c>
      <c r="AU188" s="44">
        <f t="shared" si="153"/>
        <v>50.31005406042037</v>
      </c>
    </row>
    <row r="189" spans="14:47" x14ac:dyDescent="0.3">
      <c r="N189" s="8">
        <v>71</v>
      </c>
      <c r="O189" s="35">
        <f t="shared" si="154"/>
        <v>512.86138399136519</v>
      </c>
      <c r="P189" s="34" t="str">
        <f t="shared" si="122"/>
        <v>545.10556621881</v>
      </c>
      <c r="Q189" s="4" t="str">
        <f t="shared" si="123"/>
        <v>1+68.8394369333676i</v>
      </c>
      <c r="R189" s="4">
        <f t="shared" si="131"/>
        <v>68.846699828699798</v>
      </c>
      <c r="S189" s="4">
        <f t="shared" si="132"/>
        <v>1.5562707915325</v>
      </c>
      <c r="T189" s="4" t="str">
        <f t="shared" si="124"/>
        <v>1+0.00161120155625717i</v>
      </c>
      <c r="U189" s="4">
        <f t="shared" si="133"/>
        <v>1.0000012979843851</v>
      </c>
      <c r="V189" s="4">
        <f t="shared" si="134"/>
        <v>1.611200162048796E-3</v>
      </c>
      <c r="W189" t="str">
        <f t="shared" si="125"/>
        <v>1-0.00167371617663994i</v>
      </c>
      <c r="X189" s="4">
        <f t="shared" si="135"/>
        <v>1.0000014006619391</v>
      </c>
      <c r="Y189" s="4">
        <f t="shared" si="136"/>
        <v>-1.6737146137677755E-3</v>
      </c>
      <c r="Z189" t="str">
        <f t="shared" si="126"/>
        <v>0.999983166284852+0.00724792358132993i</v>
      </c>
      <c r="AA189" s="4">
        <f t="shared" si="137"/>
        <v>1.0000094325801725</v>
      </c>
      <c r="AB189" s="4">
        <f t="shared" si="138"/>
        <v>7.2479186735245251E-3</v>
      </c>
      <c r="AC189" s="48" t="str">
        <f t="shared" si="139"/>
        <v>0.0571259296073057-7.91741228834856i</v>
      </c>
      <c r="AD189" s="20">
        <f t="shared" si="140"/>
        <v>17.971891301995282</v>
      </c>
      <c r="AE189" s="44">
        <f t="shared" si="141"/>
        <v>-89.586605098785313</v>
      </c>
      <c r="AF189" t="str">
        <f t="shared" si="127"/>
        <v>-0.0000333790427773504</v>
      </c>
      <c r="AG189" t="str">
        <f t="shared" si="128"/>
        <v>0.0000174654248698277i</v>
      </c>
      <c r="AH189">
        <f t="shared" si="142"/>
        <v>1.7465424869827701E-5</v>
      </c>
      <c r="AI189">
        <f t="shared" si="143"/>
        <v>1.5707963267948966</v>
      </c>
      <c r="AJ189" t="str">
        <f t="shared" si="129"/>
        <v>1+0.402384211540535i</v>
      </c>
      <c r="AK189">
        <f t="shared" si="144"/>
        <v>1.0779207084461724</v>
      </c>
      <c r="AL189">
        <f t="shared" si="145"/>
        <v>0.38256004059635768</v>
      </c>
      <c r="AM189" t="str">
        <f t="shared" si="130"/>
        <v>1+3.02905892576348i</v>
      </c>
      <c r="AN189">
        <f t="shared" si="146"/>
        <v>3.1898586137550686</v>
      </c>
      <c r="AO189">
        <f t="shared" si="147"/>
        <v>1.2519265433037194</v>
      </c>
      <c r="AP189" s="42" t="str">
        <f t="shared" si="148"/>
        <v>-4.32043410491374+3.64962424393481i</v>
      </c>
      <c r="AQ189">
        <f t="shared" si="149"/>
        <v>15.049586834489247</v>
      </c>
      <c r="AR189" s="44">
        <f t="shared" si="150"/>
        <v>139.81103145518054</v>
      </c>
      <c r="AS189" s="42" t="str">
        <f t="shared" si="151"/>
        <v>28.648771022234+34.4151462508964i</v>
      </c>
      <c r="AT189" s="20">
        <f t="shared" si="152"/>
        <v>33.021478136484532</v>
      </c>
      <c r="AU189" s="44">
        <f t="shared" si="153"/>
        <v>50.22442635639522</v>
      </c>
    </row>
    <row r="190" spans="14:47" x14ac:dyDescent="0.3">
      <c r="N190" s="8">
        <v>72</v>
      </c>
      <c r="O190" s="35">
        <f t="shared" si="154"/>
        <v>524.80746024977248</v>
      </c>
      <c r="P190" s="34" t="str">
        <f t="shared" si="122"/>
        <v>545.10556621881</v>
      </c>
      <c r="Q190" s="4" t="str">
        <f t="shared" si="123"/>
        <v>1+70.4429134064681i</v>
      </c>
      <c r="R190" s="4">
        <f t="shared" si="131"/>
        <v>70.450010994968352</v>
      </c>
      <c r="S190" s="4">
        <f t="shared" si="132"/>
        <v>1.5566013881514555</v>
      </c>
      <c r="T190" s="4" t="str">
        <f t="shared" si="124"/>
        <v>1+0.00164873126166981i</v>
      </c>
      <c r="U190" s="4">
        <f t="shared" si="133"/>
        <v>1.0000013591564629</v>
      </c>
      <c r="V190" s="4">
        <f t="shared" si="134"/>
        <v>1.6487297677487314E-3</v>
      </c>
      <c r="W190" t="str">
        <f t="shared" si="125"/>
        <v>1-0.00171270203462259i</v>
      </c>
      <c r="X190" s="4">
        <f t="shared" si="135"/>
        <v>1.0000014666730541</v>
      </c>
      <c r="Y190" s="4">
        <f t="shared" si="136"/>
        <v>-1.7127003599750265E-3</v>
      </c>
      <c r="Z190" t="str">
        <f t="shared" si="126"/>
        <v>0.999982372936299+0.00741674940936136i</v>
      </c>
      <c r="AA190" s="4">
        <f t="shared" si="137"/>
        <v>1.0000098771287775</v>
      </c>
      <c r="AB190" s="4">
        <f t="shared" si="138"/>
        <v>7.4167441505351827E-3</v>
      </c>
      <c r="AC190" s="48" t="str">
        <f t="shared" si="139"/>
        <v>0.0519504179410993-7.73725125222339i</v>
      </c>
      <c r="AD190" s="20">
        <f t="shared" si="140"/>
        <v>17.77192978405532</v>
      </c>
      <c r="AE190" s="44">
        <f t="shared" si="141"/>
        <v>-89.615303307785197</v>
      </c>
      <c r="AF190" t="str">
        <f t="shared" si="127"/>
        <v>-0.0000333790427773504</v>
      </c>
      <c r="AG190" t="str">
        <f t="shared" si="128"/>
        <v>0.0000178722468765007i</v>
      </c>
      <c r="AH190">
        <f t="shared" si="142"/>
        <v>1.7872246876500699E-5</v>
      </c>
      <c r="AI190">
        <f t="shared" si="143"/>
        <v>1.5707963267948966</v>
      </c>
      <c r="AJ190" t="str">
        <f t="shared" si="129"/>
        <v>1+0.411756943873846i</v>
      </c>
      <c r="AK190">
        <f t="shared" si="144"/>
        <v>1.0814544746906036</v>
      </c>
      <c r="AL190">
        <f t="shared" si="145"/>
        <v>0.39060040693263143</v>
      </c>
      <c r="AM190" t="str">
        <f t="shared" si="130"/>
        <v>1+3.09961477193924i</v>
      </c>
      <c r="AN190">
        <f t="shared" si="146"/>
        <v>3.2569328722624831</v>
      </c>
      <c r="AO190">
        <f t="shared" si="147"/>
        <v>1.258717893128239</v>
      </c>
      <c r="AP190" s="42" t="str">
        <f t="shared" si="148"/>
        <v>-4.29224528951112+3.63500849587649i</v>
      </c>
      <c r="AQ190">
        <f t="shared" si="149"/>
        <v>15.001905776094333</v>
      </c>
      <c r="AR190" s="44">
        <f t="shared" si="150"/>
        <v>139.73946808051474</v>
      </c>
      <c r="AS190" s="42" t="str">
        <f t="shared" si="151"/>
        <v>27.9019900998672+33.3990204517001i</v>
      </c>
      <c r="AT190" s="20">
        <f t="shared" si="152"/>
        <v>32.773835560149649</v>
      </c>
      <c r="AU190" s="44">
        <f t="shared" si="153"/>
        <v>50.124164772729571</v>
      </c>
    </row>
    <row r="191" spans="14:47" x14ac:dyDescent="0.3">
      <c r="N191" s="8">
        <v>73</v>
      </c>
      <c r="O191" s="35">
        <f t="shared" si="154"/>
        <v>537.03179637025301</v>
      </c>
      <c r="P191" s="34" t="str">
        <f t="shared" si="122"/>
        <v>545.10556621881</v>
      </c>
      <c r="Q191" s="4" t="str">
        <f t="shared" si="123"/>
        <v>1+72.0837396446786i</v>
      </c>
      <c r="R191" s="4">
        <f t="shared" si="131"/>
        <v>72.090675688065289</v>
      </c>
      <c r="S191" s="4">
        <f t="shared" si="132"/>
        <v>1.5569244624710863</v>
      </c>
      <c r="T191" s="4" t="str">
        <f t="shared" si="124"/>
        <v>1+0.00168713514622091i</v>
      </c>
      <c r="U191" s="4">
        <f t="shared" si="133"/>
        <v>1.000001423211488</v>
      </c>
      <c r="V191" s="4">
        <f t="shared" si="134"/>
        <v>1.6871335454557567E-3</v>
      </c>
      <c r="W191" t="str">
        <f t="shared" si="125"/>
        <v>1-0.00175259598989428i</v>
      </c>
      <c r="X191" s="4">
        <f t="shared" si="135"/>
        <v>1.0000015357951726</v>
      </c>
      <c r="Y191" s="4">
        <f t="shared" si="136"/>
        <v>-1.7525941954772354E-3</v>
      </c>
      <c r="Z191" t="str">
        <f t="shared" si="126"/>
        <v>0.99998154219838+0.00758950769610189i</v>
      </c>
      <c r="AA191" s="4">
        <f t="shared" si="137"/>
        <v>1.0000103426287748</v>
      </c>
      <c r="AB191" s="4">
        <f t="shared" si="138"/>
        <v>7.5895020611479935E-3</v>
      </c>
      <c r="AC191" s="48" t="str">
        <f t="shared" si="139"/>
        <v>0.0470077550225747-7.56118599512045i</v>
      </c>
      <c r="AD191" s="20">
        <f t="shared" si="140"/>
        <v>17.571966280521828</v>
      </c>
      <c r="AE191" s="44">
        <f t="shared" si="141"/>
        <v>-89.643797775947604</v>
      </c>
      <c r="AF191" t="str">
        <f t="shared" si="127"/>
        <v>-0.0000333790427773504</v>
      </c>
      <c r="AG191" t="str">
        <f t="shared" si="128"/>
        <v>0.0000182885449850347i</v>
      </c>
      <c r="AH191">
        <f t="shared" si="142"/>
        <v>1.8288544985034699E-5</v>
      </c>
      <c r="AI191">
        <f t="shared" si="143"/>
        <v>1.5707963267948966</v>
      </c>
      <c r="AJ191" t="str">
        <f t="shared" si="129"/>
        <v>1+0.421347995189046i</v>
      </c>
      <c r="AK191">
        <f t="shared" si="144"/>
        <v>1.0851424482757221</v>
      </c>
      <c r="AL191">
        <f t="shared" si="145"/>
        <v>0.39877330448673737</v>
      </c>
      <c r="AM191" t="str">
        <f t="shared" si="130"/>
        <v>1+3.17181407489533i</v>
      </c>
      <c r="AN191">
        <f t="shared" si="146"/>
        <v>3.3257186480073919</v>
      </c>
      <c r="AO191">
        <f t="shared" si="147"/>
        <v>1.2653835339437056</v>
      </c>
      <c r="AP191" s="42" t="str">
        <f t="shared" si="148"/>
        <v>-4.26311955062879+3.62139074001125i</v>
      </c>
      <c r="AQ191">
        <f t="shared" si="149"/>
        <v>14.953869528304581</v>
      </c>
      <c r="AR191" s="44">
        <f t="shared" si="150"/>
        <v>139.65310863074822</v>
      </c>
      <c r="AS191" s="42" t="str">
        <f t="shared" si="151"/>
        <v>27.181609266764+32.4044732904861i</v>
      </c>
      <c r="AT191" s="20">
        <f t="shared" si="152"/>
        <v>32.525835808826415</v>
      </c>
      <c r="AU191" s="44">
        <f t="shared" si="153"/>
        <v>50.009310854800702</v>
      </c>
    </row>
    <row r="192" spans="14:47" x14ac:dyDescent="0.3">
      <c r="N192" s="8">
        <v>74</v>
      </c>
      <c r="O192" s="35">
        <f t="shared" si="154"/>
        <v>549.54087385762534</v>
      </c>
      <c r="P192" s="34" t="str">
        <f t="shared" si="122"/>
        <v>545.10556621881</v>
      </c>
      <c r="Q192" s="4" t="str">
        <f t="shared" si="123"/>
        <v>1+73.7627856357901i</v>
      </c>
      <c r="R192" s="4">
        <f t="shared" si="131"/>
        <v>73.769563810229499</v>
      </c>
      <c r="S192" s="4">
        <f t="shared" si="132"/>
        <v>1.557240185519746</v>
      </c>
      <c r="T192" s="4" t="str">
        <f t="shared" si="124"/>
        <v>1+0.00172643357215843i</v>
      </c>
      <c r="U192" s="4">
        <f t="shared" si="133"/>
        <v>1.0000014902853291</v>
      </c>
      <c r="V192" s="4">
        <f t="shared" si="134"/>
        <v>1.7264318569078032E-3</v>
      </c>
      <c r="W192" t="str">
        <f t="shared" si="125"/>
        <v>1-0.00179341919475817i</v>
      </c>
      <c r="X192" s="4">
        <f t="shared" si="135"/>
        <v>1.000001608174911</v>
      </c>
      <c r="Y192" s="4">
        <f t="shared" si="136"/>
        <v>-1.793417272005832E-3</v>
      </c>
      <c r="Z192" t="str">
        <f t="shared" si="126"/>
        <v>0.999980672308989+0.00776629004028193i</v>
      </c>
      <c r="AA192" s="4">
        <f t="shared" si="137"/>
        <v>1.0000108300676187</v>
      </c>
      <c r="AB192" s="4">
        <f t="shared" si="138"/>
        <v>7.7662840022974669E-3</v>
      </c>
      <c r="AC192" s="48" t="str">
        <f t="shared" si="139"/>
        <v>0.0422874691964021-7.38912360619979i</v>
      </c>
      <c r="AD192" s="20">
        <f t="shared" si="140"/>
        <v>17.372000868758906</v>
      </c>
      <c r="AE192" s="44">
        <f t="shared" si="141"/>
        <v>-89.672103595856441</v>
      </c>
      <c r="AF192" t="str">
        <f t="shared" si="127"/>
        <v>-0.0000333790427773504</v>
      </c>
      <c r="AG192" t="str">
        <f t="shared" si="128"/>
        <v>0.0000187145399221974i</v>
      </c>
      <c r="AH192">
        <f t="shared" si="142"/>
        <v>1.8714539922197399E-5</v>
      </c>
      <c r="AI192">
        <f t="shared" si="143"/>
        <v>1.5707963267948966</v>
      </c>
      <c r="AJ192" t="str">
        <f t="shared" si="129"/>
        <v>1+0.431162450788496i</v>
      </c>
      <c r="AK192">
        <f t="shared" si="144"/>
        <v>1.0889908443003284</v>
      </c>
      <c r="AL192">
        <f t="shared" si="145"/>
        <v>0.40707869823595699</v>
      </c>
      <c r="AM192" t="str">
        <f t="shared" si="130"/>
        <v>1+3.24569511565786i</v>
      </c>
      <c r="AN192">
        <f t="shared" si="146"/>
        <v>3.3962533450561798</v>
      </c>
      <c r="AO192">
        <f t="shared" si="147"/>
        <v>1.271924629850365</v>
      </c>
      <c r="AP192" s="42" t="str">
        <f t="shared" si="148"/>
        <v>-4.23304182601685+3.60871743322358i</v>
      </c>
      <c r="AQ192">
        <f t="shared" si="149"/>
        <v>14.905411478912018</v>
      </c>
      <c r="AR192" s="44">
        <f t="shared" si="150"/>
        <v>139.55202181056549</v>
      </c>
      <c r="AS192" s="42" t="str">
        <f t="shared" si="151"/>
        <v>26.4862545481123+31.4310728099481i</v>
      </c>
      <c r="AT192" s="20">
        <f t="shared" si="152"/>
        <v>32.277412347670918</v>
      </c>
      <c r="AU192" s="44">
        <f t="shared" si="153"/>
        <v>49.879918214709015</v>
      </c>
    </row>
    <row r="193" spans="14:47" x14ac:dyDescent="0.3">
      <c r="N193" s="8">
        <v>75</v>
      </c>
      <c r="O193" s="35">
        <f t="shared" si="154"/>
        <v>562.34132519034927</v>
      </c>
      <c r="P193" s="34" t="str">
        <f t="shared" si="122"/>
        <v>545.10556621881</v>
      </c>
      <c r="Q193" s="4" t="str">
        <f t="shared" si="123"/>
        <v>1+75.4809416322115i</v>
      </c>
      <c r="R193" s="4">
        <f t="shared" si="131"/>
        <v>75.487565530260142</v>
      </c>
      <c r="S193" s="4">
        <f t="shared" si="132"/>
        <v>1.5575487244460564</v>
      </c>
      <c r="T193" s="4" t="str">
        <f t="shared" si="124"/>
        <v>1+0.00176664737602795i</v>
      </c>
      <c r="U193" s="4">
        <f t="shared" si="133"/>
        <v>1.0000015605202579</v>
      </c>
      <c r="V193" s="4">
        <f t="shared" si="134"/>
        <v>1.7666455381039449E-3</v>
      </c>
      <c r="W193" t="str">
        <f t="shared" si="125"/>
        <v>1-0.00183519329421783i</v>
      </c>
      <c r="X193" s="4">
        <f t="shared" si="135"/>
        <v>1.0000016839657957</v>
      </c>
      <c r="Y193" s="4">
        <f t="shared" si="136"/>
        <v>-1.8351912339517678E-3</v>
      </c>
      <c r="Z193" t="str">
        <f t="shared" si="126"/>
        <v>0.999979761422975+0.00794719017424031i</v>
      </c>
      <c r="AA193" s="4">
        <f t="shared" si="137"/>
        <v>1.0000113404793043</v>
      </c>
      <c r="AB193" s="4">
        <f t="shared" si="138"/>
        <v>7.9471837043980503E-3</v>
      </c>
      <c r="AC193" s="48" t="str">
        <f t="shared" si="139"/>
        <v>0.0377795594086235-7.22097326755945i</v>
      </c>
      <c r="AD193" s="20">
        <f t="shared" si="140"/>
        <v>17.172033622087493</v>
      </c>
      <c r="AE193" s="44">
        <f t="shared" si="141"/>
        <v>-89.700235761096877</v>
      </c>
      <c r="AF193" t="str">
        <f t="shared" si="127"/>
        <v>-0.0000333790427773504</v>
      </c>
      <c r="AG193" t="str">
        <f t="shared" si="128"/>
        <v>0.000019150457556143i</v>
      </c>
      <c r="AH193">
        <f t="shared" si="142"/>
        <v>1.9150457556143E-5</v>
      </c>
      <c r="AI193">
        <f t="shared" si="143"/>
        <v>1.5707963267948966</v>
      </c>
      <c r="AJ193" t="str">
        <f t="shared" si="129"/>
        <v>1+0.441205514426464i</v>
      </c>
      <c r="AK193">
        <f t="shared" si="144"/>
        <v>1.0930060868816425</v>
      </c>
      <c r="AL193">
        <f t="shared" si="145"/>
        <v>0.4155164075389165</v>
      </c>
      <c r="AM193" t="str">
        <f t="shared" si="130"/>
        <v>1+3.32129706693255i</v>
      </c>
      <c r="AN193">
        <f t="shared" si="146"/>
        <v>3.4685752416251203</v>
      </c>
      <c r="AO193">
        <f t="shared" si="147"/>
        <v>1.2783424092816131</v>
      </c>
      <c r="AP193" s="42" t="str">
        <f t="shared" si="148"/>
        <v>-4.2019981371239+3.59693405842342i</v>
      </c>
      <c r="AQ193">
        <f t="shared" si="149"/>
        <v>14.85646525017566</v>
      </c>
      <c r="AR193" s="44">
        <f t="shared" si="150"/>
        <v>139.43628835400392</v>
      </c>
      <c r="AS193" s="42" t="str">
        <f t="shared" si="151"/>
        <v>25.8146150427932+30.4784068024554i</v>
      </c>
      <c r="AT193" s="20">
        <f t="shared" si="152"/>
        <v>32.02849887226315</v>
      </c>
      <c r="AU193" s="44">
        <f t="shared" si="153"/>
        <v>49.736052592907079</v>
      </c>
    </row>
    <row r="194" spans="14:47" x14ac:dyDescent="0.3">
      <c r="N194" s="8">
        <v>76</v>
      </c>
      <c r="O194" s="35">
        <f t="shared" si="154"/>
        <v>575.43993733715706</v>
      </c>
      <c r="P194" s="34" t="str">
        <f t="shared" si="122"/>
        <v>545.10556621881</v>
      </c>
      <c r="Q194" s="4" t="str">
        <f t="shared" si="123"/>
        <v>1+77.2391186229947i</v>
      </c>
      <c r="R194" s="4">
        <f t="shared" si="131"/>
        <v>77.245591755497898</v>
      </c>
      <c r="S194" s="4">
        <f t="shared" si="132"/>
        <v>1.5578502426063319</v>
      </c>
      <c r="T194" s="4" t="str">
        <f t="shared" si="124"/>
        <v>1+0.00180779787972058i</v>
      </c>
      <c r="U194" s="4">
        <f t="shared" si="133"/>
        <v>1.0000016340652518</v>
      </c>
      <c r="V194" s="4">
        <f t="shared" si="134"/>
        <v>1.8077959103497008E-3</v>
      </c>
      <c r="W194" t="str">
        <f t="shared" si="125"/>
        <v>1-0.00187794043745374i</v>
      </c>
      <c r="X194" s="4">
        <f t="shared" si="135"/>
        <v>1.0000017633285887</v>
      </c>
      <c r="Y194" s="4">
        <f t="shared" si="136"/>
        <v>-1.8779382298390907E-3</v>
      </c>
      <c r="Z194" t="str">
        <f t="shared" si="126"/>
        <v>0.999978807608225+0.00813230401362258i</v>
      </c>
      <c r="AA194" s="4">
        <f t="shared" si="137"/>
        <v>1.0000118749465616</v>
      </c>
      <c r="AB194" s="4">
        <f t="shared" si="138"/>
        <v>8.1322970810332688E-3</v>
      </c>
      <c r="AC194" s="48" t="str">
        <f t="shared" si="139"/>
        <v>0.0334744740889496-7.05664620804515i</v>
      </c>
      <c r="AD194" s="20">
        <f t="shared" si="140"/>
        <v>16.972064609940293</v>
      </c>
      <c r="AE194" s="44">
        <f t="shared" si="141"/>
        <v>-89.728209174135969</v>
      </c>
      <c r="AF194" t="str">
        <f t="shared" si="127"/>
        <v>-0.0000333790427773504</v>
      </c>
      <c r="AG194" t="str">
        <f t="shared" si="128"/>
        <v>0.0000195965290161711i</v>
      </c>
      <c r="AH194">
        <f t="shared" si="142"/>
        <v>1.95965290161711E-5</v>
      </c>
      <c r="AI194">
        <f t="shared" si="143"/>
        <v>1.5707963267948966</v>
      </c>
      <c r="AJ194" t="str">
        <f t="shared" si="129"/>
        <v>1+0.451482511068226i</v>
      </c>
      <c r="AK194">
        <f t="shared" si="144"/>
        <v>1.0971948130575859</v>
      </c>
      <c r="AL194">
        <f t="shared" si="145"/>
        <v>0.42408609935394215</v>
      </c>
      <c r="AM194" t="str">
        <f t="shared" si="130"/>
        <v>1+3.39866001387471i</v>
      </c>
      <c r="AN194">
        <f t="shared" si="146"/>
        <v>3.5427235130490837</v>
      </c>
      <c r="AO194">
        <f t="shared" si="147"/>
        <v>1.2846381595714818</v>
      </c>
      <c r="AP194" s="42" t="str">
        <f t="shared" si="148"/>
        <v>-4.16997570692401+3.58598513145952i</v>
      </c>
      <c r="AQ194">
        <f t="shared" si="149"/>
        <v>14.806964742484483</v>
      </c>
      <c r="AR194" s="44">
        <f t="shared" si="150"/>
        <v>139.30600110175286</v>
      </c>
      <c r="AS194" s="42" t="str">
        <f t="shared" si="151"/>
        <v>25.1654406362671+29.5460822262721i</v>
      </c>
      <c r="AT194" s="20">
        <f t="shared" si="152"/>
        <v>31.779029352424768</v>
      </c>
      <c r="AU194" s="44">
        <f t="shared" si="153"/>
        <v>49.57779192761695</v>
      </c>
    </row>
    <row r="195" spans="14:47" x14ac:dyDescent="0.3">
      <c r="N195" s="8">
        <v>77</v>
      </c>
      <c r="O195" s="35">
        <f t="shared" si="154"/>
        <v>588.84365535558959</v>
      </c>
      <c r="P195" s="34" t="str">
        <f t="shared" si="122"/>
        <v>545.10556621881</v>
      </c>
      <c r="Q195" s="4" t="str">
        <f t="shared" si="123"/>
        <v>1+79.0382488168523i</v>
      </c>
      <c r="R195" s="4">
        <f t="shared" si="131"/>
        <v>79.044574614799814</v>
      </c>
      <c r="S195" s="4">
        <f t="shared" si="132"/>
        <v>1.55814489965007</v>
      </c>
      <c r="T195" s="4" t="str">
        <f t="shared" si="124"/>
        <v>1+0.00184990690177808i</v>
      </c>
      <c r="U195" s="4">
        <f t="shared" si="133"/>
        <v>1.0000017110763086</v>
      </c>
      <c r="V195" s="4">
        <f t="shared" si="134"/>
        <v>1.8499047915593589E-3</v>
      </c>
      <c r="W195" t="str">
        <f t="shared" si="125"/>
        <v>1-0.00192168328956706i</v>
      </c>
      <c r="X195" s="4">
        <f t="shared" si="135"/>
        <v>1.000001846431628</v>
      </c>
      <c r="Y195" s="4">
        <f t="shared" si="136"/>
        <v>-1.9216809240655808E-3</v>
      </c>
      <c r="Z195" t="str">
        <f t="shared" si="126"/>
        <v>0.999977808841571+0.00832172970823663i</v>
      </c>
      <c r="AA195" s="4">
        <f t="shared" si="137"/>
        <v>1.0000124346031534</v>
      </c>
      <c r="AB195" s="4">
        <f t="shared" si="138"/>
        <v>8.3217222798014495E-3</v>
      </c>
      <c r="AC195" s="48" t="str">
        <f t="shared" si="139"/>
        <v>0.0293630909780515-6.89605565801469i</v>
      </c>
      <c r="AD195" s="20">
        <f t="shared" si="140"/>
        <v>16.772093898008798</v>
      </c>
      <c r="AE195" s="44">
        <f t="shared" si="141"/>
        <v>-89.756038654159184</v>
      </c>
      <c r="AF195" t="str">
        <f t="shared" si="127"/>
        <v>-0.0000333790427773504</v>
      </c>
      <c r="AG195" t="str">
        <f t="shared" si="128"/>
        <v>0.0000200529908152744i</v>
      </c>
      <c r="AH195">
        <f t="shared" si="142"/>
        <v>2.0052990815274401E-5</v>
      </c>
      <c r="AI195">
        <f t="shared" si="143"/>
        <v>1.5707963267948966</v>
      </c>
      <c r="AJ195" t="str">
        <f t="shared" si="129"/>
        <v>1+0.461998889713433i</v>
      </c>
      <c r="AK195">
        <f t="shared" si="144"/>
        <v>1.1015638765393703</v>
      </c>
      <c r="AL195">
        <f t="shared" si="145"/>
        <v>0.43278728156314722</v>
      </c>
      <c r="AM195" t="str">
        <f t="shared" si="130"/>
        <v>1+3.4778249753428i</v>
      </c>
      <c r="AN195">
        <f t="shared" si="146"/>
        <v>3.6187382551267988</v>
      </c>
      <c r="AO195">
        <f t="shared" si="147"/>
        <v>1.2908132217285044</v>
      </c>
      <c r="AP195" s="42" t="str">
        <f t="shared" si="148"/>
        <v>-4.13696308050683+3.57581421731672i</v>
      </c>
      <c r="AQ195">
        <f t="shared" si="149"/>
        <v>14.756844180726304</v>
      </c>
      <c r="AR195" s="44">
        <f t="shared" si="150"/>
        <v>139.16126508421934</v>
      </c>
      <c r="AS195" s="42" t="str">
        <f t="shared" si="151"/>
        <v>24.5375398420306+28.6337246165107i</v>
      </c>
      <c r="AT195" s="20">
        <f t="shared" si="152"/>
        <v>31.528938078735109</v>
      </c>
      <c r="AU195" s="44">
        <f t="shared" si="153"/>
        <v>49.405226430060154</v>
      </c>
    </row>
    <row r="196" spans="14:47" x14ac:dyDescent="0.3">
      <c r="N196" s="8">
        <v>78</v>
      </c>
      <c r="O196" s="35">
        <f t="shared" si="154"/>
        <v>602.55958607435832</v>
      </c>
      <c r="P196" s="34" t="str">
        <f t="shared" si="122"/>
        <v>545.10556621881</v>
      </c>
      <c r="Q196" s="4" t="str">
        <f t="shared" si="123"/>
        <v>1+80.8792861364276i</v>
      </c>
      <c r="R196" s="4">
        <f t="shared" si="131"/>
        <v>80.8854679527672</v>
      </c>
      <c r="S196" s="4">
        <f t="shared" si="132"/>
        <v>1.5584328516035546</v>
      </c>
      <c r="T196" s="4" t="str">
        <f t="shared" si="124"/>
        <v>1+0.00189299676896131i</v>
      </c>
      <c r="U196" s="4">
        <f t="shared" si="133"/>
        <v>1.0000017917167785</v>
      </c>
      <c r="V196" s="4">
        <f t="shared" si="134"/>
        <v>1.892994507821431E-3</v>
      </c>
      <c r="W196" t="str">
        <f t="shared" si="125"/>
        <v>1-0.001966445043597i</v>
      </c>
      <c r="X196" s="4">
        <f t="shared" si="135"/>
        <v>1.0000019334511856</v>
      </c>
      <c r="Y196" s="4">
        <f t="shared" si="136"/>
        <v>-1.966442508916763E-3</v>
      </c>
      <c r="Z196" t="str">
        <f t="shared" si="126"/>
        <v>0.999976763004495+0.00851556769409311i</v>
      </c>
      <c r="AA196" s="4">
        <f t="shared" si="137"/>
        <v>1.0000130206362818</v>
      </c>
      <c r="AB196" s="4">
        <f t="shared" si="138"/>
        <v>8.5155597343456093E-3</v>
      </c>
      <c r="AC196" s="48" t="str">
        <f t="shared" si="139"/>
        <v>0.0254366978577845-6.73911680504138i</v>
      </c>
      <c r="AD196" s="20">
        <f t="shared" si="140"/>
        <v>16.572121548382285</v>
      </c>
      <c r="AE196" s="44">
        <f t="shared" si="141"/>
        <v>-89.783738944867395</v>
      </c>
      <c r="AF196" t="str">
        <f t="shared" si="127"/>
        <v>-0.0000333790427773504</v>
      </c>
      <c r="AG196" t="str">
        <f t="shared" si="128"/>
        <v>0.0000205200849755406i</v>
      </c>
      <c r="AH196">
        <f t="shared" si="142"/>
        <v>2.0520084975540601E-5</v>
      </c>
      <c r="AI196">
        <f t="shared" si="143"/>
        <v>1.5707963267948966</v>
      </c>
      <c r="AJ196" t="str">
        <f t="shared" si="129"/>
        <v>1+0.472760226285245i</v>
      </c>
      <c r="AK196">
        <f t="shared" si="144"/>
        <v>1.1061203512987527</v>
      </c>
      <c r="AL196">
        <f t="shared" si="145"/>
        <v>0.4416192964449861</v>
      </c>
      <c r="AM196" t="str">
        <f t="shared" si="130"/>
        <v>1+3.55883392564727i</v>
      </c>
      <c r="AN196">
        <f t="shared" si="146"/>
        <v>3.6966605078554289</v>
      </c>
      <c r="AO196">
        <f t="shared" si="147"/>
        <v>1.2968689854198236</v>
      </c>
      <c r="AP196" s="42" t="str">
        <f t="shared" si="148"/>
        <v>-4.10295024778826+3.56636395618259i</v>
      </c>
      <c r="AQ196">
        <f t="shared" si="149"/>
        <v>14.706038163643631</v>
      </c>
      <c r="AR196" s="44">
        <f t="shared" si="150"/>
        <v>139.00219760813442</v>
      </c>
      <c r="AS196" s="42" t="str">
        <f t="shared" si="151"/>
        <v>23.9297777642254+27.7409774875229i</v>
      </c>
      <c r="AT196" s="20">
        <f t="shared" si="152"/>
        <v>31.278159712025918</v>
      </c>
      <c r="AU196" s="44">
        <f t="shared" si="153"/>
        <v>49.218458663267114</v>
      </c>
    </row>
    <row r="197" spans="14:47" x14ac:dyDescent="0.3">
      <c r="N197" s="8">
        <v>79</v>
      </c>
      <c r="O197" s="35">
        <f t="shared" si="154"/>
        <v>616.59500186148273</v>
      </c>
      <c r="P197" s="34" t="str">
        <f t="shared" si="122"/>
        <v>545.10556621881</v>
      </c>
      <c r="Q197" s="4" t="str">
        <f t="shared" si="123"/>
        <v>1+82.7632067240763i</v>
      </c>
      <c r="R197" s="4">
        <f t="shared" si="131"/>
        <v>82.769247835486496</v>
      </c>
      <c r="S197" s="4">
        <f t="shared" si="132"/>
        <v>1.5587142509516061</v>
      </c>
      <c r="T197" s="4" t="str">
        <f t="shared" si="124"/>
        <v>1+0.00193709032808822i</v>
      </c>
      <c r="U197" s="4">
        <f t="shared" si="133"/>
        <v>1.0000018761577096</v>
      </c>
      <c r="V197" s="4">
        <f t="shared" si="134"/>
        <v>1.9370879052334332E-3</v>
      </c>
      <c r="W197" t="str">
        <f t="shared" si="125"/>
        <v>1-0.00201224943281804i</v>
      </c>
      <c r="X197" s="4">
        <f t="shared" si="135"/>
        <v>1.0000020245718406</v>
      </c>
      <c r="Y197" s="4">
        <f t="shared" si="136"/>
        <v>-2.0122467168595306E-3</v>
      </c>
      <c r="Z197" t="str">
        <f t="shared" si="126"/>
        <v>0.999975667878635+0.00871392074665787i</v>
      </c>
      <c r="AA197" s="4">
        <f t="shared" si="137"/>
        <v>1.0000136342891037</v>
      </c>
      <c r="AB197" s="4">
        <f t="shared" si="138"/>
        <v>8.7139122175946097E-3</v>
      </c>
      <c r="AC197" s="48" t="str">
        <f t="shared" si="139"/>
        <v>0.0216869741441544-6.58574675054128i</v>
      </c>
      <c r="AD197" s="20">
        <f t="shared" si="140"/>
        <v>16.372147619679218</v>
      </c>
      <c r="AE197" s="44">
        <f t="shared" si="141"/>
        <v>-89.811324722237543</v>
      </c>
      <c r="AF197" t="str">
        <f t="shared" si="127"/>
        <v>-0.0000333790427773504</v>
      </c>
      <c r="AG197" t="str">
        <f t="shared" si="128"/>
        <v>0.0000209980591564763i</v>
      </c>
      <c r="AH197">
        <f t="shared" si="142"/>
        <v>2.0998059156476299E-5</v>
      </c>
      <c r="AI197">
        <f t="shared" si="143"/>
        <v>1.5707963267948966</v>
      </c>
      <c r="AJ197" t="str">
        <f t="shared" si="129"/>
        <v>1+0.483772226586755i</v>
      </c>
      <c r="AK197">
        <f t="shared" si="144"/>
        <v>1.1108715349745473</v>
      </c>
      <c r="AL197">
        <f t="shared" si="145"/>
        <v>0.45058131434063703</v>
      </c>
      <c r="AM197" t="str">
        <f t="shared" si="130"/>
        <v>1+3.64172981680586i</v>
      </c>
      <c r="AN197">
        <f t="shared" si="146"/>
        <v>3.7765322795671752</v>
      </c>
      <c r="AO197">
        <f t="shared" si="147"/>
        <v>1.3028068841678362</v>
      </c>
      <c r="AP197" s="42" t="str">
        <f t="shared" si="148"/>
        <v>-4.06792876761214+3.55757609993324i</v>
      </c>
      <c r="AQ197">
        <f t="shared" si="149"/>
        <v>14.654481716421676</v>
      </c>
      <c r="AR197" s="44">
        <f t="shared" si="150"/>
        <v>138.82892834423012</v>
      </c>
      <c r="AS197" s="42" t="str">
        <f t="shared" si="151"/>
        <v>23.3410741739352+26.8675017236302i</v>
      </c>
      <c r="AT197" s="20">
        <f t="shared" si="152"/>
        <v>31.026629336100903</v>
      </c>
      <c r="AU197" s="44">
        <f t="shared" si="153"/>
        <v>49.017603621992599</v>
      </c>
    </row>
    <row r="198" spans="14:47" x14ac:dyDescent="0.3">
      <c r="N198" s="8">
        <v>80</v>
      </c>
      <c r="O198" s="35">
        <f t="shared" si="154"/>
        <v>630.95734448019323</v>
      </c>
      <c r="P198" s="34" t="str">
        <f t="shared" si="122"/>
        <v>545.10556621881</v>
      </c>
      <c r="Q198" s="4" t="str">
        <f t="shared" si="123"/>
        <v>1+84.6910094594306i</v>
      </c>
      <c r="R198" s="4">
        <f t="shared" si="131"/>
        <v>84.69691306805322</v>
      </c>
      <c r="S198" s="4">
        <f t="shared" si="132"/>
        <v>1.5589892467175186</v>
      </c>
      <c r="T198" s="4" t="str">
        <f t="shared" si="124"/>
        <v>1+0.0019822109581475i</v>
      </c>
      <c r="U198" s="4">
        <f t="shared" si="133"/>
        <v>1.0000019645782117</v>
      </c>
      <c r="V198" s="4">
        <f t="shared" si="134"/>
        <v>1.9822083620120974E-3</v>
      </c>
      <c r="W198" t="str">
        <f t="shared" si="125"/>
        <v>1-0.00205912074332362i</v>
      </c>
      <c r="X198" s="4">
        <f t="shared" si="135"/>
        <v>1.0000021199868707</v>
      </c>
      <c r="Y198" s="4">
        <f t="shared" si="136"/>
        <v>-2.0591178331219782E-3</v>
      </c>
      <c r="Z198" t="str">
        <f t="shared" si="126"/>
        <v>0.999974521141085+0.00891689403534486i</v>
      </c>
      <c r="AA198" s="4">
        <f t="shared" si="137"/>
        <v>1.0000142768633755</v>
      </c>
      <c r="AB198" s="4">
        <f t="shared" si="138"/>
        <v>8.9168848962438551E-3</v>
      </c>
      <c r="AC198" s="48" t="str">
        <f t="shared" si="139"/>
        <v>0.0181059733045944-6.43586446730882i</v>
      </c>
      <c r="AD198" s="20">
        <f t="shared" si="140"/>
        <v>16.172172167171311</v>
      </c>
      <c r="AE198" s="44">
        <f t="shared" si="141"/>
        <v>-89.838810602251158</v>
      </c>
      <c r="AF198" t="str">
        <f t="shared" si="127"/>
        <v>-0.0000333790427773504</v>
      </c>
      <c r="AG198" t="str">
        <f t="shared" si="128"/>
        <v>0.0000214871667863189i</v>
      </c>
      <c r="AH198">
        <f t="shared" si="142"/>
        <v>2.14871667863189E-5</v>
      </c>
      <c r="AI198">
        <f t="shared" si="143"/>
        <v>1.5707963267948966</v>
      </c>
      <c r="AJ198" t="str">
        <f t="shared" si="129"/>
        <v>1+0.495040729326283i</v>
      </c>
      <c r="AK198">
        <f t="shared" si="144"/>
        <v>1.1158249520833894</v>
      </c>
      <c r="AL198">
        <f t="shared" si="145"/>
        <v>0.45967232756203696</v>
      </c>
      <c r="AM198" t="str">
        <f t="shared" si="130"/>
        <v>1+3.72655660131731i</v>
      </c>
      <c r="AN198">
        <f t="shared" si="146"/>
        <v>3.8583965714816855</v>
      </c>
      <c r="AO198">
        <f t="shared" si="147"/>
        <v>1.3086283907603666</v>
      </c>
      <c r="AP198" s="42" t="str">
        <f t="shared" si="148"/>
        <v>-4.03189189242864+3.54939155954159i</v>
      </c>
      <c r="AQ198">
        <f t="shared" si="149"/>
        <v>14.602110346717261</v>
      </c>
      <c r="AR198" s="44">
        <f t="shared" si="150"/>
        <v>138.6415994133059</v>
      </c>
      <c r="AS198" s="42" t="str">
        <f t="shared" si="151"/>
        <v>22.7704016916482+26.0129749553366i</v>
      </c>
      <c r="AT198" s="20">
        <f t="shared" si="152"/>
        <v>30.774282513888561</v>
      </c>
      <c r="AU198" s="44">
        <f t="shared" si="153"/>
        <v>48.802788811054782</v>
      </c>
    </row>
    <row r="199" spans="14:47" x14ac:dyDescent="0.3">
      <c r="N199" s="8">
        <v>81</v>
      </c>
      <c r="O199" s="35">
        <f t="shared" si="154"/>
        <v>645.65422903465594</v>
      </c>
      <c r="P199" s="34" t="str">
        <f t="shared" si="122"/>
        <v>545.10556621881</v>
      </c>
      <c r="Q199" s="4" t="str">
        <f t="shared" si="123"/>
        <v>1+86.6637164890184i</v>
      </c>
      <c r="R199" s="4">
        <f t="shared" si="131"/>
        <v>86.669485724151841</v>
      </c>
      <c r="S199" s="4">
        <f t="shared" si="132"/>
        <v>1.5592579845412249</v>
      </c>
      <c r="T199" s="4" t="str">
        <f t="shared" si="124"/>
        <v>1+0.00202838258269446i</v>
      </c>
      <c r="U199" s="4">
        <f t="shared" si="133"/>
        <v>1.000002057165835</v>
      </c>
      <c r="V199" s="4">
        <f t="shared" si="134"/>
        <v>2.0283798008855665E-3</v>
      </c>
      <c r="W199" t="str">
        <f t="shared" si="125"/>
        <v>1-0.00210708382690299i</v>
      </c>
      <c r="X199" s="4">
        <f t="shared" si="135"/>
        <v>1.0000022198986629</v>
      </c>
      <c r="Y199" s="4">
        <f t="shared" si="136"/>
        <v>-2.1070807085661228E-3</v>
      </c>
      <c r="Z199" t="str">
        <f t="shared" si="126"/>
        <v>0.999973320359458+0.00912459517927845i</v>
      </c>
      <c r="AA199" s="4">
        <f t="shared" si="137"/>
        <v>1.0000149497222053</v>
      </c>
      <c r="AB199" s="4">
        <f t="shared" si="138"/>
        <v>9.124585386504739E-3</v>
      </c>
      <c r="AC199" s="48" t="str">
        <f t="shared" si="139"/>
        <v>0.0146861060628194-6.28939075794538i</v>
      </c>
      <c r="AD199" s="20">
        <f t="shared" si="140"/>
        <v>15.97219524290055</v>
      </c>
      <c r="AE199" s="44">
        <f t="shared" si="141"/>
        <v>-89.866211148594559</v>
      </c>
      <c r="AF199" t="str">
        <f t="shared" si="127"/>
        <v>-0.0000333790427773504</v>
      </c>
      <c r="AG199" t="str">
        <f t="shared" si="128"/>
        <v>0.0000219876671964079i</v>
      </c>
      <c r="AH199">
        <f t="shared" si="142"/>
        <v>2.1987667196407898E-5</v>
      </c>
      <c r="AI199">
        <f t="shared" si="143"/>
        <v>1.5707963267948966</v>
      </c>
      <c r="AJ199" t="str">
        <f t="shared" si="129"/>
        <v>1+0.506571709213139i</v>
      </c>
      <c r="AK199">
        <f t="shared" si="144"/>
        <v>1.1209883570203221</v>
      </c>
      <c r="AL199">
        <f t="shared" si="145"/>
        <v>0.46889114459158271</v>
      </c>
      <c r="AM199" t="str">
        <f t="shared" si="130"/>
        <v>1+3.81335925546558i</v>
      </c>
      <c r="AN199">
        <f t="shared" si="146"/>
        <v>3.9422974026885647</v>
      </c>
      <c r="AO199">
        <f t="shared" si="147"/>
        <v>1.3143350128741365</v>
      </c>
      <c r="AP199" s="42" t="str">
        <f t="shared" si="148"/>
        <v>-3.99483469264867+3.54175046385213i</v>
      </c>
      <c r="AQ199">
        <f t="shared" si="149"/>
        <v>14.548860104292897</v>
      </c>
      <c r="AR199" s="44">
        <f t="shared" si="150"/>
        <v>138.44036546780467</v>
      </c>
      <c r="AS199" s="42" t="str">
        <f t="shared" si="151"/>
        <v>22.2167840683007+25.1770909184243i</v>
      </c>
      <c r="AT199" s="20">
        <f t="shared" si="152"/>
        <v>30.521055347193453</v>
      </c>
      <c r="AU199" s="44">
        <f t="shared" si="153"/>
        <v>48.574154319210109</v>
      </c>
    </row>
    <row r="200" spans="14:47" x14ac:dyDescent="0.3">
      <c r="N200" s="8">
        <v>82</v>
      </c>
      <c r="O200" s="35">
        <f t="shared" si="154"/>
        <v>660.69344800759643</v>
      </c>
      <c r="P200" s="34" t="str">
        <f t="shared" si="122"/>
        <v>545.10556621881</v>
      </c>
      <c r="Q200" s="4" t="str">
        <f t="shared" si="123"/>
        <v>1+88.6823737682186i</v>
      </c>
      <c r="R200" s="4">
        <f t="shared" si="131"/>
        <v>88.688011687972946</v>
      </c>
      <c r="S200" s="4">
        <f t="shared" si="132"/>
        <v>1.559520606755721</v>
      </c>
      <c r="T200" s="4" t="str">
        <f t="shared" si="124"/>
        <v>1+0.00207562968253557i</v>
      </c>
      <c r="U200" s="4">
        <f t="shared" si="133"/>
        <v>1.0000021541169695</v>
      </c>
      <c r="V200" s="4">
        <f t="shared" si="134"/>
        <v>2.0756267017739837E-3</v>
      </c>
      <c r="W200" t="str">
        <f t="shared" si="125"/>
        <v>1-0.00215616411421795i</v>
      </c>
      <c r="X200" s="4">
        <f t="shared" si="135"/>
        <v>1.0000023245191421</v>
      </c>
      <c r="Y200" s="4">
        <f t="shared" si="136"/>
        <v>-2.1561607728602158E-3</v>
      </c>
      <c r="Z200" t="str">
        <f t="shared" si="126"/>
        <v>0.999972062986737+0.00933713430435439i</v>
      </c>
      <c r="AA200" s="4">
        <f t="shared" si="137"/>
        <v>1.0000156542929557</v>
      </c>
      <c r="AB200" s="4">
        <f t="shared" si="138"/>
        <v>9.3371238111515775E-3</v>
      </c>
      <c r="AC200" s="48" t="str">
        <f t="shared" si="139"/>
        <v>0.0114201243561507-6.14624821416533i</v>
      </c>
      <c r="AD200" s="20">
        <f t="shared" si="140"/>
        <v>15.772216895789297</v>
      </c>
      <c r="AE200" s="44">
        <f t="shared" si="141"/>
        <v>-89.893540880334498</v>
      </c>
      <c r="AF200" t="str">
        <f t="shared" si="127"/>
        <v>-0.0000333790427773504</v>
      </c>
      <c r="AG200" t="str">
        <f t="shared" si="128"/>
        <v>0.0000224998257586856i</v>
      </c>
      <c r="AH200">
        <f t="shared" si="142"/>
        <v>2.2499825758685601E-5</v>
      </c>
      <c r="AI200">
        <f t="shared" si="143"/>
        <v>1.5707963267948966</v>
      </c>
      <c r="AJ200" t="str">
        <f t="shared" si="129"/>
        <v>1+0.518371280125489i</v>
      </c>
      <c r="AK200">
        <f t="shared" si="144"/>
        <v>1.1263697368355288</v>
      </c>
      <c r="AL200">
        <f t="shared" si="145"/>
        <v>0.47823638462541668</v>
      </c>
      <c r="AM200" t="str">
        <f t="shared" si="130"/>
        <v>1+3.90218380316689i</v>
      </c>
      <c r="AN200">
        <f t="shared" si="146"/>
        <v>4.0282798355747342</v>
      </c>
      <c r="AO200">
        <f t="shared" si="147"/>
        <v>1.3199282889102082</v>
      </c>
      <c r="AP200" s="42" t="str">
        <f t="shared" si="148"/>
        <v>-3.95675417969221+3.53459223009602i</v>
      </c>
      <c r="AQ200">
        <f t="shared" si="149"/>
        <v>14.4946676443766</v>
      </c>
      <c r="AR200" s="44">
        <f t="shared" si="150"/>
        <v>138.22539376584774</v>
      </c>
      <c r="AS200" s="42" t="str">
        <f t="shared" si="151"/>
        <v>21.6792945572515+24.3595587936404i</v>
      </c>
      <c r="AT200" s="20">
        <f t="shared" si="152"/>
        <v>30.26688454016589</v>
      </c>
      <c r="AU200" s="44">
        <f t="shared" si="153"/>
        <v>48.331852885513236</v>
      </c>
    </row>
    <row r="201" spans="14:47" x14ac:dyDescent="0.3">
      <c r="N201" s="8">
        <v>83</v>
      </c>
      <c r="O201" s="35">
        <f t="shared" si="154"/>
        <v>676.08297539198213</v>
      </c>
      <c r="P201" s="34" t="str">
        <f t="shared" si="122"/>
        <v>545.10556621881</v>
      </c>
      <c r="Q201" s="4" t="str">
        <f t="shared" si="123"/>
        <v>1+90.7480516158407i</v>
      </c>
      <c r="R201" s="4">
        <f t="shared" si="131"/>
        <v>90.753561208755258</v>
      </c>
      <c r="S201" s="4">
        <f t="shared" si="132"/>
        <v>1.5597772524617923</v>
      </c>
      <c r="T201" s="4" t="str">
        <f t="shared" si="124"/>
        <v>1+0.00212397730870858i</v>
      </c>
      <c r="U201" s="4">
        <f t="shared" si="133"/>
        <v>1.0000022556372601</v>
      </c>
      <c r="V201" s="4">
        <f t="shared" si="134"/>
        <v>2.123974114765385E-3</v>
      </c>
      <c r="W201" t="str">
        <f t="shared" si="125"/>
        <v>1-0.00220638762828647i</v>
      </c>
      <c r="X201" s="4">
        <f t="shared" si="135"/>
        <v>1.0000024340702207</v>
      </c>
      <c r="Y201" s="4">
        <f t="shared" si="136"/>
        <v>-2.2063840479576227E-3</v>
      </c>
      <c r="Z201" t="str">
        <f t="shared" si="126"/>
        <v>0.999970746355865+0.00955462410163008i</v>
      </c>
      <c r="AA201" s="4">
        <f t="shared" si="137"/>
        <v>1.0000163920702645</v>
      </c>
      <c r="AB201" s="4">
        <f t="shared" si="138"/>
        <v>9.5546128578970491E-3</v>
      </c>
      <c r="AC201" s="48" t="str">
        <f t="shared" si="139"/>
        <v>0.00830110601174408-6.00636117696428i</v>
      </c>
      <c r="AD201" s="20">
        <f t="shared" si="140"/>
        <v>15.572237171743918</v>
      </c>
      <c r="AE201" s="44">
        <f t="shared" si="141"/>
        <v>-89.920814279572994</v>
      </c>
      <c r="AF201" t="str">
        <f t="shared" si="127"/>
        <v>-0.0000333790427773504</v>
      </c>
      <c r="AG201" t="str">
        <f t="shared" si="128"/>
        <v>0.000023023914026401i</v>
      </c>
      <c r="AH201">
        <f t="shared" si="142"/>
        <v>2.3023914026401E-5</v>
      </c>
      <c r="AI201">
        <f t="shared" si="143"/>
        <v>1.5707963267948966</v>
      </c>
      <c r="AJ201" t="str">
        <f t="shared" si="129"/>
        <v>1+0.530445698352017i</v>
      </c>
      <c r="AK201">
        <f t="shared" si="144"/>
        <v>1.1319773137745117</v>
      </c>
      <c r="AL201">
        <f t="shared" si="145"/>
        <v>0.48770647251378241</v>
      </c>
      <c r="AM201" t="str">
        <f t="shared" si="130"/>
        <v>1+3.99307734037214i</v>
      </c>
      <c r="AN201">
        <f t="shared" si="146"/>
        <v>4.1163900017118698</v>
      </c>
      <c r="AO201">
        <f t="shared" si="147"/>
        <v>1.3254097840391312</v>
      </c>
      <c r="AP201" s="42" t="str">
        <f t="shared" si="148"/>
        <v>-3.91764942666968+3.52785564643629i</v>
      </c>
      <c r="AQ201">
        <f t="shared" si="149"/>
        <v>14.43947029481766</v>
      </c>
      <c r="AR201" s="44">
        <f t="shared" si="150"/>
        <v>137.99686423453531</v>
      </c>
      <c r="AS201" s="42" t="str">
        <f t="shared" si="151"/>
        <v>21.1570543694815+23.5601025250203i</v>
      </c>
      <c r="AT201" s="20">
        <f t="shared" si="152"/>
        <v>30.011707466561571</v>
      </c>
      <c r="AU201" s="44">
        <f t="shared" si="153"/>
        <v>48.076049954962301</v>
      </c>
    </row>
    <row r="202" spans="14:47" x14ac:dyDescent="0.3">
      <c r="N202" s="8">
        <v>84</v>
      </c>
      <c r="O202" s="35">
        <f t="shared" si="154"/>
        <v>691.83097091893671</v>
      </c>
      <c r="P202" s="34" t="str">
        <f t="shared" si="122"/>
        <v>545.10556621881</v>
      </c>
      <c r="Q202" s="4" t="str">
        <f t="shared" si="123"/>
        <v>1+92.8618452816219i</v>
      </c>
      <c r="R202" s="4">
        <f t="shared" si="131"/>
        <v>92.867229468246137</v>
      </c>
      <c r="S202" s="4">
        <f t="shared" si="132"/>
        <v>1.5600280576010763</v>
      </c>
      <c r="T202" s="4" t="str">
        <f t="shared" si="124"/>
        <v>1+0.00217345109576482i</v>
      </c>
      <c r="U202" s="4">
        <f t="shared" si="133"/>
        <v>1.0000023619420435</v>
      </c>
      <c r="V202" s="4">
        <f t="shared" si="134"/>
        <v>2.1734476733934636E-3</v>
      </c>
      <c r="W202" t="str">
        <f t="shared" si="125"/>
        <v>1-0.00225778099828049i</v>
      </c>
      <c r="X202" s="4">
        <f t="shared" si="135"/>
        <v>1.0000025487842701</v>
      </c>
      <c r="Y202" s="4">
        <f t="shared" si="136"/>
        <v>-2.257777161889539E-3</v>
      </c>
      <c r="Z202" t="str">
        <f t="shared" si="126"/>
        <v>0.999969367674091+0.00977717988707485i</v>
      </c>
      <c r="AA202" s="4">
        <f t="shared" si="137"/>
        <v>1.0000171646192206</v>
      </c>
      <c r="AB202" s="4">
        <f t="shared" si="138"/>
        <v>9.77716783912644E-3</v>
      </c>
      <c r="AC202" s="48" t="str">
        <f t="shared" si="139"/>
        <v>0.00532244010964784-5.86965569763402i</v>
      </c>
      <c r="AD202" s="20">
        <f t="shared" si="140"/>
        <v>15.372256113751986</v>
      </c>
      <c r="AE202" s="44">
        <f t="shared" si="141"/>
        <v>-89.948045799085676</v>
      </c>
      <c r="AF202" t="str">
        <f t="shared" si="127"/>
        <v>-0.0000333790427773504</v>
      </c>
      <c r="AG202" t="str">
        <f t="shared" si="128"/>
        <v>0.0000235602098780907i</v>
      </c>
      <c r="AH202">
        <f t="shared" si="142"/>
        <v>2.3560209878090701E-5</v>
      </c>
      <c r="AI202">
        <f t="shared" si="143"/>
        <v>1.5707963267948966</v>
      </c>
      <c r="AJ202" t="str">
        <f t="shared" si="129"/>
        <v>1+0.54280136590909i</v>
      </c>
      <c r="AK202">
        <f t="shared" si="144"/>
        <v>1.1378195475701645</v>
      </c>
      <c r="AL202">
        <f t="shared" si="145"/>
        <v>0.49729963415305634</v>
      </c>
      <c r="AM202" t="str">
        <f t="shared" si="130"/>
        <v>1+4.08608806003788i</v>
      </c>
      <c r="AN202">
        <f t="shared" si="146"/>
        <v>4.2066751282199251</v>
      </c>
      <c r="AO202">
        <f t="shared" si="147"/>
        <v>1.3307810864526979</v>
      </c>
      <c r="AP202" s="42" t="str">
        <f t="shared" si="148"/>
        <v>-3.87752168556364+3.52147896673708i</v>
      </c>
      <c r="AQ202">
        <f t="shared" si="149"/>
        <v>14.383206127057067</v>
      </c>
      <c r="AR202" s="44">
        <f t="shared" si="150"/>
        <v>137.7549695192038</v>
      </c>
      <c r="AS202" s="42" t="str">
        <f t="shared" si="151"/>
        <v>20.6492312042614+22.7784601152659i</v>
      </c>
      <c r="AT202" s="20">
        <f t="shared" si="152"/>
        <v>29.755462240809049</v>
      </c>
      <c r="AU202" s="44">
        <f t="shared" si="153"/>
        <v>47.806923720118093</v>
      </c>
    </row>
    <row r="203" spans="14:47" x14ac:dyDescent="0.3">
      <c r="N203" s="8">
        <v>85</v>
      </c>
      <c r="O203" s="35">
        <f t="shared" si="154"/>
        <v>707.94578438413873</v>
      </c>
      <c r="P203" s="34" t="str">
        <f t="shared" si="122"/>
        <v>545.10556621881</v>
      </c>
      <c r="Q203" s="4" t="str">
        <f t="shared" si="123"/>
        <v>1+95.0248755269434i</v>
      </c>
      <c r="R203" s="4">
        <f t="shared" si="131"/>
        <v>95.030137161382058</v>
      </c>
      <c r="S203" s="4">
        <f t="shared" si="132"/>
        <v>1.5602731550274933</v>
      </c>
      <c r="T203" s="4" t="str">
        <f t="shared" si="124"/>
        <v>1+0.00222407727536107i</v>
      </c>
      <c r="U203" s="4">
        <f t="shared" si="133"/>
        <v>1.0000024732568049</v>
      </c>
      <c r="V203" s="4">
        <f t="shared" si="134"/>
        <v>2.2240736082245814E-3</v>
      </c>
      <c r="W203" t="str">
        <f t="shared" si="125"/>
        <v>1-0.00231037147364508i</v>
      </c>
      <c r="X203" s="4">
        <f t="shared" si="135"/>
        <v>1.0000026689046115</v>
      </c>
      <c r="Y203" s="4">
        <f t="shared" si="136"/>
        <v>-2.3103673628787061E-3</v>
      </c>
      <c r="Z203" t="str">
        <f t="shared" si="126"/>
        <v>0.999967924017048+0.010004919662712i</v>
      </c>
      <c r="AA203" s="4">
        <f t="shared" si="137"/>
        <v>1.0000179735786863</v>
      </c>
      <c r="AB203" s="4">
        <f t="shared" si="138"/>
        <v>1.000490675302256E-2</v>
      </c>
      <c r="AC203" s="48" t="str">
        <f t="shared" si="139"/>
        <v>0.00247781300203213-5.73605949960884i</v>
      </c>
      <c r="AD203" s="20">
        <f t="shared" si="140"/>
        <v>15.172273761973127</v>
      </c>
      <c r="AE203" s="44">
        <f t="shared" si="141"/>
        <v>-89.975249869946722</v>
      </c>
      <c r="AF203" t="str">
        <f t="shared" si="127"/>
        <v>-0.0000333790427773504</v>
      </c>
      <c r="AG203" t="str">
        <f t="shared" si="128"/>
        <v>0.000024108997664914i</v>
      </c>
      <c r="AH203">
        <f t="shared" si="142"/>
        <v>2.4108997664914E-5</v>
      </c>
      <c r="AI203">
        <f t="shared" si="143"/>
        <v>1.5707963267948966</v>
      </c>
      <c r="AJ203" t="str">
        <f t="shared" si="129"/>
        <v>1+0.555444833935194i</v>
      </c>
      <c r="AK203">
        <f t="shared" si="144"/>
        <v>1.1439051374765721</v>
      </c>
      <c r="AL203">
        <f t="shared" si="145"/>
        <v>0.50701389238474337</v>
      </c>
      <c r="AM203" t="str">
        <f t="shared" si="130"/>
        <v>1+4.18126527767883i</v>
      </c>
      <c r="AN203">
        <f t="shared" si="146"/>
        <v>4.299183564622779</v>
      </c>
      <c r="AO203">
        <f t="shared" si="147"/>
        <v>1.3360438038184681</v>
      </c>
      <c r="AP203" s="42" t="str">
        <f t="shared" si="148"/>
        <v>-3.83637449971405+3.51540001764146i</v>
      </c>
      <c r="AQ203">
        <f t="shared" si="149"/>
        <v>14.32581403087581</v>
      </c>
      <c r="AR203" s="44">
        <f t="shared" si="150"/>
        <v>137.49991501525693</v>
      </c>
      <c r="AS203" s="42" t="str">
        <f t="shared" si="151"/>
        <v>20.1550378475013+22.0143828970129i</v>
      </c>
      <c r="AT203" s="20">
        <f t="shared" si="152"/>
        <v>29.498087792848928</v>
      </c>
      <c r="AU203" s="44">
        <f t="shared" si="153"/>
        <v>47.524665145310188</v>
      </c>
    </row>
    <row r="204" spans="14:47" x14ac:dyDescent="0.3">
      <c r="N204" s="8">
        <v>86</v>
      </c>
      <c r="O204" s="35">
        <f t="shared" si="154"/>
        <v>724.43596007499025</v>
      </c>
      <c r="P204" s="34" t="str">
        <f t="shared" si="122"/>
        <v>545.10556621881</v>
      </c>
      <c r="Q204" s="4" t="str">
        <f t="shared" si="123"/>
        <v>1+97.2382892190721i</v>
      </c>
      <c r="R204" s="4">
        <f t="shared" si="131"/>
        <v>97.243431090495335</v>
      </c>
      <c r="S204" s="4">
        <f t="shared" si="132"/>
        <v>1.5605126745770861</v>
      </c>
      <c r="T204" s="4" t="str">
        <f t="shared" si="124"/>
        <v>1+0.00227588269016786i</v>
      </c>
      <c r="U204" s="4">
        <f t="shared" si="133"/>
        <v>1.0000025898176561</v>
      </c>
      <c r="V204" s="4">
        <f t="shared" si="134"/>
        <v>2.2758787607608673E-3</v>
      </c>
      <c r="W204" t="str">
        <f t="shared" si="125"/>
        <v>1-0.00236418693854637i</v>
      </c>
      <c r="X204" s="4">
        <f t="shared" si="135"/>
        <v>1.000002794686035</v>
      </c>
      <c r="Y204" s="4">
        <f t="shared" si="136"/>
        <v>-2.3641825337815058E-3</v>
      </c>
      <c r="Z204" t="str">
        <f t="shared" si="126"/>
        <v>0.999966412322544+0.0102379641791852i</v>
      </c>
      <c r="AA204" s="4">
        <f t="shared" si="137"/>
        <v>1.0000188206647684</v>
      </c>
      <c r="AB204" s="4">
        <f t="shared" si="138"/>
        <v>1.0237950346113842E-2</v>
      </c>
      <c r="AC204" s="48" t="str">
        <f t="shared" si="139"/>
        <v>-0.000238805040711031-5.60550194112833i</v>
      </c>
      <c r="AD204" s="20">
        <f t="shared" si="140"/>
        <v>14.972290153824275</v>
      </c>
      <c r="AE204" s="44">
        <f t="shared" si="141"/>
        <v>-90.002440909145079</v>
      </c>
      <c r="AF204" t="str">
        <f t="shared" si="127"/>
        <v>-0.0000333790427773504</v>
      </c>
      <c r="AG204" t="str">
        <f t="shared" si="128"/>
        <v>0.0000246705683614196i</v>
      </c>
      <c r="AH204">
        <f t="shared" si="142"/>
        <v>2.46705683614196E-5</v>
      </c>
      <c r="AI204">
        <f t="shared" si="143"/>
        <v>1.5707963267948966</v>
      </c>
      <c r="AJ204" t="str">
        <f t="shared" si="129"/>
        <v>1+0.568382806164431i</v>
      </c>
      <c r="AK204">
        <f t="shared" si="144"/>
        <v>1.150243024035944</v>
      </c>
      <c r="AL204">
        <f t="shared" si="145"/>
        <v>0.51684706345685083</v>
      </c>
      <c r="AM204" t="str">
        <f t="shared" si="130"/>
        <v>1+4.27865945751559i</v>
      </c>
      <c r="AN204">
        <f t="shared" si="146"/>
        <v>4.3939648102127089</v>
      </c>
      <c r="AO204">
        <f t="shared" si="147"/>
        <v>1.3411995599326174</v>
      </c>
      <c r="AP204" s="42" t="str">
        <f t="shared" si="148"/>
        <v>-3.7942138103559+3.50955631792228i</v>
      </c>
      <c r="AQ204">
        <f t="shared" si="149"/>
        <v>14.267233792827376</v>
      </c>
      <c r="AR204" s="44">
        <f t="shared" si="150"/>
        <v>137.23191887913453</v>
      </c>
      <c r="AS204" s="42" t="str">
        <f t="shared" si="151"/>
        <v>19.673730829996+21.2676347792665i</v>
      </c>
      <c r="AT204" s="20">
        <f t="shared" si="152"/>
        <v>29.239523946651644</v>
      </c>
      <c r="AU204" s="44">
        <f t="shared" si="153"/>
        <v>47.229477969989375</v>
      </c>
    </row>
    <row r="205" spans="14:47" x14ac:dyDescent="0.3">
      <c r="N205" s="8">
        <v>87</v>
      </c>
      <c r="O205" s="35">
        <f t="shared" si="154"/>
        <v>741.31024130091828</v>
      </c>
      <c r="P205" s="34" t="str">
        <f t="shared" si="122"/>
        <v>545.10556621881</v>
      </c>
      <c r="Q205" s="4" t="str">
        <f t="shared" si="123"/>
        <v>1+99.5032599392456i</v>
      </c>
      <c r="R205" s="4">
        <f t="shared" si="131"/>
        <v>99.508284773364863</v>
      </c>
      <c r="S205" s="4">
        <f t="shared" si="132"/>
        <v>1.5607467431362976</v>
      </c>
      <c r="T205" s="4" t="str">
        <f t="shared" si="124"/>
        <v>1+0.00232889480810184i</v>
      </c>
      <c r="U205" s="4">
        <f t="shared" si="133"/>
        <v>1.0000027118718364</v>
      </c>
      <c r="V205" s="4">
        <f t="shared" si="134"/>
        <v>2.3288905976670059E-3</v>
      </c>
      <c r="W205" t="str">
        <f t="shared" si="125"/>
        <v>1-0.00241925592665618i</v>
      </c>
      <c r="X205" s="4">
        <f t="shared" si="135"/>
        <v>1.0000029263953374</v>
      </c>
      <c r="Y205" s="4">
        <f t="shared" si="136"/>
        <v>-2.4192512068663395E-3</v>
      </c>
      <c r="Z205" t="str">
        <f t="shared" si="126"/>
        <v>0.999964829384073+0.0104764369997816i</v>
      </c>
      <c r="AA205" s="4">
        <f t="shared" si="137"/>
        <v>1.0000197076744681</v>
      </c>
      <c r="AB205" s="4">
        <f t="shared" si="138"/>
        <v>1.0476422177277719E-2</v>
      </c>
      <c r="AC205" s="48" t="str">
        <f t="shared" si="139"/>
        <v>-0.00283317258499532-5.4779139787011i</v>
      </c>
      <c r="AD205" s="20">
        <f t="shared" si="140"/>
        <v>14.772305324058726</v>
      </c>
      <c r="AE205" s="44">
        <f t="shared" si="141"/>
        <v>-90.029633327195256</v>
      </c>
      <c r="AF205" t="str">
        <f t="shared" si="127"/>
        <v>-0.0000333790427773504</v>
      </c>
      <c r="AG205" t="str">
        <f t="shared" si="128"/>
        <v>0.000025245219719824i</v>
      </c>
      <c r="AH205">
        <f t="shared" si="142"/>
        <v>2.5245219719824E-5</v>
      </c>
      <c r="AI205">
        <f t="shared" si="143"/>
        <v>1.5707963267948966</v>
      </c>
      <c r="AJ205" t="str">
        <f t="shared" si="129"/>
        <v>1+0.581622142480932i</v>
      </c>
      <c r="AK205">
        <f t="shared" si="144"/>
        <v>1.1568423905719005</v>
      </c>
      <c r="AL205">
        <f t="shared" si="145"/>
        <v>0.52679675410263371</v>
      </c>
      <c r="AM205" t="str">
        <f t="shared" si="130"/>
        <v>1+4.37832223923147i</v>
      </c>
      <c r="AN205">
        <f t="shared" si="146"/>
        <v>4.4910695419408588</v>
      </c>
      <c r="AO205">
        <f t="shared" si="147"/>
        <v>1.346249991566143</v>
      </c>
      <c r="AP205" s="42" t="str">
        <f t="shared" si="148"/>
        <v>-3.75104805591726+3.50388520993805i</v>
      </c>
      <c r="AQ205">
        <f t="shared" si="149"/>
        <v>14.207406178203048</v>
      </c>
      <c r="AR205" s="44">
        <f t="shared" si="150"/>
        <v>136.95121201499083</v>
      </c>
      <c r="AS205" s="42" t="str">
        <f t="shared" si="151"/>
        <v>19.2046091378007+20.537991468771i</v>
      </c>
      <c r="AT205" s="20">
        <f t="shared" si="152"/>
        <v>28.979711502261779</v>
      </c>
      <c r="AU205" s="44">
        <f t="shared" si="153"/>
        <v>46.92157868779563</v>
      </c>
    </row>
    <row r="206" spans="14:47" x14ac:dyDescent="0.3">
      <c r="N206" s="8">
        <v>88</v>
      </c>
      <c r="O206" s="35">
        <f t="shared" si="154"/>
        <v>758.57757502918378</v>
      </c>
      <c r="P206" s="34" t="str">
        <f t="shared" si="122"/>
        <v>545.10556621881</v>
      </c>
      <c r="Q206" s="4" t="str">
        <f t="shared" si="123"/>
        <v>1+101.82098860492i</v>
      </c>
      <c r="R206" s="4">
        <f t="shared" si="131"/>
        <v>101.82589906543055</v>
      </c>
      <c r="S206" s="4">
        <f t="shared" si="132"/>
        <v>1.5609754847087245</v>
      </c>
      <c r="T206" s="4" t="str">
        <f t="shared" si="124"/>
        <v>1+0.00238314173688964i</v>
      </c>
      <c r="U206" s="4">
        <f t="shared" si="133"/>
        <v>1.0000028396782372</v>
      </c>
      <c r="V206" s="4">
        <f t="shared" si="134"/>
        <v>2.3831372253281238E-3</v>
      </c>
      <c r="W206" t="str">
        <f t="shared" si="125"/>
        <v>1-0.00247560763628096i</v>
      </c>
      <c r="X206" s="4">
        <f t="shared" si="135"/>
        <v>1.0000030643118893</v>
      </c>
      <c r="Y206" s="4">
        <f t="shared" si="136"/>
        <v>-2.4756025789358662E-3</v>
      </c>
      <c r="Z206" t="str">
        <f t="shared" si="126"/>
        <v>0.99996317184401+0.0107204645659473i</v>
      </c>
      <c r="AA206" s="4">
        <f t="shared" si="137"/>
        <v>1.000020636489489</v>
      </c>
      <c r="AB206" s="4">
        <f t="shared" si="138"/>
        <v>1.0720448683235066E-2</v>
      </c>
      <c r="AC206" s="48" t="str">
        <f t="shared" si="139"/>
        <v>-0.00531078921696322-5.35322813135474i</v>
      </c>
      <c r="AD206" s="20">
        <f t="shared" si="140"/>
        <v>14.572319304839773</v>
      </c>
      <c r="AE206" s="44">
        <f t="shared" si="141"/>
        <v>-90.056841535746742</v>
      </c>
      <c r="AF206" t="str">
        <f t="shared" si="127"/>
        <v>-0.0000333790427773504</v>
      </c>
      <c r="AG206" t="str">
        <f t="shared" si="128"/>
        <v>0.0000258332564278837i</v>
      </c>
      <c r="AH206">
        <f t="shared" si="142"/>
        <v>2.5833256427883699E-5</v>
      </c>
      <c r="AI206">
        <f t="shared" si="143"/>
        <v>1.5707963267948966</v>
      </c>
      <c r="AJ206" t="str">
        <f t="shared" si="129"/>
        <v>1+0.595169862556056i</v>
      </c>
      <c r="AK206">
        <f t="shared" si="144"/>
        <v>1.163712664404317</v>
      </c>
      <c r="AL206">
        <f t="shared" si="145"/>
        <v>0.53686035929060938</v>
      </c>
      <c r="AM206" t="str">
        <f t="shared" si="130"/>
        <v>1+4.48030646535254i</v>
      </c>
      <c r="AN206">
        <f t="shared" si="146"/>
        <v>4.5905496428510366</v>
      </c>
      <c r="AO206">
        <f t="shared" si="147"/>
        <v>1.3511967454990148</v>
      </c>
      <c r="AP206" s="42" t="str">
        <f t="shared" si="148"/>
        <v>-3.70688826275605+3.49832400288334i</v>
      </c>
      <c r="AQ206">
        <f t="shared" si="149"/>
        <v>14.146273016315934</v>
      </c>
      <c r="AR206" s="44">
        <f t="shared" si="150"/>
        <v>136.65803803367697</v>
      </c>
      <c r="AS206" s="42" t="str">
        <f t="shared" si="151"/>
        <v>18.7470129670429+19.8252396665824i</v>
      </c>
      <c r="AT206" s="20">
        <f t="shared" si="152"/>
        <v>28.718592321155686</v>
      </c>
      <c r="AU206" s="44">
        <f t="shared" si="153"/>
        <v>46.601196497930282</v>
      </c>
    </row>
    <row r="207" spans="14:47" x14ac:dyDescent="0.3">
      <c r="N207" s="8">
        <v>89</v>
      </c>
      <c r="O207" s="35">
        <f t="shared" si="154"/>
        <v>776.24711662869231</v>
      </c>
      <c r="P207" s="34" t="str">
        <f t="shared" si="122"/>
        <v>545.10556621881</v>
      </c>
      <c r="Q207" s="4" t="str">
        <f t="shared" si="123"/>
        <v>1+104.192704106514i</v>
      </c>
      <c r="R207" s="4">
        <f t="shared" si="131"/>
        <v>104.19750279650459</v>
      </c>
      <c r="S207" s="4">
        <f t="shared" si="132"/>
        <v>1.5611990204803741</v>
      </c>
      <c r="T207" s="4" t="str">
        <f t="shared" si="124"/>
        <v>1+0.00243865223897096i</v>
      </c>
      <c r="U207" s="4">
        <f t="shared" si="133"/>
        <v>1.0000029735079505</v>
      </c>
      <c r="V207" s="4">
        <f t="shared" si="134"/>
        <v>2.438647404746475E-3</v>
      </c>
      <c r="W207" t="str">
        <f t="shared" si="125"/>
        <v>1-0.00253327194584303i</v>
      </c>
      <c r="X207" s="4">
        <f t="shared" si="135"/>
        <v>1.0000032087282278</v>
      </c>
      <c r="Y207" s="4">
        <f t="shared" si="136"/>
        <v>-2.5332665268010673E-3</v>
      </c>
      <c r="Z207" t="str">
        <f t="shared" si="126"/>
        <v>0.999961436186491+0.010970176264328i</v>
      </c>
      <c r="AA207" s="4">
        <f t="shared" si="137"/>
        <v>1.0000216090802339</v>
      </c>
      <c r="AB207" s="4">
        <f t="shared" si="138"/>
        <v>1.0970159245568231E-2</v>
      </c>
      <c r="AC207" s="48" t="str">
        <f t="shared" si="139"/>
        <v>-0.00767690717886717-5.23137844565707i</v>
      </c>
      <c r="AD207" s="20">
        <f t="shared" si="140"/>
        <v>14.372332125808796</v>
      </c>
      <c r="AE207" s="44">
        <f t="shared" si="141"/>
        <v>-90.084079955196032</v>
      </c>
      <c r="AF207" t="str">
        <f t="shared" si="127"/>
        <v>-0.0000333790427773504</v>
      </c>
      <c r="AG207" t="str">
        <f t="shared" si="128"/>
        <v>0.0000264349902704452i</v>
      </c>
      <c r="AH207">
        <f t="shared" si="142"/>
        <v>2.6434990270445199E-5</v>
      </c>
      <c r="AI207">
        <f t="shared" si="143"/>
        <v>1.5707963267948966</v>
      </c>
      <c r="AJ207" t="str">
        <f t="shared" si="129"/>
        <v>1+0.609033149570312i</v>
      </c>
      <c r="AK207">
        <f t="shared" si="144"/>
        <v>1.1708635177831506</v>
      </c>
      <c r="AL207">
        <f t="shared" si="145"/>
        <v>0.547035060698014</v>
      </c>
      <c r="AM207" t="str">
        <f t="shared" si="130"/>
        <v>1+4.58466620926542i</v>
      </c>
      <c r="AN207">
        <f t="shared" si="146"/>
        <v>4.6924582310746414</v>
      </c>
      <c r="AO207">
        <f t="shared" si="147"/>
        <v>1.3560414757365145</v>
      </c>
      <c r="AP207" s="42" t="str">
        <f t="shared" si="148"/>
        <v>-3.66174812600395+3.49281012737248i</v>
      </c>
      <c r="AQ207">
        <f t="shared" si="149"/>
        <v>14.083777288831801</v>
      </c>
      <c r="AR207" s="44">
        <f t="shared" si="150"/>
        <v>136.35265318071524</v>
      </c>
      <c r="AS207" s="42" t="str">
        <f t="shared" si="151"/>
        <v>18.3003225155848+19.129176240661i</v>
      </c>
      <c r="AT207" s="20">
        <f t="shared" si="152"/>
        <v>28.45610941464059</v>
      </c>
      <c r="AU207" s="44">
        <f t="shared" si="153"/>
        <v>46.268573225519276</v>
      </c>
    </row>
    <row r="208" spans="14:47" x14ac:dyDescent="0.3">
      <c r="N208" s="8">
        <v>90</v>
      </c>
      <c r="O208" s="35">
        <f t="shared" si="154"/>
        <v>794.32823472428208</v>
      </c>
      <c r="P208" s="34" t="str">
        <f t="shared" si="122"/>
        <v>545.10556621881</v>
      </c>
      <c r="Q208" s="4" t="str">
        <f t="shared" si="123"/>
        <v>1+106.619663958977i</v>
      </c>
      <c r="R208" s="4">
        <f t="shared" si="131"/>
        <v>106.62435342230769</v>
      </c>
      <c r="S208" s="4">
        <f t="shared" si="132"/>
        <v>1.5614174688834621</v>
      </c>
      <c r="T208" s="4" t="str">
        <f t="shared" si="124"/>
        <v>1+0.00249545574674876i</v>
      </c>
      <c r="U208" s="4">
        <f t="shared" si="133"/>
        <v>1.0000031136448446</v>
      </c>
      <c r="V208" s="4">
        <f t="shared" si="134"/>
        <v>2.4954505667847695E-3</v>
      </c>
      <c r="W208" t="str">
        <f t="shared" si="125"/>
        <v>1-0.0025922794297226i</v>
      </c>
      <c r="X208" s="4">
        <f t="shared" si="135"/>
        <v>1.0000033599506761</v>
      </c>
      <c r="Y208" s="4">
        <f t="shared" si="136"/>
        <v>-2.5922736231155747E-3</v>
      </c>
      <c r="Z208" t="str">
        <f t="shared" si="126"/>
        <v>0.999959618729953+0.0112257044953715i</v>
      </c>
      <c r="AA208" s="4">
        <f t="shared" si="137"/>
        <v>1.0000226275099831</v>
      </c>
      <c r="AB208" s="4">
        <f t="shared" si="138"/>
        <v>1.1225686259299374E-2</v>
      </c>
      <c r="AC208" s="48" t="str">
        <f t="shared" si="139"/>
        <v>-0.00993654248334875-5.11230046149393i</v>
      </c>
      <c r="AD208" s="20">
        <f t="shared" si="140"/>
        <v>14.172343814148087</v>
      </c>
      <c r="AE208" s="44">
        <f t="shared" si="141"/>
        <v>-90.111363022305085</v>
      </c>
      <c r="AF208" t="str">
        <f t="shared" si="127"/>
        <v>-0.0000333790427773504</v>
      </c>
      <c r="AG208" t="str">
        <f t="shared" si="128"/>
        <v>0.0000270507402947565i</v>
      </c>
      <c r="AH208">
        <f t="shared" si="142"/>
        <v>2.7050740294756499E-5</v>
      </c>
      <c r="AI208">
        <f t="shared" si="143"/>
        <v>1.5707963267948966</v>
      </c>
      <c r="AJ208" t="str">
        <f t="shared" si="129"/>
        <v>1+0.623219354021977i</v>
      </c>
      <c r="AK208">
        <f t="shared" si="144"/>
        <v>1.1783048685410624</v>
      </c>
      <c r="AL208">
        <f t="shared" si="145"/>
        <v>0.55731782595741297</v>
      </c>
      <c r="AM208" t="str">
        <f t="shared" si="130"/>
        <v>1+4.69145680388767i</v>
      </c>
      <c r="AN208">
        <f t="shared" si="146"/>
        <v>4.7968496894049029</v>
      </c>
      <c r="AO208">
        <f t="shared" si="147"/>
        <v>1.3607858409017208</v>
      </c>
      <c r="AP208" s="42" t="str">
        <f t="shared" si="148"/>
        <v>-3.61564407919017+3.48728130073744i</v>
      </c>
      <c r="AQ208">
        <f t="shared" si="149"/>
        <v>14.019863220812361</v>
      </c>
      <c r="AR208" s="44">
        <f t="shared" si="150"/>
        <v>136.03532623006282</v>
      </c>
      <c r="AS208" s="42" t="str">
        <f t="shared" si="151"/>
        <v>17.8639568041167+18.4496073758455i</v>
      </c>
      <c r="AT208" s="20">
        <f t="shared" si="152"/>
        <v>28.19220703496044</v>
      </c>
      <c r="AU208" s="44">
        <f t="shared" si="153"/>
        <v>45.923963207757708</v>
      </c>
    </row>
    <row r="209" spans="14:47" x14ac:dyDescent="0.3">
      <c r="N209" s="8">
        <v>91</v>
      </c>
      <c r="O209" s="35">
        <f t="shared" si="154"/>
        <v>812.83051616409978</v>
      </c>
      <c r="P209" s="34" t="str">
        <f t="shared" si="122"/>
        <v>545.10556621881</v>
      </c>
      <c r="Q209" s="4" t="str">
        <f t="shared" si="123"/>
        <v>1+109.10315496855i</v>
      </c>
      <c r="R209" s="4">
        <f t="shared" si="131"/>
        <v>109.10773769119878</v>
      </c>
      <c r="S209" s="4">
        <f t="shared" si="132"/>
        <v>1.5616309456587816</v>
      </c>
      <c r="T209" s="4" t="str">
        <f t="shared" si="124"/>
        <v>1+0.00255358237819474i</v>
      </c>
      <c r="U209" s="4">
        <f t="shared" si="133"/>
        <v>1.0000032603861662</v>
      </c>
      <c r="V209" s="4">
        <f t="shared" si="134"/>
        <v>2.5535768277643008E-3</v>
      </c>
      <c r="W209" t="str">
        <f t="shared" si="125"/>
        <v>1-0.00265266137446868i</v>
      </c>
      <c r="X209" s="4">
        <f t="shared" si="135"/>
        <v>1.0000035182999947</v>
      </c>
      <c r="Y209" s="4">
        <f t="shared" si="136"/>
        <v>-2.6526551525783374E-3</v>
      </c>
      <c r="Z209" t="str">
        <f t="shared" si="126"/>
        <v>0.999957715619328+0.0114871847435282i</v>
      </c>
      <c r="AA209" s="4">
        <f t="shared" si="137"/>
        <v>1.000023693939277</v>
      </c>
      <c r="AB209" s="4">
        <f t="shared" si="138"/>
        <v>1.1487165203064991E-2</v>
      </c>
      <c r="AC209" s="48" t="str">
        <f t="shared" si="139"/>
        <v>-0.0120944855289744-4.99593117858883i</v>
      </c>
      <c r="AD209" s="20">
        <f t="shared" si="140"/>
        <v>13.972354394638277</v>
      </c>
      <c r="AE209" s="44">
        <f t="shared" si="141"/>
        <v>-90.138705197830021</v>
      </c>
      <c r="AF209" t="str">
        <f t="shared" si="127"/>
        <v>-0.0000333790427773504</v>
      </c>
      <c r="AG209" t="str">
        <f t="shared" si="128"/>
        <v>0.0000276808329796309i</v>
      </c>
      <c r="AH209">
        <f t="shared" si="142"/>
        <v>2.7680832979630899E-5</v>
      </c>
      <c r="AI209">
        <f t="shared" si="143"/>
        <v>1.5707963267948966</v>
      </c>
      <c r="AJ209" t="str">
        <f t="shared" si="129"/>
        <v>1+0.637735997624427i</v>
      </c>
      <c r="AK209">
        <f t="shared" si="144"/>
        <v>1.1860468804672197</v>
      </c>
      <c r="AL209">
        <f t="shared" si="145"/>
        <v>0.56770540872297837</v>
      </c>
      <c r="AM209" t="str">
        <f t="shared" si="130"/>
        <v>1+4.80073487100611i</v>
      </c>
      <c r="AN209">
        <f t="shared" si="146"/>
        <v>4.9037796954690016</v>
      </c>
      <c r="AO209">
        <f t="shared" si="147"/>
        <v>1.3654315017979051</v>
      </c>
      <c r="AP209" s="42" t="str">
        <f t="shared" si="148"/>
        <v>-3.56859535134495+3.48167570225724i</v>
      </c>
      <c r="AQ209">
        <f t="shared" si="149"/>
        <v>13.954476374078187</v>
      </c>
      <c r="AR209" s="44">
        <f t="shared" si="150"/>
        <v>135.70633834065353</v>
      </c>
      <c r="AS209" s="42" t="str">
        <f t="shared" si="151"/>
        <v>17.4373725194777+17.7863477031539i</v>
      </c>
      <c r="AT209" s="20">
        <f t="shared" si="152"/>
        <v>27.926830768716471</v>
      </c>
      <c r="AU209" s="44">
        <f t="shared" si="153"/>
        <v>45.567633142823581</v>
      </c>
    </row>
    <row r="210" spans="14:47" x14ac:dyDescent="0.3">
      <c r="N210" s="8">
        <v>92</v>
      </c>
      <c r="O210" s="35">
        <f t="shared" si="154"/>
        <v>831.7637711026714</v>
      </c>
      <c r="P210" s="34" t="str">
        <f t="shared" si="122"/>
        <v>545.10556621881</v>
      </c>
      <c r="Q210" s="4" t="str">
        <f t="shared" si="123"/>
        <v>1+111.644493915039i</v>
      </c>
      <c r="R210" s="4">
        <f t="shared" si="131"/>
        <v>111.64897232641769</v>
      </c>
      <c r="S210" s="4">
        <f t="shared" si="132"/>
        <v>1.5618395639166704</v>
      </c>
      <c r="T210" s="4" t="str">
        <f t="shared" si="124"/>
        <v>1+0.00261306295281829i</v>
      </c>
      <c r="U210" s="4">
        <f t="shared" si="133"/>
        <v>1.0000034140431699</v>
      </c>
      <c r="V210" s="4">
        <f t="shared" si="134"/>
        <v>2.6130570054260192E-3</v>
      </c>
      <c r="W210" t="str">
        <f t="shared" si="125"/>
        <v>1-0.00271444979538764i</v>
      </c>
      <c r="X210" s="4">
        <f t="shared" si="135"/>
        <v>1.0000036841120596</v>
      </c>
      <c r="Y210" s="4">
        <f t="shared" si="136"/>
        <v>-2.7144431285133492E-3</v>
      </c>
      <c r="Z210" t="str">
        <f t="shared" si="126"/>
        <v>0.999955722817861+0.0117547556490868i</v>
      </c>
      <c r="AA210" s="4">
        <f t="shared" si="137"/>
        <v>1.0000248106304965</v>
      </c>
      <c r="AB210" s="4">
        <f t="shared" si="138"/>
        <v>1.1754734710923871E-2</v>
      </c>
      <c r="AC210" s="48" t="str">
        <f t="shared" si="139"/>
        <v>-0.0141553112393251-4.88220902375015i</v>
      </c>
      <c r="AD210" s="20">
        <f t="shared" si="140"/>
        <v>13.772363889710714</v>
      </c>
      <c r="AE210" s="44">
        <f t="shared" si="141"/>
        <v>-90.166120974164158</v>
      </c>
      <c r="AF210" t="str">
        <f t="shared" si="127"/>
        <v>-0.0000333790427773504</v>
      </c>
      <c r="AG210" t="str">
        <f t="shared" si="128"/>
        <v>0.0000283256024085503i</v>
      </c>
      <c r="AH210">
        <f t="shared" si="142"/>
        <v>2.83256024085503E-5</v>
      </c>
      <c r="AI210">
        <f t="shared" si="143"/>
        <v>1.5707963267948966</v>
      </c>
      <c r="AJ210" t="str">
        <f t="shared" si="129"/>
        <v>1+0.652590777294251i</v>
      </c>
      <c r="AK210">
        <f t="shared" si="144"/>
        <v>1.1940999634073837</v>
      </c>
      <c r="AL210">
        <f t="shared" si="145"/>
        <v>0.57819434959901517</v>
      </c>
      <c r="AM210" t="str">
        <f t="shared" si="130"/>
        <v>1+4.91255835129841i</v>
      </c>
      <c r="AN210">
        <f t="shared" si="146"/>
        <v>5.0133052525167212</v>
      </c>
      <c r="AO210">
        <f t="shared" si="147"/>
        <v>1.3699801191344161</v>
      </c>
      <c r="AP210" s="42" t="str">
        <f t="shared" si="148"/>
        <v>-3.52062401032702+3.47593215737231i</v>
      </c>
      <c r="AQ210">
        <f t="shared" si="149"/>
        <v>13.887563742439465</v>
      </c>
      <c r="AR210" s="44">
        <f t="shared" si="150"/>
        <v>135.36598287289655</v>
      </c>
      <c r="AS210" s="42" t="str">
        <f t="shared" si="151"/>
        <v>17.0200628732892+17.1392194109156i</v>
      </c>
      <c r="AT210" s="20">
        <f t="shared" si="152"/>
        <v>27.659927632150158</v>
      </c>
      <c r="AU210" s="44">
        <f t="shared" si="153"/>
        <v>45.199861898732415</v>
      </c>
    </row>
    <row r="211" spans="14:47" x14ac:dyDescent="0.3">
      <c r="N211" s="8">
        <v>93</v>
      </c>
      <c r="O211" s="35">
        <f t="shared" si="154"/>
        <v>851.13803820237763</v>
      </c>
      <c r="P211" s="34" t="str">
        <f t="shared" ref="P211:P274" si="155">COMPLEX(Adc,0)</f>
        <v>545.10556621881</v>
      </c>
      <c r="Q211" s="4" t="str">
        <f t="shared" ref="Q211:Q274" si="156">IMSUM(COMPLEX(1,0),IMDIV(COMPLEX(0,2*PI()*O211),COMPLEX(wp_lf,0)))</f>
        <v>1+114.245028249991i</v>
      </c>
      <c r="R211" s="4">
        <f t="shared" si="131"/>
        <v>114.24940472423145</v>
      </c>
      <c r="S211" s="4">
        <f t="shared" si="132"/>
        <v>1.5620434341966138</v>
      </c>
      <c r="T211" s="4" t="str">
        <f t="shared" ref="T211:T274" si="157">IMSUM(COMPLEX(1,0),IMDIV(COMPLEX(0,2*PI()*O211),COMPLEX(wz_esr,0)))</f>
        <v>1+0.00267392900800742i</v>
      </c>
      <c r="U211" s="4">
        <f t="shared" si="133"/>
        <v>1.0000035749417799</v>
      </c>
      <c r="V211" s="4">
        <f t="shared" si="134"/>
        <v>2.6739226352630163E-3</v>
      </c>
      <c r="W211" t="str">
        <f t="shared" ref="W211:W274" si="158">IMSUB(COMPLEX(1,0),IMDIV(COMPLEX(0,2*PI()*O211),COMPLEX(wz_rhp,0)))</f>
        <v>1-0.0027776774535181i</v>
      </c>
      <c r="X211" s="4">
        <f t="shared" si="135"/>
        <v>1.0000038577385768</v>
      </c>
      <c r="Y211" s="4">
        <f t="shared" si="136"/>
        <v>-2.7776703098350798E-3</v>
      </c>
      <c r="Z211" t="str">
        <f t="shared" ref="Z211:Z274" si="159">IMSUM(COMPLEX(1,0),IMDIV(COMPLEX(0,2*PI()*O211),COMPLEX(Q*(wsl/2),0)),IMDIV(IMPOWER(COMPLEX(0,2*PI()*O211),2),IMPOWER(COMPLEX(wsl/2,0),2)))</f>
        <v>0.999953636098555+0.0120285590816831i</v>
      </c>
      <c r="AA211" s="4">
        <f t="shared" si="137"/>
        <v>1.0000259799526725</v>
      </c>
      <c r="AB211" s="4">
        <f t="shared" si="138"/>
        <v>1.2028536645836049E-2</v>
      </c>
      <c r="AC211" s="48" t="str">
        <f t="shared" si="139"/>
        <v>-0.0161233887469728-4.77107381883189i</v>
      </c>
      <c r="AD211" s="20">
        <f t="shared" si="140"/>
        <v>13.572372319495399</v>
      </c>
      <c r="AE211" s="44">
        <f t="shared" si="141"/>
        <v>-90.193624882999217</v>
      </c>
      <c r="AF211" t="str">
        <f t="shared" ref="AF211:AF274" si="160">COMPLEX(Adc_ea,0)</f>
        <v>-0.0000333790427773504</v>
      </c>
      <c r="AG211" t="str">
        <f t="shared" ref="AG211:AG274" si="161">COMPLEX(0,2*PI()*O211*wp0_ea)</f>
        <v>0.0000289853904468004i</v>
      </c>
      <c r="AH211">
        <f t="shared" si="142"/>
        <v>2.8985390446800401E-5</v>
      </c>
      <c r="AI211">
        <f t="shared" si="143"/>
        <v>1.5707963267948966</v>
      </c>
      <c r="AJ211" t="str">
        <f t="shared" ref="AJ211:AJ274" si="162">IMSUM(COMPLEX(1,0),IMDIV(COMPLEX(0,2*PI()*O211),COMPLEX(wp1_ea,0)))</f>
        <v>1+0.667791569232259i</v>
      </c>
      <c r="AK211">
        <f t="shared" si="144"/>
        <v>1.2024747730982479</v>
      </c>
      <c r="AL211">
        <f t="shared" si="145"/>
        <v>0.58878097796859896</v>
      </c>
      <c r="AM211" t="str">
        <f t="shared" ref="AM211:AM274" si="163">IMSUM(COMPLEX(1,0),IMDIV(COMPLEX(0,2*PI()*O211),COMPLEX(wz_ea,0)))</f>
        <v>1+5.02698653505396i</v>
      </c>
      <c r="AN211">
        <f t="shared" si="146"/>
        <v>5.1254847208448311</v>
      </c>
      <c r="AO211">
        <f t="shared" si="147"/>
        <v>1.3744333514095706</v>
      </c>
      <c r="AP211" s="42" t="str">
        <f t="shared" si="148"/>
        <v>-3.47175499118976+3.46999032977158i</v>
      </c>
      <c r="AQ211">
        <f t="shared" si="149"/>
        <v>13.819073848289282</v>
      </c>
      <c r="AR211" s="44">
        <f t="shared" si="150"/>
        <v>135.0145651626037</v>
      </c>
      <c r="AS211" s="42" t="str">
        <f t="shared" si="151"/>
        <v>16.6115564693302+16.5080513408293i</v>
      </c>
      <c r="AT211" s="20">
        <f t="shared" si="152"/>
        <v>27.391446167784686</v>
      </c>
      <c r="AU211" s="44">
        <f t="shared" si="153"/>
        <v>44.820940279604578</v>
      </c>
    </row>
    <row r="212" spans="14:47" x14ac:dyDescent="0.3">
      <c r="N212" s="8">
        <v>94</v>
      </c>
      <c r="O212" s="35">
        <f t="shared" si="154"/>
        <v>870.96358995608091</v>
      </c>
      <c r="P212" s="34" t="str">
        <f t="shared" si="155"/>
        <v>545.10556621881</v>
      </c>
      <c r="Q212" s="4" t="str">
        <f t="shared" si="156"/>
        <v>1+116.906136811132i</v>
      </c>
      <c r="R212" s="4">
        <f t="shared" ref="R212:R275" si="164">IMABS(Q212)</f>
        <v>116.91041366834314</v>
      </c>
      <c r="S212" s="4">
        <f t="shared" ref="S212:S275" si="165">IMARGUMENT(Q212)</f>
        <v>1.5622426645255056</v>
      </c>
      <c r="T212" s="4" t="str">
        <f t="shared" si="157"/>
        <v>1+0.00273621281575022i</v>
      </c>
      <c r="U212" s="4">
        <f t="shared" ref="U212:U275" si="166">IMABS(T212)</f>
        <v>1.00000374342328</v>
      </c>
      <c r="V212" s="4">
        <f t="shared" ref="V212:V275" si="167">IMARGUMENT(T212)</f>
        <v>2.7362059872329445E-3</v>
      </c>
      <c r="W212" t="str">
        <f t="shared" si="158"/>
        <v>1-0.00284237787300132i</v>
      </c>
      <c r="X212" s="4">
        <f t="shared" ref="X212:X275" si="168">IMABS(W212)</f>
        <v>1.0000040395478276</v>
      </c>
      <c r="Y212" s="4">
        <f t="shared" ref="Y212:Y275" si="169">IMARGUMENT(W212)</f>
        <v>-2.8423702184087237E-3</v>
      </c>
      <c r="Z212" t="str">
        <f t="shared" si="159"/>
        <v>0.999951451035198+0.0123087402155214i</v>
      </c>
      <c r="AA212" s="4">
        <f t="shared" ref="AA212:AA275" si="170">IMABS(Z212)</f>
        <v>1.0000272043865062</v>
      </c>
      <c r="AB212" s="4">
        <f t="shared" ref="AB212:AB275" si="171">IMARGUMENT(Z212)</f>
        <v>1.2308716174852338E-2</v>
      </c>
      <c r="AC212" s="48" t="str">
        <f t="shared" ref="AC212:AC275" si="172">(IMDIV(IMPRODUCT(P212,T212,W212),IMPRODUCT(Q212,Z212)))</f>
        <v>-0.0180028906427118-4.66246674939306i</v>
      </c>
      <c r="AD212" s="20">
        <f t="shared" ref="AD212:AD275" si="173">20*LOG(IMABS(AC212))</f>
        <v>13.372379701863128</v>
      </c>
      <c r="AE212" s="44">
        <f t="shared" ref="AE212:AE275" si="174">(180/PI())*IMARGUMENT(AC212)</f>
        <v>-90.221231503008667</v>
      </c>
      <c r="AF212" t="str">
        <f t="shared" si="160"/>
        <v>-0.0000333790427773504</v>
      </c>
      <c r="AG212" t="str">
        <f t="shared" si="161"/>
        <v>0.0000296605469227324i</v>
      </c>
      <c r="AH212">
        <f t="shared" ref="AH212:AH275" si="175">IMABS(AG212)</f>
        <v>2.9660546922732401E-5</v>
      </c>
      <c r="AI212">
        <f t="shared" ref="AI212:AI275" si="176">IMARGUMENT(AG212)</f>
        <v>1.5707963267948966</v>
      </c>
      <c r="AJ212" t="str">
        <f t="shared" si="162"/>
        <v>1+0.683346433099537i</v>
      </c>
      <c r="AK212">
        <f t="shared" ref="AK212:AK275" si="177">IMABS(AJ212)</f>
        <v>1.2111822107469463</v>
      </c>
      <c r="AL212">
        <f t="shared" ref="AL212:AL275" si="178">IMARGUMENT(AJ212)</f>
        <v>0.59946141475473913</v>
      </c>
      <c r="AM212" t="str">
        <f t="shared" si="163"/>
        <v>1+5.14408009361042i</v>
      </c>
      <c r="AN212">
        <f t="shared" ref="AN212:AN275" si="179">IMABS(AM212)</f>
        <v>5.2403778498767615</v>
      </c>
      <c r="AO212">
        <f t="shared" ref="AO212:AO275" si="180">IMARGUMENT(AM212)</f>
        <v>1.3787928529440023</v>
      </c>
      <c r="AP212" s="42" t="str">
        <f t="shared" ref="AP212:AP275" si="181">IMPRODUCT(AF212,IMDIV(AM212,IMPRODUCT(AG212,AJ212)))</f>
        <v>-3.42201610848981+3.46379092007946i</v>
      </c>
      <c r="AQ212">
        <f t="shared" ref="AQ212:AQ275" si="182">20*LOG(IMABS(AP212))</f>
        <v>13.748956840000474</v>
      </c>
      <c r="AR212" s="44">
        <f t="shared" ref="AR212:AR275" si="183">(180/PI())*IMARGUMENT(AP212)</f>
        <v>134.65240225010533</v>
      </c>
      <c r="AS212" s="42" t="str">
        <f t="shared" ref="AS212:AS275" si="184">IMPRODUCT(AC212,AP212)</f>
        <v>16.2114161734988+15.8926780725778i</v>
      </c>
      <c r="AT212" s="20">
        <f t="shared" ref="AT212:AT275" si="185">20*LOG(IMABS(AS212))</f>
        <v>27.121336541863606</v>
      </c>
      <c r="AU212" s="44">
        <f t="shared" ref="AU212:AU275" si="186">(180/PI())*IMARGUMENT(AS212)</f>
        <v>44.431170747096743</v>
      </c>
    </row>
    <row r="213" spans="14:47" x14ac:dyDescent="0.3">
      <c r="N213" s="8">
        <v>95</v>
      </c>
      <c r="O213" s="35">
        <f t="shared" si="154"/>
        <v>891.25093813374656</v>
      </c>
      <c r="P213" s="34" t="str">
        <f t="shared" si="155"/>
        <v>545.10556621881</v>
      </c>
      <c r="Q213" s="4" t="str">
        <f t="shared" si="156"/>
        <v>1+119.629230553447i</v>
      </c>
      <c r="R213" s="4">
        <f t="shared" si="164"/>
        <v>119.63341006094316</v>
      </c>
      <c r="S213" s="4">
        <f t="shared" si="165"/>
        <v>1.5624373604746034</v>
      </c>
      <c r="T213" s="4" t="str">
        <f t="shared" si="157"/>
        <v>1+0.00279994739974599i</v>
      </c>
      <c r="U213" s="4">
        <f t="shared" si="166"/>
        <v>1.0000039198450381</v>
      </c>
      <c r="V213" s="4">
        <f t="shared" si="167"/>
        <v>2.7999400828594523E-3</v>
      </c>
      <c r="W213" t="str">
        <f t="shared" si="158"/>
        <v>1-0.00290858535885613i</v>
      </c>
      <c r="X213" s="4">
        <f t="shared" si="168"/>
        <v>1.0000042299254488</v>
      </c>
      <c r="Y213" s="4">
        <f t="shared" si="169"/>
        <v>-2.9085771568142633E-3</v>
      </c>
      <c r="Z213" t="str">
        <f t="shared" si="159"/>
        <v>0.999949162992978+0.0125954476063473i</v>
      </c>
      <c r="AA213" s="4">
        <f t="shared" si="170"/>
        <v>1.0000284865296396</v>
      </c>
      <c r="AB213" s="4">
        <f t="shared" si="171"/>
        <v>1.2595421846052916E-2</v>
      </c>
      <c r="AC213" s="48" t="str">
        <f t="shared" si="172"/>
        <v>-0.0197978018095019-4.55633033404256i</v>
      </c>
      <c r="AD213" s="20">
        <f t="shared" si="173"/>
        <v>13.172386052463263</v>
      </c>
      <c r="AE213" s="44">
        <f t="shared" si="174"/>
        <v>-90.248955467557167</v>
      </c>
      <c r="AF213" t="str">
        <f t="shared" si="160"/>
        <v>-0.0000333790427773504</v>
      </c>
      <c r="AG213" t="str">
        <f t="shared" si="161"/>
        <v>0.0000303514298132465i</v>
      </c>
      <c r="AH213">
        <f t="shared" si="175"/>
        <v>3.0351429813246499E-5</v>
      </c>
      <c r="AI213">
        <f t="shared" si="176"/>
        <v>1.5707963267948966</v>
      </c>
      <c r="AJ213" t="str">
        <f t="shared" si="162"/>
        <v>1+0.699263616290806i</v>
      </c>
      <c r="AK213">
        <f t="shared" si="177"/>
        <v>1.2202334223697102</v>
      </c>
      <c r="AL213">
        <f t="shared" si="178"/>
        <v>0.6102315761403394</v>
      </c>
      <c r="AM213" t="str">
        <f t="shared" si="163"/>
        <v>1+5.26390111152247i</v>
      </c>
      <c r="AN213">
        <f t="shared" si="179"/>
        <v>5.3580458109172131</v>
      </c>
      <c r="AO213">
        <f t="shared" si="180"/>
        <v>1.3830602720579142</v>
      </c>
      <c r="AP213" s="42" t="str">
        <f t="shared" si="181"/>
        <v>-3.37143805155636+3.45727586971567i</v>
      </c>
      <c r="AQ213">
        <f t="shared" si="182"/>
        <v>13.677164589521029</v>
      </c>
      <c r="AR213" s="44">
        <f t="shared" si="183"/>
        <v>134.27982256267634</v>
      </c>
      <c r="AS213" s="42" t="str">
        <f t="shared" si="184"/>
        <v>15.8192379806966+15.2929390011822i</v>
      </c>
      <c r="AT213" s="20">
        <f t="shared" si="185"/>
        <v>26.849550641984294</v>
      </c>
      <c r="AU213" s="44">
        <f t="shared" si="186"/>
        <v>44.030867095119241</v>
      </c>
    </row>
    <row r="214" spans="14:47" x14ac:dyDescent="0.3">
      <c r="N214" s="8">
        <v>96</v>
      </c>
      <c r="O214" s="35">
        <f t="shared" si="154"/>
        <v>912.01083935590987</v>
      </c>
      <c r="P214" s="34" t="str">
        <f t="shared" si="155"/>
        <v>545.10556621881</v>
      </c>
      <c r="Q214" s="4" t="str">
        <f t="shared" si="156"/>
        <v>1+122.41575329728i</v>
      </c>
      <c r="R214" s="4">
        <f t="shared" si="164"/>
        <v>122.4198376707816</v>
      </c>
      <c r="S214" s="4">
        <f t="shared" si="165"/>
        <v>1.5626276252152003</v>
      </c>
      <c r="T214" s="4" t="str">
        <f t="shared" si="157"/>
        <v>1+0.00286516655291478i</v>
      </c>
      <c r="U214" s="4">
        <f t="shared" si="166"/>
        <v>1.0000041045812642</v>
      </c>
      <c r="V214" s="4">
        <f t="shared" si="167"/>
        <v>2.8651587127313388E-3</v>
      </c>
      <c r="W214" t="str">
        <f t="shared" si="158"/>
        <v>1-0.00297633501516787i</v>
      </c>
      <c r="X214" s="4">
        <f t="shared" si="168"/>
        <v>1.0000044292752521</v>
      </c>
      <c r="Y214" s="4">
        <f t="shared" si="169"/>
        <v>-2.9763262265237694E-3</v>
      </c>
      <c r="Z214" t="str">
        <f t="shared" si="159"/>
        <v>0.999946767118649+0.0128888332702146i</v>
      </c>
      <c r="AA214" s="4">
        <f t="shared" si="170"/>
        <v>1.0000298291021648</v>
      </c>
      <c r="AB214" s="4">
        <f t="shared" si="171"/>
        <v>1.2888805667277585E-2</v>
      </c>
      <c r="AC214" s="48" t="str">
        <f t="shared" si="172"/>
        <v>-0.0215119278597316-4.45260839445605i</v>
      </c>
      <c r="AD214" s="20">
        <f t="shared" si="173"/>
        <v>12.972391384757682</v>
      </c>
      <c r="AE214" s="44">
        <f t="shared" si="174"/>
        <v>-90.276811472440102</v>
      </c>
      <c r="AF214" t="str">
        <f t="shared" si="160"/>
        <v>-0.0000333790427773504</v>
      </c>
      <c r="AG214" t="str">
        <f t="shared" si="161"/>
        <v>0.0000310584054335963i</v>
      </c>
      <c r="AH214">
        <f t="shared" si="175"/>
        <v>3.1058405433596302E-5</v>
      </c>
      <c r="AI214">
        <f t="shared" si="176"/>
        <v>1.5707963267948966</v>
      </c>
      <c r="AJ214" t="str">
        <f t="shared" si="162"/>
        <v>1+0.715551558307279i</v>
      </c>
      <c r="AK214">
        <f t="shared" si="177"/>
        <v>1.2296397979066778</v>
      </c>
      <c r="AL214">
        <f t="shared" si="178"/>
        <v>0.62108717826628368</v>
      </c>
      <c r="AM214" t="str">
        <f t="shared" si="163"/>
        <v>1+5.38651311947981i</v>
      </c>
      <c r="AN214">
        <f t="shared" si="179"/>
        <v>5.4785512306017647</v>
      </c>
      <c r="AO214">
        <f t="shared" si="180"/>
        <v>1.3872372493857126</v>
      </c>
      <c r="AP214" s="42" t="str">
        <f t="shared" si="181"/>
        <v>-3.32005436187562+3.45038856835643i</v>
      </c>
      <c r="AQ214">
        <f t="shared" si="182"/>
        <v>13.603650789520714</v>
      </c>
      <c r="AR214" s="44">
        <f t="shared" si="183"/>
        <v>133.89716554879101</v>
      </c>
      <c r="AS214" s="42" t="str">
        <f t="shared" si="184"/>
        <v>15.4346498735221+14.7086774117673i</v>
      </c>
      <c r="AT214" s="20">
        <f t="shared" si="185"/>
        <v>26.576042174278406</v>
      </c>
      <c r="AU214" s="44">
        <f t="shared" si="186"/>
        <v>43.620354076350907</v>
      </c>
    </row>
    <row r="215" spans="14:47" x14ac:dyDescent="0.3">
      <c r="N215" s="8">
        <v>97</v>
      </c>
      <c r="O215" s="35">
        <f t="shared" si="154"/>
        <v>933.25430079699106</v>
      </c>
      <c r="P215" s="34" t="str">
        <f t="shared" si="155"/>
        <v>545.10556621881</v>
      </c>
      <c r="Q215" s="4" t="str">
        <f t="shared" si="156"/>
        <v>1+125.267182493877i</v>
      </c>
      <c r="R215" s="4">
        <f t="shared" si="164"/>
        <v>125.27117389868384</v>
      </c>
      <c r="S215" s="4">
        <f t="shared" si="165"/>
        <v>1.562813559573047</v>
      </c>
      <c r="T215" s="4" t="str">
        <f t="shared" si="157"/>
        <v>1+0.00293190485531491i</v>
      </c>
      <c r="U215" s="4">
        <f t="shared" si="166"/>
        <v>1.0000042980238038</v>
      </c>
      <c r="V215" s="4">
        <f t="shared" si="167"/>
        <v>2.931896454408946E-3</v>
      </c>
      <c r="W215" t="str">
        <f t="shared" si="158"/>
        <v>1-0.00304566276370111i</v>
      </c>
      <c r="X215" s="4">
        <f t="shared" si="168"/>
        <v>1.0000046380200796</v>
      </c>
      <c r="Y215" s="4">
        <f t="shared" si="169"/>
        <v>-3.0456533465016483E-3</v>
      </c>
      <c r="Z215" t="str">
        <f t="shared" si="159"/>
        <v>0.999944258330243+0.0131890527640856i</v>
      </c>
      <c r="AA215" s="4">
        <f t="shared" si="170"/>
        <v>1.0000312349524056</v>
      </c>
      <c r="AB215" s="4">
        <f t="shared" si="171"/>
        <v>1.3189023186686731E-2</v>
      </c>
      <c r="AC215" s="48" t="str">
        <f t="shared" si="172"/>
        <v>-0.0231489031935547-4.3512460260495i</v>
      </c>
      <c r="AD215" s="20">
        <f t="shared" si="173"/>
        <v>12.772395710047705</v>
      </c>
      <c r="AE215" s="44">
        <f t="shared" si="174"/>
        <v>-90.304814283657407</v>
      </c>
      <c r="AF215" t="str">
        <f t="shared" si="160"/>
        <v>-0.0000333790427773504</v>
      </c>
      <c r="AG215" t="str">
        <f t="shared" si="161"/>
        <v>0.0000317818486316136i</v>
      </c>
      <c r="AH215">
        <f t="shared" si="175"/>
        <v>3.1781848631613603E-5</v>
      </c>
      <c r="AI215">
        <f t="shared" si="176"/>
        <v>1.5707963267948966</v>
      </c>
      <c r="AJ215" t="str">
        <f t="shared" si="162"/>
        <v>1+0.732218895231412i</v>
      </c>
      <c r="AK215">
        <f t="shared" si="177"/>
        <v>1.2394129701330019</v>
      </c>
      <c r="AL215">
        <f t="shared" si="178"/>
        <v>0.63202374291958718</v>
      </c>
      <c r="AM215" t="str">
        <f t="shared" si="163"/>
        <v>1+5.51198112799204i</v>
      </c>
      <c r="AN215">
        <f t="shared" si="179"/>
        <v>5.6019582250620541</v>
      </c>
      <c r="AO215">
        <f t="shared" si="180"/>
        <v>1.3913254163215754</v>
      </c>
      <c r="AP215" s="42" t="str">
        <f t="shared" si="181"/>
        <v>-3.26790139190268+3.4430740632953i</v>
      </c>
      <c r="AQ215">
        <f t="shared" si="182"/>
        <v>13.528371049405726</v>
      </c>
      <c r="AR215" s="44">
        <f t="shared" si="183"/>
        <v>133.50478126315465</v>
      </c>
      <c r="AS215" s="42" t="str">
        <f t="shared" si="184"/>
        <v>15.057310668275+14.1397395568587i</v>
      </c>
      <c r="AT215" s="20">
        <f t="shared" si="185"/>
        <v>26.300766759453424</v>
      </c>
      <c r="AU215" s="44">
        <f t="shared" si="186"/>
        <v>43.199966979497283</v>
      </c>
    </row>
    <row r="216" spans="14:47" x14ac:dyDescent="0.3">
      <c r="N216" s="8">
        <v>98</v>
      </c>
      <c r="O216" s="35">
        <f t="shared" si="154"/>
        <v>954.99258602143675</v>
      </c>
      <c r="P216" s="34" t="str">
        <f t="shared" si="155"/>
        <v>545.10556621881</v>
      </c>
      <c r="Q216" s="4" t="str">
        <f t="shared" si="156"/>
        <v>1+128.185030008739i</v>
      </c>
      <c r="R216" s="4">
        <f t="shared" si="164"/>
        <v>128.18893056087691</v>
      </c>
      <c r="S216" s="4">
        <f t="shared" si="165"/>
        <v>1.5629952620815473</v>
      </c>
      <c r="T216" s="4" t="str">
        <f t="shared" si="157"/>
        <v>1+0.00300019769247767i</v>
      </c>
      <c r="U216" s="4">
        <f t="shared" si="166"/>
        <v>1.0000045005829694</v>
      </c>
      <c r="V216" s="4">
        <f t="shared" si="167"/>
        <v>3.0001886907469362E-3</v>
      </c>
      <c r="W216" t="str">
        <f t="shared" si="158"/>
        <v>1-0.00311660536294579i</v>
      </c>
      <c r="X216" s="4">
        <f t="shared" si="168"/>
        <v>1.0000048566027009</v>
      </c>
      <c r="Y216" s="4">
        <f t="shared" si="169"/>
        <v>-3.1165952722374125E-3</v>
      </c>
      <c r="Z216" t="str">
        <f t="shared" si="159"/>
        <v>0.999941631306281+0.01349626526831i</v>
      </c>
      <c r="AA216" s="4">
        <f t="shared" si="170"/>
        <v>1.0000327070629536</v>
      </c>
      <c r="AB216" s="4">
        <f t="shared" si="171"/>
        <v>1.3496233575198233E-2</v>
      </c>
      <c r="AC216" s="48" t="str">
        <f t="shared" si="172"/>
        <v>-0.0247121986952919-4.25218956929913i</v>
      </c>
      <c r="AD216" s="20">
        <f t="shared" si="173"/>
        <v>12.572399037499778</v>
      </c>
      <c r="AE216" s="44">
        <f t="shared" si="174"/>
        <v>-90.332978745225205</v>
      </c>
      <c r="AF216" t="str">
        <f t="shared" si="160"/>
        <v>-0.0000333790427773504</v>
      </c>
      <c r="AG216" t="str">
        <f t="shared" si="161"/>
        <v>0.0000325221429864579i</v>
      </c>
      <c r="AH216">
        <f t="shared" si="175"/>
        <v>3.2522142986457897E-5</v>
      </c>
      <c r="AI216">
        <f t="shared" si="176"/>
        <v>1.5707963267948966</v>
      </c>
      <c r="AJ216" t="str">
        <f t="shared" si="162"/>
        <v>1+0.749274464305861i</v>
      </c>
      <c r="AK216">
        <f t="shared" si="177"/>
        <v>1.2495648133893795</v>
      </c>
      <c r="AL216">
        <f t="shared" si="178"/>
        <v>0.64303660421539899</v>
      </c>
      <c r="AM216" t="str">
        <f t="shared" si="163"/>
        <v>1+5.64037166185802i</v>
      </c>
      <c r="AN216">
        <f t="shared" si="179"/>
        <v>5.7283324348269975</v>
      </c>
      <c r="AO216">
        <f t="shared" si="180"/>
        <v>1.3953263935895799</v>
      </c>
      <c r="AP216" s="42" t="str">
        <f t="shared" si="181"/>
        <v>-3.2150182447911+3.43527926888864i</v>
      </c>
      <c r="AQ216">
        <f t="shared" si="182"/>
        <v>13.451282989489346</v>
      </c>
      <c r="AR216" s="44">
        <f t="shared" si="183"/>
        <v>133.10302990192628</v>
      </c>
      <c r="AS216" s="42" t="str">
        <f t="shared" si="184"/>
        <v>14.6869088444721+13.5859737417405i</v>
      </c>
      <c r="AT216" s="20">
        <f t="shared" si="185"/>
        <v>26.023682026989121</v>
      </c>
      <c r="AU216" s="44">
        <f t="shared" si="186"/>
        <v>42.770051156701001</v>
      </c>
    </row>
    <row r="217" spans="14:47" x14ac:dyDescent="0.3">
      <c r="N217" s="8">
        <v>99</v>
      </c>
      <c r="O217" s="35">
        <f t="shared" si="154"/>
        <v>977.23722095581138</v>
      </c>
      <c r="P217" s="34" t="str">
        <f t="shared" si="155"/>
        <v>545.10556621881</v>
      </c>
      <c r="Q217" s="4" t="str">
        <f t="shared" si="156"/>
        <v>1+131.17084292324i</v>
      </c>
      <c r="R217" s="4">
        <f t="shared" si="164"/>
        <v>131.17465469058152</v>
      </c>
      <c r="S217" s="4">
        <f t="shared" si="165"/>
        <v>1.5631728290337561</v>
      </c>
      <c r="T217" s="4" t="str">
        <f t="shared" si="157"/>
        <v>1+0.00307008127416928i</v>
      </c>
      <c r="U217" s="4">
        <f t="shared" si="166"/>
        <v>1.0000047126884102</v>
      </c>
      <c r="V217" s="4">
        <f t="shared" si="167"/>
        <v>3.070071628643473E-3</v>
      </c>
      <c r="W217" t="str">
        <f t="shared" si="158"/>
        <v>1-0.00318920042760704i</v>
      </c>
      <c r="X217" s="4">
        <f t="shared" si="168"/>
        <v>1.0000050854867526</v>
      </c>
      <c r="Y217" s="4">
        <f t="shared" si="169"/>
        <v>-3.1891896152211798E-3</v>
      </c>
      <c r="Z217" t="str">
        <f t="shared" si="159"/>
        <v>0.999938880474495+0.0138106336710237i</v>
      </c>
      <c r="AA217" s="4">
        <f t="shared" si="170"/>
        <v>1.0000342485570088</v>
      </c>
      <c r="AB217" s="4">
        <f t="shared" si="171"/>
        <v>1.3810599710841037E-2</v>
      </c>
      <c r="AC217" s="48" t="str">
        <f t="shared" si="172"/>
        <v>-0.0262051290840966-4.1553865816912i</v>
      </c>
      <c r="AD217" s="20">
        <f t="shared" si="173"/>
        <v>12.372401374163575</v>
      </c>
      <c r="AE217" s="44">
        <f t="shared" si="174"/>
        <v>-90.361319787029998</v>
      </c>
      <c r="AF217" t="str">
        <f t="shared" si="160"/>
        <v>-0.0000333790427773504</v>
      </c>
      <c r="AG217" t="str">
        <f t="shared" si="161"/>
        <v>0.000033279681011995i</v>
      </c>
      <c r="AH217">
        <f t="shared" si="175"/>
        <v>3.3279681011994997E-5</v>
      </c>
      <c r="AI217">
        <f t="shared" si="176"/>
        <v>1.5707963267948966</v>
      </c>
      <c r="AJ217" t="str">
        <f t="shared" si="162"/>
        <v>1+0.766727308619104i</v>
      </c>
      <c r="AK217">
        <f t="shared" si="177"/>
        <v>1.260107442158126</v>
      </c>
      <c r="AL217">
        <f t="shared" si="178"/>
        <v>0.65412091626817925</v>
      </c>
      <c r="AM217" t="str">
        <f t="shared" si="163"/>
        <v>1+5.77175279543827i</v>
      </c>
      <c r="AN217">
        <f t="shared" si="179"/>
        <v>5.8577410604813771</v>
      </c>
      <c r="AO217">
        <f t="shared" si="180"/>
        <v>1.399241789932155</v>
      </c>
      <c r="AP217" s="42" t="str">
        <f t="shared" si="181"/>
        <v>-3.16144669472786+3.42695317417754i</v>
      </c>
      <c r="AQ217">
        <f t="shared" si="182"/>
        <v>13.372346332586147</v>
      </c>
      <c r="AR217" s="44">
        <f t="shared" si="183"/>
        <v>132.69228128804639</v>
      </c>
      <c r="AS217" s="42" t="str">
        <f t="shared" si="184"/>
        <v>14.3231613547893+13.0472294237097i</v>
      </c>
      <c r="AT217" s="20">
        <f t="shared" si="185"/>
        <v>25.744747706749749</v>
      </c>
      <c r="AU217" s="44">
        <f t="shared" si="186"/>
        <v>42.33096150101634</v>
      </c>
    </row>
    <row r="218" spans="14:47" x14ac:dyDescent="0.3">
      <c r="N218" s="8">
        <v>100</v>
      </c>
      <c r="O218" s="35">
        <f t="shared" si="154"/>
        <v>1000</v>
      </c>
      <c r="P218" s="34" t="str">
        <f t="shared" si="155"/>
        <v>545.10556621881</v>
      </c>
      <c r="Q218" s="4" t="str">
        <f t="shared" si="156"/>
        <v>1+134.226204354911i</v>
      </c>
      <c r="R218" s="4">
        <f t="shared" si="164"/>
        <v>134.22992935827065</v>
      </c>
      <c r="S218" s="4">
        <f t="shared" si="165"/>
        <v>1.5633463545332069</v>
      </c>
      <c r="T218" s="4" t="str">
        <f t="shared" si="157"/>
        <v>1+0.0031415926535898i</v>
      </c>
      <c r="U218" s="4">
        <f t="shared" si="166"/>
        <v>1.0000049347900244</v>
      </c>
      <c r="V218" s="4">
        <f t="shared" si="167"/>
        <v>3.1415823182254434E-3</v>
      </c>
      <c r="W218" t="str">
        <f t="shared" si="158"/>
        <v>1-0.00326348644854907i</v>
      </c>
      <c r="X218" s="4">
        <f t="shared" si="168"/>
        <v>1.0000053251577212</v>
      </c>
      <c r="Y218" s="4">
        <f t="shared" si="169"/>
        <v>-3.2634748628722174E-3</v>
      </c>
      <c r="Z218" t="str">
        <f t="shared" si="159"/>
        <v>0.999936+0.0141323246545152i</v>
      </c>
      <c r="AA218" s="4">
        <f t="shared" si="170"/>
        <v>1.0000358627050034</v>
      </c>
      <c r="AB218" s="4">
        <f t="shared" si="171"/>
        <v>1.4132288265073324E-2</v>
      </c>
      <c r="AC218" s="48" t="str">
        <f t="shared" si="172"/>
        <v>-0.0276308599343997-4.06078581029116i</v>
      </c>
      <c r="AD218" s="20">
        <f t="shared" si="173"/>
        <v>12.172402724987258</v>
      </c>
      <c r="AE218" s="44">
        <f t="shared" si="174"/>
        <v>-90.389852432728986</v>
      </c>
      <c r="AF218" t="str">
        <f t="shared" si="160"/>
        <v>-0.0000333790427773504</v>
      </c>
      <c r="AG218" t="str">
        <f t="shared" si="161"/>
        <v>0.0000340548643649134i</v>
      </c>
      <c r="AH218">
        <f t="shared" si="175"/>
        <v>3.4054864364913401E-5</v>
      </c>
      <c r="AI218">
        <f t="shared" si="176"/>
        <v>1.5707963267948966</v>
      </c>
      <c r="AJ218" t="str">
        <f t="shared" si="162"/>
        <v>1+0.784586681900211i</v>
      </c>
      <c r="AK218">
        <f t="shared" si="177"/>
        <v>1.2710532095137412</v>
      </c>
      <c r="AL218">
        <f t="shared" si="178"/>
        <v>0.66527166183844322</v>
      </c>
      <c r="AM218" t="str">
        <f t="shared" si="163"/>
        <v>1+5.90619418874883i</v>
      </c>
      <c r="AN218">
        <f t="shared" si="179"/>
        <v>5.9902528991028792</v>
      </c>
      <c r="AO218">
        <f t="shared" si="180"/>
        <v>1.4030732009107361</v>
      </c>
      <c r="AP218" s="42" t="str">
        <f t="shared" si="181"/>
        <v>-3.10723108777306+3.41804704670823i</v>
      </c>
      <c r="AQ218">
        <f t="shared" si="182"/>
        <v>13.291522992283213</v>
      </c>
      <c r="AR218" s="44">
        <f t="shared" si="183"/>
        <v>132.27291430709897</v>
      </c>
      <c r="AS218" s="42" t="str">
        <f t="shared" si="184"/>
        <v>13.9658124131505+12.5233563313276i</v>
      </c>
      <c r="AT218" s="20">
        <f t="shared" si="185"/>
        <v>25.463925717270477</v>
      </c>
      <c r="AU218" s="44">
        <f t="shared" si="186"/>
        <v>41.883061874369858</v>
      </c>
    </row>
    <row r="219" spans="14:47" x14ac:dyDescent="0.3">
      <c r="N219" s="8">
        <v>1</v>
      </c>
      <c r="O219" s="35">
        <f>10^(3+(N219/100))</f>
        <v>1023.2929922807547</v>
      </c>
      <c r="P219" s="34" t="str">
        <f t="shared" si="155"/>
        <v>545.10556621881</v>
      </c>
      <c r="Q219" s="4" t="str">
        <f t="shared" si="156"/>
        <v>1+137.352734296825i</v>
      </c>
      <c r="R219" s="4">
        <f t="shared" si="164"/>
        <v>137.35637451102951</v>
      </c>
      <c r="S219" s="4">
        <f t="shared" si="165"/>
        <v>1.5635159305435919</v>
      </c>
      <c r="T219" s="4" t="str">
        <f t="shared" si="157"/>
        <v>1+0.00321476974701914i</v>
      </c>
      <c r="U219" s="4">
        <f t="shared" si="166"/>
        <v>1.0000051673589123</v>
      </c>
      <c r="V219" s="4">
        <f t="shared" si="167"/>
        <v>3.2147586724797957E-3</v>
      </c>
      <c r="W219" t="str">
        <f t="shared" si="158"/>
        <v>1-0.00333950281320347i</v>
      </c>
      <c r="X219" s="4">
        <f t="shared" si="168"/>
        <v>1.000005576123973</v>
      </c>
      <c r="Y219" s="4">
        <f t="shared" si="169"/>
        <v>-3.3394903989307965E-3</v>
      </c>
      <c r="Z219" t="str">
        <f t="shared" si="159"/>
        <v>0.999932983772925+0.0144615087836019i</v>
      </c>
      <c r="AA219" s="4">
        <f t="shared" si="170"/>
        <v>1.0000375529315502</v>
      </c>
      <c r="AB219" s="4">
        <f t="shared" si="171"/>
        <v>1.44614697911069E-2</v>
      </c>
      <c r="AC219" s="48" t="str">
        <f t="shared" si="172"/>
        <v>-0.0289924143809138-3.96833716491842i</v>
      </c>
      <c r="AD219" s="20">
        <f t="shared" si="173"/>
        <v>11.972403092828056</v>
      </c>
      <c r="AE219" s="44">
        <f t="shared" si="174"/>
        <v>-90.41859180770075</v>
      </c>
      <c r="AF219" t="str">
        <f t="shared" si="160"/>
        <v>-0.0000333790427773504</v>
      </c>
      <c r="AG219" t="str">
        <f t="shared" si="161"/>
        <v>0.0000348481040576874i</v>
      </c>
      <c r="AH219">
        <f t="shared" si="175"/>
        <v>3.4848104057687403E-5</v>
      </c>
      <c r="AI219">
        <f t="shared" si="176"/>
        <v>1.5707963267948966</v>
      </c>
      <c r="AJ219" t="str">
        <f t="shared" si="162"/>
        <v>1+0.802862053425295i</v>
      </c>
      <c r="AK219">
        <f t="shared" si="177"/>
        <v>1.2824147054795814</v>
      </c>
      <c r="AL219">
        <f t="shared" si="178"/>
        <v>0.67648366193229914</v>
      </c>
      <c r="AM219" t="str">
        <f t="shared" si="163"/>
        <v>1+6.04376712439599i</v>
      </c>
      <c r="AN219">
        <f t="shared" si="179"/>
        <v>6.1259383814995862</v>
      </c>
      <c r="AO219">
        <f t="shared" si="180"/>
        <v>1.4068222078126751</v>
      </c>
      <c r="AP219" s="42" t="str">
        <f t="shared" si="181"/>
        <v>-3.05241822333022+3.40851463053124i</v>
      </c>
      <c r="AQ219">
        <f t="shared" si="182"/>
        <v>13.208777157141657</v>
      </c>
      <c r="AR219" s="44">
        <f t="shared" si="183"/>
        <v>131.84531629466704</v>
      </c>
      <c r="AS219" s="42" t="str">
        <f t="shared" si="184"/>
        <v>13.6146322594999+12.0142036099238i</v>
      </c>
      <c r="AT219" s="20">
        <f t="shared" si="185"/>
        <v>25.181180249969707</v>
      </c>
      <c r="AU219" s="44">
        <f t="shared" si="186"/>
        <v>41.426724486966357</v>
      </c>
    </row>
    <row r="220" spans="14:47" x14ac:dyDescent="0.3">
      <c r="N220" s="8">
        <v>2</v>
      </c>
      <c r="O220" s="35">
        <f t="shared" ref="O220:O283" si="187">10^(3+(N220/100))</f>
        <v>1047.1285480509</v>
      </c>
      <c r="P220" s="34" t="str">
        <f t="shared" si="155"/>
        <v>545.10556621881</v>
      </c>
      <c r="Q220" s="4" t="str">
        <f t="shared" si="156"/>
        <v>1+140.552090476542i</v>
      </c>
      <c r="R220" s="4">
        <f t="shared" si="164"/>
        <v>140.55564783147651</v>
      </c>
      <c r="S220" s="4">
        <f t="shared" si="165"/>
        <v>1.5636816469373236</v>
      </c>
      <c r="T220" s="4" t="str">
        <f t="shared" si="157"/>
        <v>1+0.00328965135392086i</v>
      </c>
      <c r="U220" s="4">
        <f t="shared" si="166"/>
        <v>1.0000054108883762</v>
      </c>
      <c r="V220" s="4">
        <f t="shared" si="167"/>
        <v>3.2896394873416241E-3</v>
      </c>
      <c r="W220" t="str">
        <f t="shared" si="158"/>
        <v>1-0.00341728982645297i</v>
      </c>
      <c r="X220" s="4">
        <f t="shared" si="168"/>
        <v>1.0000058389178326</v>
      </c>
      <c r="Y220" s="4">
        <f t="shared" si="169"/>
        <v>-3.4172765243243347E-3</v>
      </c>
      <c r="Z220" t="str">
        <f t="shared" si="159"/>
        <v>0.999929825395447+0.0147983605960664i</v>
      </c>
      <c r="AA220" s="4">
        <f t="shared" si="170"/>
        <v>1.0000393228227078</v>
      </c>
      <c r="AB220" s="4">
        <f t="shared" si="171"/>
        <v>1.4798318814288048E-2</v>
      </c>
      <c r="AC220" s="48" t="str">
        <f t="shared" si="172"/>
        <v>-0.0302926795223555-3.87799169191418i</v>
      </c>
      <c r="AD220" s="20">
        <f t="shared" si="173"/>
        <v>11.772402478458181</v>
      </c>
      <c r="AE220" s="44">
        <f t="shared" si="174"/>
        <v>-90.447553147050741</v>
      </c>
      <c r="AF220" t="str">
        <f t="shared" si="160"/>
        <v>-0.0000333790427773504</v>
      </c>
      <c r="AG220" t="str">
        <f t="shared" si="161"/>
        <v>0.0000356598206765021i</v>
      </c>
      <c r="AH220">
        <f t="shared" si="175"/>
        <v>3.5659820676502103E-5</v>
      </c>
      <c r="AI220">
        <f t="shared" si="176"/>
        <v>1.5707963267948966</v>
      </c>
      <c r="AJ220" t="str">
        <f t="shared" si="162"/>
        <v>1+0.821563113038241i</v>
      </c>
      <c r="AK220">
        <f t="shared" si="177"/>
        <v>1.2942047553247074</v>
      </c>
      <c r="AL220">
        <f t="shared" si="178"/>
        <v>0.68775158632170985</v>
      </c>
      <c r="AM220" t="str">
        <f t="shared" si="163"/>
        <v>1+6.18454454537122i</v>
      </c>
      <c r="AN220">
        <f t="shared" si="179"/>
        <v>6.2648696102697068</v>
      </c>
      <c r="AO220">
        <f t="shared" si="180"/>
        <v>1.4104903766586117</v>
      </c>
      <c r="AP220" s="42" t="str">
        <f t="shared" si="181"/>
        <v>-2.99705721660691+3.39831233634246i</v>
      </c>
      <c r="AQ220">
        <f t="shared" si="182"/>
        <v>13.124075370083389</v>
      </c>
      <c r="AR220" s="44">
        <f t="shared" si="183"/>
        <v>131.40988237669492</v>
      </c>
      <c r="AS220" s="42" t="str">
        <f t="shared" si="184"/>
        <v>13.2694159006384+11.5196189996713i</v>
      </c>
      <c r="AT220" s="20">
        <f t="shared" si="185"/>
        <v>24.896477848541572</v>
      </c>
      <c r="AU220" s="44">
        <f t="shared" si="186"/>
        <v>40.962329229644013</v>
      </c>
    </row>
    <row r="221" spans="14:47" x14ac:dyDescent="0.3">
      <c r="N221" s="8">
        <v>3</v>
      </c>
      <c r="O221" s="35">
        <f t="shared" si="187"/>
        <v>1071.5193052376069</v>
      </c>
      <c r="P221" s="34" t="str">
        <f t="shared" si="155"/>
        <v>545.10556621881</v>
      </c>
      <c r="Q221" s="4" t="str">
        <f t="shared" si="156"/>
        <v>1+143.825969235056i</v>
      </c>
      <c r="R221" s="4">
        <f t="shared" si="164"/>
        <v>143.82944561668612</v>
      </c>
      <c r="S221" s="4">
        <f t="shared" si="165"/>
        <v>1.5638435915429991</v>
      </c>
      <c r="T221" s="4" t="str">
        <f t="shared" si="157"/>
        <v>1+0.0033662771775141i</v>
      </c>
      <c r="U221" s="4">
        <f t="shared" si="166"/>
        <v>1.0000056658949668</v>
      </c>
      <c r="V221" s="4">
        <f t="shared" si="167"/>
        <v>3.3662644622492527E-3</v>
      </c>
      <c r="W221" t="str">
        <f t="shared" si="158"/>
        <v>1-0.00349688873200164i</v>
      </c>
      <c r="X221" s="4">
        <f t="shared" si="168"/>
        <v>1.0000061140967109</v>
      </c>
      <c r="Y221" s="4">
        <f t="shared" si="169"/>
        <v>-3.496874478518713E-3</v>
      </c>
      <c r="Z221" t="str">
        <f t="shared" si="159"/>
        <v>0.999926518168224+0.0151430586951984i</v>
      </c>
      <c r="AA221" s="4">
        <f t="shared" si="170"/>
        <v>1.0000411761335999</v>
      </c>
      <c r="AB221" s="4">
        <f t="shared" si="171"/>
        <v>1.5143013924579889E-2</v>
      </c>
      <c r="AC221" s="48" t="str">
        <f t="shared" si="172"/>
        <v>-0.0315344125373826-3.78970154849008i</v>
      </c>
      <c r="AD221" s="20">
        <f t="shared" si="173"/>
        <v>11.572400880566271</v>
      </c>
      <c r="AE221" s="44">
        <f t="shared" si="174"/>
        <v>-90.476751803675072</v>
      </c>
      <c r="AF221" t="str">
        <f t="shared" si="160"/>
        <v>-0.0000333790427773504</v>
      </c>
      <c r="AG221" t="str">
        <f t="shared" si="161"/>
        <v>0.0000364904446042529i</v>
      </c>
      <c r="AH221">
        <f t="shared" si="175"/>
        <v>3.64904446042529E-5</v>
      </c>
      <c r="AI221">
        <f t="shared" si="176"/>
        <v>1.5707963267948966</v>
      </c>
      <c r="AJ221" t="str">
        <f t="shared" si="162"/>
        <v>1+0.840699776288393i</v>
      </c>
      <c r="AK221">
        <f t="shared" si="177"/>
        <v>1.3064364178372225</v>
      </c>
      <c r="AL221">
        <f t="shared" si="178"/>
        <v>0.69906996494412799</v>
      </c>
      <c r="AM221" t="str">
        <f t="shared" si="163"/>
        <v>1+6.32860109372653i</v>
      </c>
      <c r="AN221">
        <f t="shared" si="179"/>
        <v>6.4071203987061631</v>
      </c>
      <c r="AO221">
        <f t="shared" si="180"/>
        <v>1.4140792573046916</v>
      </c>
      <c r="AP221" s="42" t="str">
        <f t="shared" si="181"/>
        <v>-2.94119934266587+3.3873994217478i</v>
      </c>
      <c r="AQ221">
        <f t="shared" si="182"/>
        <v>13.037386602238097</v>
      </c>
      <c r="AR221" s="44">
        <f t="shared" si="183"/>
        <v>130.96701476489582</v>
      </c>
      <c r="AS221" s="42" t="str">
        <f t="shared" si="184"/>
        <v>12.9299818273783+11.0394480525246i</v>
      </c>
      <c r="AT221" s="20">
        <f t="shared" si="185"/>
        <v>24.609787482804361</v>
      </c>
      <c r="AU221" s="44">
        <f t="shared" si="186"/>
        <v>40.490262961220907</v>
      </c>
    </row>
    <row r="222" spans="14:47" x14ac:dyDescent="0.3">
      <c r="N222" s="8">
        <v>4</v>
      </c>
      <c r="O222" s="35">
        <f t="shared" si="187"/>
        <v>1096.4781961431863</v>
      </c>
      <c r="P222" s="34" t="str">
        <f t="shared" si="155"/>
        <v>545.10556621881</v>
      </c>
      <c r="Q222" s="4" t="str">
        <f t="shared" si="156"/>
        <v>1+147.17610642622i</v>
      </c>
      <c r="R222" s="4">
        <f t="shared" si="164"/>
        <v>147.17950367759101</v>
      </c>
      <c r="S222" s="4">
        <f t="shared" si="165"/>
        <v>1.5640018501917952</v>
      </c>
      <c r="T222" s="4" t="str">
        <f t="shared" si="157"/>
        <v>1+0.00344468784582482i</v>
      </c>
      <c r="U222" s="4">
        <f t="shared" si="166"/>
        <v>1.0000059329195778</v>
      </c>
      <c r="V222" s="4">
        <f t="shared" si="167"/>
        <v>3.4446742211774305E-3</v>
      </c>
      <c r="W222" t="str">
        <f t="shared" si="158"/>
        <v>1-0.00357834173424281i</v>
      </c>
      <c r="X222" s="4">
        <f t="shared" si="168"/>
        <v>1.0000064022442892</v>
      </c>
      <c r="Y222" s="4">
        <f t="shared" si="169"/>
        <v>-3.5783264613659677E-3</v>
      </c>
      <c r="Z222" t="str">
        <f t="shared" si="159"/>
        <v>0.999923055076185+0.0154957858444927i</v>
      </c>
      <c r="AA222" s="4">
        <f t="shared" si="170"/>
        <v>1.0000431167963857</v>
      </c>
      <c r="AB222" s="4">
        <f t="shared" si="171"/>
        <v>1.5495737871196593E-2</v>
      </c>
      <c r="AC222" s="48" t="str">
        <f t="shared" si="172"/>
        <v>-0.0327202465256585-3.70341997764563i</v>
      </c>
      <c r="AD222" s="20">
        <f t="shared" si="173"/>
        <v>11.372398295754627</v>
      </c>
      <c r="AE222" s="44">
        <f t="shared" si="174"/>
        <v>-90.506203256387764</v>
      </c>
      <c r="AF222" t="str">
        <f t="shared" si="160"/>
        <v>-0.0000333790427773504</v>
      </c>
      <c r="AG222" t="str">
        <f t="shared" si="161"/>
        <v>0.0000373404162487411i</v>
      </c>
      <c r="AH222">
        <f t="shared" si="175"/>
        <v>3.7340416248741101E-5</v>
      </c>
      <c r="AI222">
        <f t="shared" si="176"/>
        <v>1.5707963267948966</v>
      </c>
      <c r="AJ222" t="str">
        <f t="shared" si="162"/>
        <v>1+0.86028218968791i</v>
      </c>
      <c r="AK222">
        <f t="shared" si="177"/>
        <v>1.3191229836123033</v>
      </c>
      <c r="AL222">
        <f t="shared" si="178"/>
        <v>0.71043320013098188</v>
      </c>
      <c r="AM222" t="str">
        <f t="shared" si="163"/>
        <v>1+6.47601315015068i</v>
      </c>
      <c r="AN222">
        <f t="shared" si="179"/>
        <v>6.5527663105687308</v>
      </c>
      <c r="AO222">
        <f t="shared" si="180"/>
        <v>1.4175903826342156</v>
      </c>
      <c r="AP222" s="42" t="str">
        <f t="shared" si="181"/>
        <v>-2.88489786290791+3.37573815967791i</v>
      </c>
      <c r="AQ222">
        <f t="shared" si="182"/>
        <v>12.948682320547791</v>
      </c>
      <c r="AR222" s="44">
        <f t="shared" si="183"/>
        <v>130.51712200979787</v>
      </c>
      <c r="AS222" s="42" t="str">
        <f t="shared" si="184"/>
        <v>12.5961707091276+10.5735333941696i</v>
      </c>
      <c r="AT222" s="20">
        <f t="shared" si="185"/>
        <v>24.321080616302432</v>
      </c>
      <c r="AU222" s="44">
        <f t="shared" si="186"/>
        <v>40.010918753410003</v>
      </c>
    </row>
    <row r="223" spans="14:47" x14ac:dyDescent="0.3">
      <c r="N223" s="8">
        <v>5</v>
      </c>
      <c r="O223" s="35">
        <f t="shared" si="187"/>
        <v>1122.0184543019636</v>
      </c>
      <c r="P223" s="34" t="str">
        <f t="shared" si="155"/>
        <v>545.10556621881</v>
      </c>
      <c r="Q223" s="4" t="str">
        <f t="shared" si="156"/>
        <v>1+150.604278337117i</v>
      </c>
      <c r="R223" s="4">
        <f t="shared" si="164"/>
        <v>150.60759825933022</v>
      </c>
      <c r="S223" s="4">
        <f t="shared" si="165"/>
        <v>1.564156506762814</v>
      </c>
      <c r="T223" s="4" t="str">
        <f t="shared" si="157"/>
        <v>1+0.00352492493322723i</v>
      </c>
      <c r="U223" s="4">
        <f t="shared" si="166"/>
        <v>1.0000062125285947</v>
      </c>
      <c r="V223" s="4">
        <f t="shared" si="167"/>
        <v>3.5249103341594232E-3</v>
      </c>
      <c r="W223" t="str">
        <f t="shared" si="158"/>
        <v>1-0.00366169202063643i</v>
      </c>
      <c r="X223" s="4">
        <f t="shared" si="168"/>
        <v>1.0000067039717553</v>
      </c>
      <c r="Y223" s="4">
        <f t="shared" si="169"/>
        <v>-3.6616756554599724E-3</v>
      </c>
      <c r="Z223" t="str">
        <f t="shared" si="159"/>
        <v>0.999919428773645+0.0158567290645527i</v>
      </c>
      <c r="AA223" s="4">
        <f t="shared" si="170"/>
        <v>1.0000451489286066</v>
      </c>
      <c r="AB223" s="4">
        <f t="shared" si="171"/>
        <v>1.5856677659438618E-2</v>
      </c>
      <c r="AC223" s="48" t="str">
        <f t="shared" si="172"/>
        <v>-0.0338526960863677-3.61910128364235i</v>
      </c>
      <c r="AD223" s="20">
        <f t="shared" si="173"/>
        <v>11.172394718531963</v>
      </c>
      <c r="AE223" s="44">
        <f t="shared" si="174"/>
        <v>-90.535923118114738</v>
      </c>
      <c r="AF223" t="str">
        <f t="shared" si="160"/>
        <v>-0.0000333790427773504</v>
      </c>
      <c r="AG223" t="str">
        <f t="shared" si="161"/>
        <v>0.0000382101862761831i</v>
      </c>
      <c r="AH223">
        <f t="shared" si="175"/>
        <v>3.8210186276183099E-5</v>
      </c>
      <c r="AI223">
        <f t="shared" si="176"/>
        <v>1.5707963267948966</v>
      </c>
      <c r="AJ223" t="str">
        <f t="shared" si="162"/>
        <v>1+0.880320736091581i</v>
      </c>
      <c r="AK223">
        <f t="shared" si="177"/>
        <v>1.3322779733947503</v>
      </c>
      <c r="AL223">
        <f t="shared" si="178"/>
        <v>0.72183557960563505</v>
      </c>
      <c r="AM223" t="str">
        <f t="shared" si="163"/>
        <v>1+6.6268588744672i</v>
      </c>
      <c r="AN223">
        <f t="shared" si="179"/>
        <v>6.7018847007468487</v>
      </c>
      <c r="AO223">
        <f t="shared" si="180"/>
        <v>1.4210252678334774</v>
      </c>
      <c r="AP223" s="42" t="str">
        <f t="shared" si="181"/>
        <v>-2.82820783506491+3.36329399306092i</v>
      </c>
      <c r="AQ223">
        <f t="shared" si="182"/>
        <v>12.85793654846421</v>
      </c>
      <c r="AR223" s="44">
        <f t="shared" si="183"/>
        <v>130.06061821452317</v>
      </c>
      <c r="AS223" s="42" t="str">
        <f t="shared" si="184"/>
        <v>12.2678440678629+10.1217140368946i</v>
      </c>
      <c r="AT223" s="20">
        <f t="shared" si="185"/>
        <v>24.030331266996178</v>
      </c>
      <c r="AU223" s="44">
        <f t="shared" si="186"/>
        <v>39.52469509640855</v>
      </c>
    </row>
    <row r="224" spans="14:47" x14ac:dyDescent="0.3">
      <c r="N224" s="8">
        <v>6</v>
      </c>
      <c r="O224" s="35">
        <f t="shared" si="187"/>
        <v>1148.1536214968839</v>
      </c>
      <c r="P224" s="34" t="str">
        <f t="shared" si="155"/>
        <v>545.10556621881</v>
      </c>
      <c r="Q224" s="4" t="str">
        <f t="shared" si="156"/>
        <v>1+154.112302629872i</v>
      </c>
      <c r="R224" s="4">
        <f t="shared" si="164"/>
        <v>154.11554698303883</v>
      </c>
      <c r="S224" s="4">
        <f t="shared" si="165"/>
        <v>1.5643076432274068</v>
      </c>
      <c r="T224" s="4" t="str">
        <f t="shared" si="157"/>
        <v>1+0.00360703098248713i</v>
      </c>
      <c r="U224" s="4">
        <f t="shared" si="166"/>
        <v>1.0000065053150948</v>
      </c>
      <c r="V224" s="4">
        <f t="shared" si="167"/>
        <v>3.6070153393096328E-3</v>
      </c>
      <c r="W224" t="str">
        <f t="shared" si="158"/>
        <v>1-0.00374698378460761i</v>
      </c>
      <c r="X224" s="4">
        <f t="shared" si="168"/>
        <v>1.0000070199191013</v>
      </c>
      <c r="Y224" s="4">
        <f t="shared" si="169"/>
        <v>-3.7469662490117505E-3</v>
      </c>
      <c r="Z224" t="str">
        <f t="shared" si="159"/>
        <v>0.999915631568732+0.0162260797322513i</v>
      </c>
      <c r="AA224" s="4">
        <f t="shared" si="170"/>
        <v>1.0000472768419368</v>
      </c>
      <c r="AB224" s="4">
        <f t="shared" si="171"/>
        <v>1.6226024649780246E-2</v>
      </c>
      <c r="AC224" s="48" t="str">
        <f t="shared" si="172"/>
        <v>-0.0349341626459628-3.53670080802286i</v>
      </c>
      <c r="AD224" s="20">
        <f t="shared" si="173"/>
        <v>10.972390141301624</v>
      </c>
      <c r="AE224" s="44">
        <f t="shared" si="174"/>
        <v>-90.565927144159531</v>
      </c>
      <c r="AF224" t="str">
        <f t="shared" si="160"/>
        <v>-0.0000333790427773504</v>
      </c>
      <c r="AG224" t="str">
        <f t="shared" si="161"/>
        <v>0.0000391002158501605i</v>
      </c>
      <c r="AH224">
        <f t="shared" si="175"/>
        <v>3.9100215850160501E-5</v>
      </c>
      <c r="AI224">
        <f t="shared" si="176"/>
        <v>1.5707963267948966</v>
      </c>
      <c r="AJ224" t="str">
        <f t="shared" si="162"/>
        <v>1+0.90082604020195i</v>
      </c>
      <c r="AK224">
        <f t="shared" si="177"/>
        <v>1.3459151365171302</v>
      </c>
      <c r="AL224">
        <f t="shared" si="178"/>
        <v>0.73327129018301962</v>
      </c>
      <c r="AM224" t="str">
        <f t="shared" si="163"/>
        <v>1+6.78121824707581i</v>
      </c>
      <c r="AN224">
        <f t="shared" si="179"/>
        <v>6.8545547568367944</v>
      </c>
      <c r="AO224">
        <f t="shared" si="180"/>
        <v>1.4243854097467641</v>
      </c>
      <c r="AP224" s="42" t="str">
        <f t="shared" si="181"/>
        <v>-2.77118590801047+3.3500356739706i</v>
      </c>
      <c r="AQ224">
        <f t="shared" si="182"/>
        <v>12.765125919117025</v>
      </c>
      <c r="AR224" s="44">
        <f t="shared" si="183"/>
        <v>129.5979222129022</v>
      </c>
      <c r="AS224" s="42" t="str">
        <f t="shared" si="184"/>
        <v>11.9448829342699+9.68382474893792i</v>
      </c>
      <c r="AT224" s="20">
        <f t="shared" si="185"/>
        <v>23.737516060418663</v>
      </c>
      <c r="AU224" s="44">
        <f t="shared" si="186"/>
        <v>39.031995068742575</v>
      </c>
    </row>
    <row r="225" spans="14:47" x14ac:dyDescent="0.3">
      <c r="N225" s="8">
        <v>7</v>
      </c>
      <c r="O225" s="35">
        <f t="shared" si="187"/>
        <v>1174.8975549395295</v>
      </c>
      <c r="P225" s="34" t="str">
        <f t="shared" si="155"/>
        <v>545.10556621881</v>
      </c>
      <c r="Q225" s="4" t="str">
        <f t="shared" si="156"/>
        <v>1+157.702039305399i</v>
      </c>
      <c r="R225" s="4">
        <f t="shared" si="164"/>
        <v>157.70520980957355</v>
      </c>
      <c r="S225" s="4">
        <f t="shared" si="165"/>
        <v>1.5644553396924932</v>
      </c>
      <c r="T225" s="4" t="str">
        <f t="shared" si="157"/>
        <v>1+0.00369104952731863i</v>
      </c>
      <c r="U225" s="4">
        <f t="shared" si="166"/>
        <v>1.0000068119001055</v>
      </c>
      <c r="V225" s="4">
        <f t="shared" si="167"/>
        <v>3.6910327653581132E-3</v>
      </c>
      <c r="W225" t="str">
        <f t="shared" si="158"/>
        <v>1-0.00383426224897859i</v>
      </c>
      <c r="X225" s="4">
        <f t="shared" si="168"/>
        <v>1.0000073507564802</v>
      </c>
      <c r="Y225" s="4">
        <f t="shared" si="169"/>
        <v>-3.8342434592565575E-3</v>
      </c>
      <c r="Z225" t="str">
        <f t="shared" si="159"/>
        <v>0.999911655407065+0.0166040336822015i</v>
      </c>
      <c r="AA225" s="4">
        <f t="shared" si="170"/>
        <v>1.0000495050513332</v>
      </c>
      <c r="AB225" s="4">
        <f t="shared" si="171"/>
        <v>1.6603974659261781E-2</v>
      </c>
      <c r="AC225" s="48" t="str">
        <f t="shared" si="172"/>
        <v>-0.035966939546384-3.45617490616347i</v>
      </c>
      <c r="AD225" s="20">
        <f t="shared" si="173"/>
        <v>10.772384554345384</v>
      </c>
      <c r="AE225" s="44">
        <f t="shared" si="174"/>
        <v>-90.596231240544768</v>
      </c>
      <c r="AF225" t="str">
        <f t="shared" si="160"/>
        <v>-0.0000333790427773504</v>
      </c>
      <c r="AG225" t="str">
        <f t="shared" si="161"/>
        <v>0.000040010976876134i</v>
      </c>
      <c r="AH225">
        <f t="shared" si="175"/>
        <v>4.0010976876133999E-5</v>
      </c>
      <c r="AI225">
        <f t="shared" si="176"/>
        <v>1.5707963267948966</v>
      </c>
      <c r="AJ225" t="str">
        <f t="shared" si="162"/>
        <v>1+0.921808974202676i</v>
      </c>
      <c r="AK225">
        <f t="shared" si="177"/>
        <v>1.3600484494754552</v>
      </c>
      <c r="AL225">
        <f t="shared" si="178"/>
        <v>0.74473443209529888</v>
      </c>
      <c r="AM225" t="str">
        <f t="shared" si="163"/>
        <v>1+6.93917311135905i</v>
      </c>
      <c r="AN225">
        <f t="shared" si="179"/>
        <v>7.0108575416569723</v>
      </c>
      <c r="AO225">
        <f t="shared" si="180"/>
        <v>1.4276722863056794</v>
      </c>
      <c r="AP225" s="42" t="str">
        <f t="shared" si="181"/>
        <v>-2.71389010291183+3.3359353856114i</v>
      </c>
      <c r="AQ225">
        <f t="shared" si="182"/>
        <v>12.670229720387843</v>
      </c>
      <c r="AR225" s="44">
        <f t="shared" si="183"/>
        <v>129.12945671597555</v>
      </c>
      <c r="AS225" s="42" t="str">
        <f t="shared" si="184"/>
        <v>11.6271864895998+9.25969548542433i</v>
      </c>
      <c r="AT225" s="20">
        <f t="shared" si="185"/>
        <v>23.442614274733206</v>
      </c>
      <c r="AU225" s="44">
        <f t="shared" si="186"/>
        <v>38.533225475430847</v>
      </c>
    </row>
    <row r="226" spans="14:47" x14ac:dyDescent="0.3">
      <c r="N226" s="8">
        <v>8</v>
      </c>
      <c r="O226" s="35">
        <f t="shared" si="187"/>
        <v>1202.2644346174138</v>
      </c>
      <c r="P226" s="34" t="str">
        <f t="shared" si="155"/>
        <v>545.10556621881</v>
      </c>
      <c r="Q226" s="4" t="str">
        <f t="shared" si="156"/>
        <v>1+161.375391689599i</v>
      </c>
      <c r="R226" s="4">
        <f t="shared" si="164"/>
        <v>161.37849002568933</v>
      </c>
      <c r="S226" s="4">
        <f t="shared" si="165"/>
        <v>1.5645996744429038</v>
      </c>
      <c r="T226" s="4" t="str">
        <f t="shared" si="157"/>
        <v>1+0.00377702511546636i</v>
      </c>
      <c r="U226" s="4">
        <f t="shared" si="166"/>
        <v>1.000007132933922</v>
      </c>
      <c r="V226" s="4">
        <f t="shared" si="167"/>
        <v>3.7770071547089919E-3</v>
      </c>
      <c r="W226" t="str">
        <f t="shared" si="158"/>
        <v>1-0.00392357368994644i</v>
      </c>
      <c r="X226" s="4">
        <f t="shared" si="168"/>
        <v>1.0000076971856269</v>
      </c>
      <c r="Y226" s="4">
        <f t="shared" si="169"/>
        <v>-3.9235535564049115E-3</v>
      </c>
      <c r="Z226" t="str">
        <f t="shared" si="159"/>
        <v>0.999907491854672+0.0169907913105904i</v>
      </c>
      <c r="AA226" s="4">
        <f t="shared" si="170"/>
        <v>1.0000518382846266</v>
      </c>
      <c r="AB226" s="4">
        <f t="shared" si="171"/>
        <v>1.6990728065239363E-2</v>
      </c>
      <c r="AC226" s="48" t="str">
        <f t="shared" si="172"/>
        <v>-0.0369532169045102-3.37748092434897i</v>
      </c>
      <c r="AD226" s="20">
        <f t="shared" si="173"/>
        <v>10.572377945802913</v>
      </c>
      <c r="AE226" s="44">
        <f t="shared" si="174"/>
        <v>-90.626851472433685</v>
      </c>
      <c r="AF226" t="str">
        <f t="shared" si="160"/>
        <v>-0.0000333790427773504</v>
      </c>
      <c r="AG226" t="str">
        <f t="shared" si="161"/>
        <v>0.0000409429522516553i</v>
      </c>
      <c r="AH226">
        <f t="shared" si="175"/>
        <v>4.0942952251655297E-5</v>
      </c>
      <c r="AI226">
        <f t="shared" si="176"/>
        <v>1.5707963267948966</v>
      </c>
      <c r="AJ226" t="str">
        <f t="shared" si="162"/>
        <v>1+0.94328066352311i</v>
      </c>
      <c r="AK226">
        <f t="shared" si="177"/>
        <v>1.3746921146848115</v>
      </c>
      <c r="AL226">
        <f t="shared" si="178"/>
        <v>0.75621903386078926</v>
      </c>
      <c r="AM226" t="str">
        <f t="shared" si="163"/>
        <v>1+7.10080721707677i</v>
      </c>
      <c r="AN226">
        <f t="shared" si="179"/>
        <v>7.1708760367258852</v>
      </c>
      <c r="AO226">
        <f t="shared" si="180"/>
        <v>1.4308873560281572</v>
      </c>
      <c r="AP226" s="42" t="str">
        <f t="shared" si="181"/>
        <v>-2.65637958244444+3.32096884567114i</v>
      </c>
      <c r="AQ226">
        <f t="shared" si="182"/>
        <v>12.573229931384013</v>
      </c>
      <c r="AR226" s="44">
        <f t="shared" si="183"/>
        <v>128.65564743136272</v>
      </c>
      <c r="AS226" s="42" t="str">
        <f t="shared" si="184"/>
        <v>11.3146706975023+8.84915088544897i</v>
      </c>
      <c r="AT226" s="20">
        <f t="shared" si="185"/>
        <v>23.14560787718694</v>
      </c>
      <c r="AU226" s="44">
        <f t="shared" si="186"/>
        <v>38.028795958928981</v>
      </c>
    </row>
    <row r="227" spans="14:47" x14ac:dyDescent="0.3">
      <c r="N227" s="8">
        <v>9</v>
      </c>
      <c r="O227" s="35">
        <f t="shared" si="187"/>
        <v>1230.2687708123824</v>
      </c>
      <c r="P227" s="34" t="str">
        <f t="shared" si="155"/>
        <v>545.10556621881</v>
      </c>
      <c r="Q227" s="4" t="str">
        <f t="shared" si="156"/>
        <v>1+165.134307442528i</v>
      </c>
      <c r="R227" s="4">
        <f t="shared" si="164"/>
        <v>165.13733525318665</v>
      </c>
      <c r="S227" s="4">
        <f t="shared" si="165"/>
        <v>1.5647407239827653</v>
      </c>
      <c r="T227" s="4" t="str">
        <f t="shared" si="157"/>
        <v>1+0.00386500333232512i</v>
      </c>
      <c r="U227" s="4">
        <f t="shared" si="166"/>
        <v>1.0000074690974856</v>
      </c>
      <c r="V227" s="4">
        <f t="shared" si="167"/>
        <v>3.864984087034627E-3</v>
      </c>
      <c r="W227" t="str">
        <f t="shared" si="158"/>
        <v>1-0.00401496546161933i</v>
      </c>
      <c r="X227" s="4">
        <f t="shared" si="168"/>
        <v>1.0000080599413477</v>
      </c>
      <c r="Y227" s="4">
        <f t="shared" si="169"/>
        <v>-4.0149438881502911E-3</v>
      </c>
      <c r="Z227" t="str">
        <f t="shared" si="159"/>
        <v>0.9999031320801+0.0173865576814319i</v>
      </c>
      <c r="AA227" s="4">
        <f t="shared" si="170"/>
        <v>1.0000542814925617</v>
      </c>
      <c r="AB227" s="4">
        <f t="shared" si="171"/>
        <v>1.7386489911547551E-2</v>
      </c>
      <c r="AC227" s="48" t="str">
        <f t="shared" si="172"/>
        <v>-0.0378950862530939-3.30057717735831i</v>
      </c>
      <c r="AD227" s="20">
        <f t="shared" si="173"/>
        <v>10.372370301646431</v>
      </c>
      <c r="AE227" s="44">
        <f t="shared" si="174"/>
        <v>-90.657804072636324</v>
      </c>
      <c r="AF227" t="str">
        <f t="shared" si="160"/>
        <v>-0.0000333790427773504</v>
      </c>
      <c r="AG227" t="str">
        <f t="shared" si="161"/>
        <v>0.0000418966361224044i</v>
      </c>
      <c r="AH227">
        <f t="shared" si="175"/>
        <v>4.1896636122404399E-5</v>
      </c>
      <c r="AI227">
        <f t="shared" si="176"/>
        <v>1.5707963267948966</v>
      </c>
      <c r="AJ227" t="str">
        <f t="shared" si="162"/>
        <v>1+0.965252492737138i</v>
      </c>
      <c r="AK227">
        <f t="shared" si="177"/>
        <v>1.3898605594574078</v>
      </c>
      <c r="AL227">
        <f t="shared" si="178"/>
        <v>0.76771906760709019</v>
      </c>
      <c r="AM227" t="str">
        <f t="shared" si="163"/>
        <v>1+7.26620626477125i</v>
      </c>
      <c r="AN227">
        <f t="shared" si="179"/>
        <v>7.3346951867273233</v>
      </c>
      <c r="AO227">
        <f t="shared" si="180"/>
        <v>1.434032057582729</v>
      </c>
      <c r="AP227" s="42" t="str">
        <f t="shared" si="181"/>
        <v>-2.59871440996768+3.30511538977167i</v>
      </c>
      <c r="AQ227">
        <f t="shared" si="182"/>
        <v>12.47411124987989</v>
      </c>
      <c r="AR227" s="44">
        <f t="shared" si="183"/>
        <v>128.17692216034683</v>
      </c>
      <c r="AS227" s="42" t="str">
        <f t="shared" si="184"/>
        <v>11.007266930729+8.45200983923966i</v>
      </c>
      <c r="AT227" s="20">
        <f t="shared" si="185"/>
        <v>22.846481551526328</v>
      </c>
      <c r="AU227" s="44">
        <f t="shared" si="186"/>
        <v>37.519118087710424</v>
      </c>
    </row>
    <row r="228" spans="14:47" x14ac:dyDescent="0.3">
      <c r="N228" s="8">
        <v>10</v>
      </c>
      <c r="O228" s="35">
        <f t="shared" si="187"/>
        <v>1258.925411794168</v>
      </c>
      <c r="P228" s="34" t="str">
        <f t="shared" si="155"/>
        <v>545.10556621881</v>
      </c>
      <c r="Q228" s="4" t="str">
        <f t="shared" si="156"/>
        <v>1+168.980779591075i</v>
      </c>
      <c r="R228" s="4">
        <f t="shared" si="164"/>
        <v>168.98373848156947</v>
      </c>
      <c r="S228" s="4">
        <f t="shared" si="165"/>
        <v>1.5648785630759487</v>
      </c>
      <c r="T228" s="4" t="str">
        <f t="shared" si="157"/>
        <v>1+0.00395503082511007i</v>
      </c>
      <c r="U228" s="4">
        <f t="shared" si="166"/>
        <v>1.000007821103829</v>
      </c>
      <c r="V228" s="4">
        <f t="shared" si="167"/>
        <v>3.9550102034184818E-3</v>
      </c>
      <c r="W228" t="str">
        <f t="shared" si="158"/>
        <v>1-0.00410848602112432i</v>
      </c>
      <c r="X228" s="4">
        <f t="shared" si="168"/>
        <v>1.000008439793078</v>
      </c>
      <c r="Y228" s="4">
        <f t="shared" si="169"/>
        <v>-4.1084629047463007E-3</v>
      </c>
      <c r="Z228" t="str">
        <f t="shared" si="159"/>
        <v>0.999898566835682+0.0177915426352944i</v>
      </c>
      <c r="AA228" s="4">
        <f t="shared" si="170"/>
        <v>1.0000568398593124</v>
      </c>
      <c r="AB228" s="4">
        <f t="shared" si="171"/>
        <v>1.7791470017130346E-2</v>
      </c>
      <c r="AC228" s="48" t="str">
        <f t="shared" si="172"/>
        <v>-0.0387945449729909-3.22542292655033i</v>
      </c>
      <c r="AD228" s="20">
        <f t="shared" si="173"/>
        <v>10.172361605650629</v>
      </c>
      <c r="AE228" s="44">
        <f t="shared" si="174"/>
        <v>-90.689105450204721</v>
      </c>
      <c r="AF228" t="str">
        <f t="shared" si="160"/>
        <v>-0.0000333790427773504</v>
      </c>
      <c r="AG228" t="str">
        <f t="shared" si="161"/>
        <v>0.0000428725341441931i</v>
      </c>
      <c r="AH228">
        <f t="shared" si="175"/>
        <v>4.2872534144193102E-5</v>
      </c>
      <c r="AI228">
        <f t="shared" si="176"/>
        <v>1.5707963267948966</v>
      </c>
      <c r="AJ228" t="str">
        <f t="shared" si="162"/>
        <v>1+0.987736111599443i</v>
      </c>
      <c r="AK228">
        <f t="shared" si="177"/>
        <v>1.4055684352451812</v>
      </c>
      <c r="AL228">
        <f t="shared" si="178"/>
        <v>0.77922846475407626</v>
      </c>
      <c r="AM228" t="str">
        <f t="shared" si="163"/>
        <v>1+7.43545795120694i</v>
      </c>
      <c r="AN228">
        <f t="shared" si="179"/>
        <v>7.5024019449884527</v>
      </c>
      <c r="AO228">
        <f t="shared" si="180"/>
        <v>1.4371078094138192</v>
      </c>
      <c r="AP228" s="42" t="str">
        <f t="shared" si="181"/>
        <v>-2.54095530070985+3.2883580339685i</v>
      </c>
      <c r="AQ228">
        <f t="shared" si="182"/>
        <v>12.372861110368181</v>
      </c>
      <c r="AR228" s="44">
        <f t="shared" si="183"/>
        <v>127.69370987783584</v>
      </c>
      <c r="AS228" s="42" t="str">
        <f t="shared" si="184"/>
        <v>10.7049205981557+8.06808512861305i</v>
      </c>
      <c r="AT228" s="20">
        <f t="shared" si="185"/>
        <v>22.545222716018799</v>
      </c>
      <c r="AU228" s="44">
        <f t="shared" si="186"/>
        <v>37.004604427631172</v>
      </c>
    </row>
    <row r="229" spans="14:47" x14ac:dyDescent="0.3">
      <c r="N229" s="8">
        <v>11</v>
      </c>
      <c r="O229" s="35">
        <f t="shared" si="187"/>
        <v>1288.2495516931347</v>
      </c>
      <c r="P229" s="34" t="str">
        <f t="shared" si="155"/>
        <v>545.10556621881</v>
      </c>
      <c r="Q229" s="4" t="str">
        <f t="shared" si="156"/>
        <v>1+172.916847585686i</v>
      </c>
      <c r="R229" s="4">
        <f t="shared" si="164"/>
        <v>172.91973912474933</v>
      </c>
      <c r="S229" s="4">
        <f t="shared" si="165"/>
        <v>1.5650132647856021</v>
      </c>
      <c r="T229" s="4" t="str">
        <f t="shared" si="157"/>
        <v>1+0.00404715532758949i</v>
      </c>
      <c r="U229" s="4">
        <f t="shared" si="166"/>
        <v>1.0000081896995872</v>
      </c>
      <c r="V229" s="4">
        <f t="shared" si="167"/>
        <v>4.0471332310586207E-3</v>
      </c>
      <c r="W229" t="str">
        <f t="shared" si="158"/>
        <v>1-0.00420418495429996i</v>
      </c>
      <c r="X229" s="4">
        <f t="shared" si="168"/>
        <v>1.0000088375465139</v>
      </c>
      <c r="Y229" s="4">
        <f t="shared" si="169"/>
        <v>-4.2041601846664672E-3</v>
      </c>
      <c r="Z229" t="str">
        <f t="shared" si="159"/>
        <v>0.999893786437924+0.018205960900561i</v>
      </c>
      <c r="AA229" s="4">
        <f t="shared" si="170"/>
        <v>1.0000595188134964</v>
      </c>
      <c r="AB229" s="4">
        <f t="shared" si="171"/>
        <v>1.8205883087197807E-2</v>
      </c>
      <c r="AC229" s="48" t="str">
        <f t="shared" si="172"/>
        <v>-0.0396535005260528-3.15197835843908i</v>
      </c>
      <c r="AD229" s="20">
        <f t="shared" si="173"/>
        <v>9.9723518393585593</v>
      </c>
      <c r="AE229" s="44">
        <f t="shared" si="174"/>
        <v>-90.720772199121541</v>
      </c>
      <c r="AF229" t="str">
        <f t="shared" si="160"/>
        <v>-0.0000333790427773504</v>
      </c>
      <c r="AG229" t="str">
        <f t="shared" si="161"/>
        <v>0.0000438711637510701i</v>
      </c>
      <c r="AH229">
        <f t="shared" si="175"/>
        <v>4.3871163751070098E-5</v>
      </c>
      <c r="AI229">
        <f t="shared" si="176"/>
        <v>1.5707963267948966</v>
      </c>
      <c r="AJ229" t="str">
        <f t="shared" si="162"/>
        <v>1+1.01074344122235i</v>
      </c>
      <c r="AK229">
        <f t="shared" si="177"/>
        <v>1.4218306171882775</v>
      </c>
      <c r="AL229">
        <f t="shared" si="178"/>
        <v>0.79074113195812046</v>
      </c>
      <c r="AM229" t="str">
        <f t="shared" si="163"/>
        <v>1+7.60865201586827i</v>
      </c>
      <c r="AN229">
        <f t="shared" si="179"/>
        <v>7.6740853199958803</v>
      </c>
      <c r="AO229">
        <f t="shared" si="180"/>
        <v>1.4401160094240153</v>
      </c>
      <c r="AP229" s="42" t="str">
        <f t="shared" si="181"/>
        <v>-2.48316336713177+3.27068351549132i</v>
      </c>
      <c r="AQ229">
        <f t="shared" si="182"/>
        <v>12.269469692446611</v>
      </c>
      <c r="AR229" s="44">
        <f t="shared" si="183"/>
        <v>127.20643980062074</v>
      </c>
      <c r="AS229" s="42" t="str">
        <f t="shared" si="184"/>
        <v>10.4075897780169+7.69718314316597i</v>
      </c>
      <c r="AT229" s="20">
        <f t="shared" si="185"/>
        <v>22.241821531805151</v>
      </c>
      <c r="AU229" s="44">
        <f t="shared" si="186"/>
        <v>36.485667601499266</v>
      </c>
    </row>
    <row r="230" spans="14:47" x14ac:dyDescent="0.3">
      <c r="N230" s="8">
        <v>12</v>
      </c>
      <c r="O230" s="35">
        <f t="shared" si="187"/>
        <v>1318.2567385564089</v>
      </c>
      <c r="P230" s="34" t="str">
        <f t="shared" si="155"/>
        <v>545.10556621881</v>
      </c>
      <c r="Q230" s="4" t="str">
        <f t="shared" si="156"/>
        <v>1+176.944598381711i</v>
      </c>
      <c r="R230" s="4">
        <f t="shared" si="164"/>
        <v>176.94742410237282</v>
      </c>
      <c r="S230" s="4">
        <f t="shared" si="165"/>
        <v>1.5651449005127911</v>
      </c>
      <c r="T230" s="4" t="str">
        <f t="shared" si="157"/>
        <v>1+0.00414142568539406i</v>
      </c>
      <c r="U230" s="4">
        <f t="shared" si="166"/>
        <v>1.0000085756665829</v>
      </c>
      <c r="V230" s="4">
        <f t="shared" si="167"/>
        <v>4.1414020085456206E-3</v>
      </c>
      <c r="W230" t="str">
        <f t="shared" si="158"/>
        <v>1-0.00430211300198733i</v>
      </c>
      <c r="X230" s="4">
        <f t="shared" si="168"/>
        <v>1.0000092540453223</v>
      </c>
      <c r="Y230" s="4">
        <f t="shared" si="169"/>
        <v>-4.3020864608601245E-3</v>
      </c>
      <c r="Z230" t="str">
        <f t="shared" si="159"/>
        <v>0.99988878074696+0.0186300322072815i</v>
      </c>
      <c r="AA230" s="4">
        <f t="shared" si="170"/>
        <v>1.0000623240397004</v>
      </c>
      <c r="AB230" s="4">
        <f t="shared" si="171"/>
        <v>1.862994882696712E-2</v>
      </c>
      <c r="AC230" s="48" t="str">
        <f t="shared" si="172"/>
        <v>-0.0404737744976241-3.08020456374784i</v>
      </c>
      <c r="AD230" s="20">
        <f t="shared" si="173"/>
        <v>9.7723409820424081</v>
      </c>
      <c r="AE230" s="44">
        <f t="shared" si="174"/>
        <v>-90.752821107086945</v>
      </c>
      <c r="AF230" t="str">
        <f t="shared" si="160"/>
        <v>-0.0000333790427773504</v>
      </c>
      <c r="AG230" t="str">
        <f t="shared" si="161"/>
        <v>0.0000448930544296716i</v>
      </c>
      <c r="AH230">
        <f t="shared" si="175"/>
        <v>4.4893054429671597E-5</v>
      </c>
      <c r="AI230">
        <f t="shared" si="176"/>
        <v>1.5707963267948966</v>
      </c>
      <c r="AJ230" t="str">
        <f t="shared" si="162"/>
        <v>1+1.03428668039657i</v>
      </c>
      <c r="AK230">
        <f t="shared" si="177"/>
        <v>1.4386622040095989</v>
      </c>
      <c r="AL230">
        <f t="shared" si="178"/>
        <v>0.8022509672158501</v>
      </c>
      <c r="AM230" t="str">
        <f t="shared" si="163"/>
        <v>1+7.78588028854084i</v>
      </c>
      <c r="AN230">
        <f t="shared" si="179"/>
        <v>7.8498364229765185</v>
      </c>
      <c r="AO230">
        <f t="shared" si="180"/>
        <v>1.443058034709483</v>
      </c>
      <c r="AP230" s="42" t="str">
        <f t="shared" si="181"/>
        <v>-2.42539986072782+3.25208231117428i</v>
      </c>
      <c r="AQ230">
        <f t="shared" si="182"/>
        <v>12.163929919353704</v>
      </c>
      <c r="AR230" s="44">
        <f t="shared" si="183"/>
        <v>126.71554044954009</v>
      </c>
      <c r="AS230" s="42" t="str">
        <f t="shared" si="184"/>
        <v>10.1152438635923+7.33910367381703i</v>
      </c>
      <c r="AT230" s="20">
        <f t="shared" si="185"/>
        <v>21.936270901396107</v>
      </c>
      <c r="AU230" s="44">
        <f t="shared" si="186"/>
        <v>35.962719342453155</v>
      </c>
    </row>
    <row r="231" spans="14:47" x14ac:dyDescent="0.3">
      <c r="N231" s="8">
        <v>13</v>
      </c>
      <c r="O231" s="35">
        <f t="shared" si="187"/>
        <v>1348.9628825916541</v>
      </c>
      <c r="P231" s="34" t="str">
        <f t="shared" si="155"/>
        <v>545.10556621881</v>
      </c>
      <c r="Q231" s="4" t="str">
        <f t="shared" si="156"/>
        <v>1+181.066167545938i</v>
      </c>
      <c r="R231" s="4">
        <f t="shared" si="164"/>
        <v>181.06892894633711</v>
      </c>
      <c r="S231" s="4">
        <f t="shared" si="165"/>
        <v>1.5652735400342626</v>
      </c>
      <c r="T231" s="4" t="str">
        <f t="shared" si="157"/>
        <v>1+0.00423789188191525i</v>
      </c>
      <c r="U231" s="4">
        <f t="shared" si="166"/>
        <v>1.0000089798234828</v>
      </c>
      <c r="V231" s="4">
        <f t="shared" si="167"/>
        <v>4.2378665117273643E-3</v>
      </c>
      <c r="W231" t="str">
        <f t="shared" si="158"/>
        <v>1-0.00440232208693355i</v>
      </c>
      <c r="X231" s="4">
        <f t="shared" si="168"/>
        <v>1.0000096901729287</v>
      </c>
      <c r="Y231" s="4">
        <f t="shared" si="169"/>
        <v>-4.4022936476182497E-3</v>
      </c>
      <c r="Z231" t="str">
        <f t="shared" si="159"/>
        <v>0.999883539145049+0.0190639814036759i</v>
      </c>
      <c r="AA231" s="4">
        <f t="shared" si="170"/>
        <v>1.000065261490563</v>
      </c>
      <c r="AB231" s="4">
        <f t="shared" si="171"/>
        <v>1.9063892058047021E-2</v>
      </c>
      <c r="AC231" s="48" t="str">
        <f t="shared" si="172"/>
        <v>-0.0412571064571861-3.0100635169314i</v>
      </c>
      <c r="AD231" s="20">
        <f t="shared" si="173"/>
        <v>9.572329010658768</v>
      </c>
      <c r="AE231" s="44">
        <f t="shared" si="174"/>
        <v>-90.785269164407964</v>
      </c>
      <c r="AF231" t="str">
        <f t="shared" si="160"/>
        <v>-0.0000333790427773504</v>
      </c>
      <c r="AG231" t="str">
        <f t="shared" si="161"/>
        <v>0.0000459387479999613i</v>
      </c>
      <c r="AH231">
        <f t="shared" si="175"/>
        <v>4.59387479999613E-5</v>
      </c>
      <c r="AI231">
        <f t="shared" si="176"/>
        <v>1.5707963267948966</v>
      </c>
      <c r="AJ231" t="str">
        <f t="shared" si="162"/>
        <v>1+1.05837831205913i</v>
      </c>
      <c r="AK231">
        <f t="shared" si="177"/>
        <v>1.4560785182939597</v>
      </c>
      <c r="AL231">
        <f t="shared" si="178"/>
        <v>0.81375187602377108</v>
      </c>
      <c r="AM231" t="str">
        <f t="shared" si="163"/>
        <v>1+7.96723673800069i</v>
      </c>
      <c r="AN231">
        <f t="shared" si="179"/>
        <v>8.0297485165693629</v>
      </c>
      <c r="AO231">
        <f t="shared" si="180"/>
        <v>1.4459352413448585</v>
      </c>
      <c r="AP231" s="42" t="str">
        <f t="shared" si="181"/>
        <v>-2.36772591257697+3.23254863329113i</v>
      </c>
      <c r="AQ231">
        <f t="shared" si="182"/>
        <v>12.056237446555373</v>
      </c>
      <c r="AR231" s="44">
        <f t="shared" si="183"/>
        <v>126.22143871127538</v>
      </c>
      <c r="AS231" s="42" t="str">
        <f t="shared" si="184"/>
        <v>9.82786222781272+6.99363978444932i</v>
      </c>
      <c r="AT231" s="20">
        <f t="shared" si="185"/>
        <v>21.628566457214141</v>
      </c>
      <c r="AU231" s="44">
        <f t="shared" si="186"/>
        <v>35.43616954686739</v>
      </c>
    </row>
    <row r="232" spans="14:47" x14ac:dyDescent="0.3">
      <c r="N232" s="8">
        <v>14</v>
      </c>
      <c r="O232" s="35">
        <f t="shared" si="187"/>
        <v>1380.3842646028863</v>
      </c>
      <c r="P232" s="34" t="str">
        <f t="shared" si="155"/>
        <v>545.10556621881</v>
      </c>
      <c r="Q232" s="4" t="str">
        <f t="shared" si="156"/>
        <v>1+185.283740388891i</v>
      </c>
      <c r="R232" s="4">
        <f t="shared" si="164"/>
        <v>185.28643893306918</v>
      </c>
      <c r="S232" s="4">
        <f t="shared" si="165"/>
        <v>1.5653992515393533</v>
      </c>
      <c r="T232" s="4" t="str">
        <f t="shared" si="157"/>
        <v>1+0.00433660506480738i</v>
      </c>
      <c r="U232" s="4">
        <f t="shared" si="166"/>
        <v>1.0000094030275355</v>
      </c>
      <c r="V232" s="4">
        <f t="shared" si="167"/>
        <v>4.3365778801750894E-3</v>
      </c>
      <c r="W232" t="str">
        <f t="shared" si="158"/>
        <v>1-0.00450486534132189i</v>
      </c>
      <c r="X232" s="4">
        <f t="shared" si="168"/>
        <v>1.0000101468543925</v>
      </c>
      <c r="Y232" s="4">
        <f t="shared" si="169"/>
        <v>-4.5048348680632186E-3</v>
      </c>
      <c r="Z232" t="str">
        <f t="shared" si="159"/>
        <v>0.99987805051405+0.0195080385753522i</v>
      </c>
      <c r="AA232" s="4">
        <f t="shared" si="170"/>
        <v>1.0000683373994173</v>
      </c>
      <c r="AB232" s="4">
        <f t="shared" si="171"/>
        <v>1.9507942837528165E-2</v>
      </c>
      <c r="AC232" s="48" t="str">
        <f t="shared" si="172"/>
        <v>-0.0420051576453229-2.9415180561573i</v>
      </c>
      <c r="AD232" s="20">
        <f t="shared" si="173"/>
        <v>9.3723158998005864</v>
      </c>
      <c r="AE232" s="44">
        <f t="shared" si="174"/>
        <v>-90.818133572995279</v>
      </c>
      <c r="AF232" t="str">
        <f t="shared" si="160"/>
        <v>-0.0000333790427773504</v>
      </c>
      <c r="AG232" t="str">
        <f t="shared" si="161"/>
        <v>0.000047008798902512i</v>
      </c>
      <c r="AH232">
        <f t="shared" si="175"/>
        <v>4.7008798902511997E-5</v>
      </c>
      <c r="AI232">
        <f t="shared" si="176"/>
        <v>1.5707963267948966</v>
      </c>
      <c r="AJ232" t="str">
        <f t="shared" si="162"/>
        <v>1+1.08303110991204i</v>
      </c>
      <c r="AK232">
        <f t="shared" si="177"/>
        <v>1.4740951071885779</v>
      </c>
      <c r="AL232">
        <f t="shared" si="178"/>
        <v>0.82523778748952403</v>
      </c>
      <c r="AM232" t="str">
        <f t="shared" si="163"/>
        <v>1+8.15281752183789i</v>
      </c>
      <c r="AN232">
        <f t="shared" si="179"/>
        <v>8.2139170646158188</v>
      </c>
      <c r="AO232">
        <f t="shared" si="180"/>
        <v>1.4487489642141564</v>
      </c>
      <c r="AP232" s="42" t="str">
        <f t="shared" si="181"/>
        <v>-2.31020227497628+3.21208040278264i</v>
      </c>
      <c r="AQ232">
        <f t="shared" si="182"/>
        <v>11.946390640376352</v>
      </c>
      <c r="AR232" s="44">
        <f t="shared" si="183"/>
        <v>125.72455890555705</v>
      </c>
      <c r="AS232" s="42" t="str">
        <f t="shared" si="184"/>
        <v>9.54543291336711+6.66057776153006i</v>
      </c>
      <c r="AT232" s="20">
        <f t="shared" si="185"/>
        <v>21.31870654017694</v>
      </c>
      <c r="AU232" s="44">
        <f t="shared" si="186"/>
        <v>34.906425332561767</v>
      </c>
    </row>
    <row r="233" spans="14:47" x14ac:dyDescent="0.3">
      <c r="N233" s="8">
        <v>15</v>
      </c>
      <c r="O233" s="35">
        <f t="shared" si="187"/>
        <v>1412.5375446227545</v>
      </c>
      <c r="P233" s="34" t="str">
        <f t="shared" si="155"/>
        <v>545.10556621881</v>
      </c>
      <c r="Q233" s="4" t="str">
        <f t="shared" si="156"/>
        <v>1+189.599553123518i</v>
      </c>
      <c r="R233" s="4">
        <f t="shared" si="164"/>
        <v>189.60219024219558</v>
      </c>
      <c r="S233" s="4">
        <f t="shared" si="165"/>
        <v>1.5655221016660654</v>
      </c>
      <c r="T233" s="4" t="str">
        <f t="shared" si="157"/>
        <v>1+0.00443761757310661i</v>
      </c>
      <c r="U233" s="4">
        <f t="shared" si="166"/>
        <v>1.0000098461763889</v>
      </c>
      <c r="V233" s="4">
        <f t="shared" si="167"/>
        <v>4.4375884442637943E-3</v>
      </c>
      <c r="W233" t="str">
        <f t="shared" si="158"/>
        <v>1-0.00460979713494313i</v>
      </c>
      <c r="X233" s="4">
        <f t="shared" si="168"/>
        <v>1.0000106250583667</v>
      </c>
      <c r="Y233" s="4">
        <f t="shared" si="169"/>
        <v>-4.6097644822769073E-3</v>
      </c>
      <c r="Z233" t="str">
        <f t="shared" si="159"/>
        <v>0.999872303211842+0.0199624391673005i</v>
      </c>
      <c r="AA233" s="4">
        <f t="shared" si="170"/>
        <v>1.0000715582935362</v>
      </c>
      <c r="AB233" s="4">
        <f t="shared" si="171"/>
        <v>1.9962336579840465E-2</v>
      </c>
      <c r="AC233" s="48" t="str">
        <f t="shared" si="172"/>
        <v>-0.042719514494787-2.87453186373489i</v>
      </c>
      <c r="AD233" s="20">
        <f t="shared" si="173"/>
        <v>9.1723016216423296</v>
      </c>
      <c r="AE233" s="44">
        <f t="shared" si="174"/>
        <v>-90.851431755472035</v>
      </c>
      <c r="AF233" t="str">
        <f t="shared" si="160"/>
        <v>-0.0000333790427773504</v>
      </c>
      <c r="AG233" t="str">
        <f t="shared" si="161"/>
        <v>0.0000481037744924757i</v>
      </c>
      <c r="AH233">
        <f t="shared" si="175"/>
        <v>4.8103774492475703E-5</v>
      </c>
      <c r="AI233">
        <f t="shared" si="176"/>
        <v>1.5707963267948966</v>
      </c>
      <c r="AJ233" t="str">
        <f t="shared" si="162"/>
        <v>1+1.10825814519504i</v>
      </c>
      <c r="AK233">
        <f t="shared" si="177"/>
        <v>1.4927277435591362</v>
      </c>
      <c r="AL233">
        <f t="shared" si="178"/>
        <v>0.83670267029096868</v>
      </c>
      <c r="AM233" t="str">
        <f t="shared" si="163"/>
        <v>1+8.34272103744045i</v>
      </c>
      <c r="AN233">
        <f t="shared" si="179"/>
        <v>8.4024397830958257</v>
      </c>
      <c r="AO233">
        <f t="shared" si="180"/>
        <v>1.4515005168843935</v>
      </c>
      <c r="AP233" s="42" t="str">
        <f t="shared" si="181"/>
        <v>-2.25288906647279+3.19067920013669i</v>
      </c>
      <c r="AQ233">
        <f t="shared" si="182"/>
        <v>11.834390546763524</v>
      </c>
      <c r="AR233" s="44">
        <f t="shared" si="183"/>
        <v>125.22532186353472</v>
      </c>
      <c r="AS233" s="42" t="str">
        <f t="shared" si="184"/>
        <v>9.2679513548794+6.33969714069753i</v>
      </c>
      <c r="AT233" s="20">
        <f t="shared" si="185"/>
        <v>21.006692168405856</v>
      </c>
      <c r="AU233" s="44">
        <f t="shared" si="186"/>
        <v>34.37389010806266</v>
      </c>
    </row>
    <row r="234" spans="14:47" x14ac:dyDescent="0.3">
      <c r="N234" s="8">
        <v>16</v>
      </c>
      <c r="O234" s="35">
        <f t="shared" si="187"/>
        <v>1445.4397707459289</v>
      </c>
      <c r="P234" s="34" t="str">
        <f t="shared" si="155"/>
        <v>545.10556621881</v>
      </c>
      <c r="Q234" s="4" t="str">
        <f t="shared" si="156"/>
        <v>1+194.015894050859i</v>
      </c>
      <c r="R234" s="4">
        <f t="shared" si="164"/>
        <v>194.01847114219342</v>
      </c>
      <c r="S234" s="4">
        <f t="shared" si="165"/>
        <v>1.5656421555363207</v>
      </c>
      <c r="T234" s="4" t="str">
        <f t="shared" si="157"/>
        <v>1+0.00454098296498192i</v>
      </c>
      <c r="U234" s="4">
        <f t="shared" si="166"/>
        <v>1.000010310209994</v>
      </c>
      <c r="V234" s="4">
        <f t="shared" si="167"/>
        <v>4.5409517528818832E-3</v>
      </c>
      <c r="W234" t="str">
        <f t="shared" si="158"/>
        <v>1-0.00471717310402321i</v>
      </c>
      <c r="X234" s="4">
        <f t="shared" si="168"/>
        <v>1.0000111257991551</v>
      </c>
      <c r="Y234" s="4">
        <f t="shared" si="169"/>
        <v>-4.7171381160820086E-3</v>
      </c>
      <c r="Z234" t="str">
        <f t="shared" si="159"/>
        <v>0.999866285047625+0.0204274241087294i</v>
      </c>
      <c r="AA234" s="4">
        <f t="shared" si="170"/>
        <v>1.0000749310080002</v>
      </c>
      <c r="AB234" s="4">
        <f t="shared" si="171"/>
        <v>2.0427314181443085E-2</v>
      </c>
      <c r="AC234" s="48" t="str">
        <f t="shared" si="172"/>
        <v>-0.0434016919931263-2.80906944698355i</v>
      </c>
      <c r="AD234" s="20">
        <f t="shared" si="173"/>
        <v>8.9722861458812826</v>
      </c>
      <c r="AE234" s="44">
        <f t="shared" si="174"/>
        <v>-90.8851813643995</v>
      </c>
      <c r="AF234" t="str">
        <f t="shared" si="160"/>
        <v>-0.0000333790427773504</v>
      </c>
      <c r="AG234" t="str">
        <f t="shared" si="161"/>
        <v>0.0000492242553404041i</v>
      </c>
      <c r="AH234">
        <f t="shared" si="175"/>
        <v>4.9224255340404102E-5</v>
      </c>
      <c r="AI234">
        <f t="shared" si="176"/>
        <v>1.5707963267948966</v>
      </c>
      <c r="AJ234" t="str">
        <f t="shared" si="162"/>
        <v>1+1.13407279361615i</v>
      </c>
      <c r="AK234">
        <f t="shared" si="177"/>
        <v>1.5119924276332666</v>
      </c>
      <c r="AL234">
        <f t="shared" si="178"/>
        <v>0.84814054838126529</v>
      </c>
      <c r="AM234" t="str">
        <f t="shared" si="163"/>
        <v>1+8.53704797416604i</v>
      </c>
      <c r="AN234">
        <f t="shared" si="179"/>
        <v>8.5954166922385138</v>
      </c>
      <c r="AO234">
        <f t="shared" si="180"/>
        <v>1.4541911915188175</v>
      </c>
      <c r="AP234" s="42" t="str">
        <f t="shared" si="181"/>
        <v>-2.19584552255685+3.16835019444792i</v>
      </c>
      <c r="AQ234">
        <f t="shared" si="182"/>
        <v>11.720240850356184</v>
      </c>
      <c r="AR234" s="44">
        <f t="shared" si="183"/>
        <v>124.72414402297096</v>
      </c>
      <c r="AS234" s="42" t="str">
        <f t="shared" si="184"/>
        <v>8.99541913960254+6.03077080844429i</v>
      </c>
      <c r="AT234" s="20">
        <f t="shared" si="185"/>
        <v>20.692526996237468</v>
      </c>
      <c r="AU234" s="44">
        <f t="shared" si="186"/>
        <v>33.838962658571475</v>
      </c>
    </row>
    <row r="235" spans="14:47" x14ac:dyDescent="0.3">
      <c r="N235" s="8">
        <v>17</v>
      </c>
      <c r="O235" s="35">
        <f t="shared" si="187"/>
        <v>1479.1083881682086</v>
      </c>
      <c r="P235" s="34" t="str">
        <f t="shared" si="155"/>
        <v>545.10556621881</v>
      </c>
      <c r="Q235" s="4" t="str">
        <f t="shared" si="156"/>
        <v>1+198.535104773329i</v>
      </c>
      <c r="R235" s="4">
        <f t="shared" si="164"/>
        <v>198.53762320365564</v>
      </c>
      <c r="S235" s="4">
        <f t="shared" si="165"/>
        <v>1.5657594767904197</v>
      </c>
      <c r="T235" s="4" t="str">
        <f t="shared" si="157"/>
        <v>1+0.00464675604613228i</v>
      </c>
      <c r="U235" s="4">
        <f t="shared" si="166"/>
        <v>1.0000107961125981</v>
      </c>
      <c r="V235" s="4">
        <f t="shared" si="167"/>
        <v>4.6467226017840348E-3</v>
      </c>
      <c r="W235" t="str">
        <f t="shared" si="158"/>
        <v>1-0.0048270501807222i</v>
      </c>
      <c r="X235" s="4">
        <f t="shared" si="168"/>
        <v>1.0000116501388607</v>
      </c>
      <c r="Y235" s="4">
        <f t="shared" si="169"/>
        <v>-4.8270126904913406E-3</v>
      </c>
      <c r="Z235" t="str">
        <f t="shared" si="159"/>
        <v>0.999859983256067+0.0209032399408098i</v>
      </c>
      <c r="AA235" s="4">
        <f t="shared" si="170"/>
        <v>1.0000784627002253</v>
      </c>
      <c r="AB235" s="4">
        <f t="shared" si="171"/>
        <v>2.0903122148411127E-2</v>
      </c>
      <c r="AC235" s="48" t="str">
        <f t="shared" si="172"/>
        <v>-0.0440531368939781-2.7450961195299i</v>
      </c>
      <c r="AD235" s="20">
        <f t="shared" si="173"/>
        <v>8.7722694396731633</v>
      </c>
      <c r="AE235" s="44">
        <f t="shared" si="174"/>
        <v>-90.91940029162437</v>
      </c>
      <c r="AF235" t="str">
        <f t="shared" si="160"/>
        <v>-0.0000333790427773504</v>
      </c>
      <c r="AG235" t="str">
        <f t="shared" si="161"/>
        <v>0.000050370835540074i</v>
      </c>
      <c r="AH235">
        <f t="shared" si="175"/>
        <v>5.0370835540073999E-5</v>
      </c>
      <c r="AI235">
        <f t="shared" si="176"/>
        <v>1.5707963267948966</v>
      </c>
      <c r="AJ235" t="str">
        <f t="shared" si="162"/>
        <v>1+1.16048874244366i</v>
      </c>
      <c r="AK235">
        <f t="shared" si="177"/>
        <v>1.5319053891603318</v>
      </c>
      <c r="AL235">
        <f t="shared" si="178"/>
        <v>0.85954551634105758</v>
      </c>
      <c r="AM235" t="str">
        <f t="shared" si="163"/>
        <v>1+8.73590136672872i</v>
      </c>
      <c r="AN235">
        <f t="shared" si="179"/>
        <v>8.7929501698356454</v>
      </c>
      <c r="AO235">
        <f t="shared" si="180"/>
        <v>1.4568222588267892</v>
      </c>
      <c r="AP235" s="42" t="str">
        <f t="shared" si="181"/>
        <v>-2.139129754194+3.14510205144181i</v>
      </c>
      <c r="AQ235">
        <f t="shared" si="182"/>
        <v>11.603947824128189</v>
      </c>
      <c r="AR235" s="44">
        <f t="shared" si="183"/>
        <v>124.22143654575457</v>
      </c>
      <c r="AS235" s="42" t="str">
        <f t="shared" si="184"/>
        <v>8.72784281283393+5.7335651761912i</v>
      </c>
      <c r="AT235" s="20">
        <f t="shared" si="185"/>
        <v>20.376217263801351</v>
      </c>
      <c r="AU235" s="44">
        <f t="shared" si="186"/>
        <v>33.302036254130194</v>
      </c>
    </row>
    <row r="236" spans="14:47" x14ac:dyDescent="0.3">
      <c r="N236" s="8">
        <v>18</v>
      </c>
      <c r="O236" s="35">
        <f t="shared" si="187"/>
        <v>1513.5612484362093</v>
      </c>
      <c r="P236" s="34" t="str">
        <f t="shared" si="155"/>
        <v>545.10556621881</v>
      </c>
      <c r="Q236" s="4" t="str">
        <f t="shared" si="156"/>
        <v>1+203.159581436273i</v>
      </c>
      <c r="R236" s="4">
        <f t="shared" si="164"/>
        <v>203.16204254082905</v>
      </c>
      <c r="S236" s="4">
        <f t="shared" si="165"/>
        <v>1.5658741276207182</v>
      </c>
      <c r="T236" s="4" t="str">
        <f t="shared" si="157"/>
        <v>1+0.00475499289884539i</v>
      </c>
      <c r="U236" s="4">
        <f t="shared" si="166"/>
        <v>1.0000113049148336</v>
      </c>
      <c r="V236" s="4">
        <f t="shared" si="167"/>
        <v>4.7549570626024742E-3</v>
      </c>
      <c r="W236" t="str">
        <f t="shared" si="158"/>
        <v>1-0.00493948662332058i</v>
      </c>
      <c r="X236" s="4">
        <f t="shared" si="168"/>
        <v>1.0000121991896409</v>
      </c>
      <c r="Y236" s="4">
        <f t="shared" si="169"/>
        <v>-4.9394464518409242E-3</v>
      </c>
      <c r="Z236" t="str">
        <f t="shared" si="159"/>
        <v>0.999853384470223+0.0213901389473938i</v>
      </c>
      <c r="AA236" s="4">
        <f t="shared" si="170"/>
        <v>1.0000821608651704</v>
      </c>
      <c r="AB236" s="4">
        <f t="shared" si="171"/>
        <v>2.1390012726986291E-2</v>
      </c>
      <c r="AC236" s="48" t="str">
        <f t="shared" si="172"/>
        <v>-0.0446752307838177-2.68257798302468i</v>
      </c>
      <c r="AD236" s="20">
        <f t="shared" si="173"/>
        <v>8.572251467561923</v>
      </c>
      <c r="AE236" s="44">
        <f t="shared" si="174"/>
        <v>-90.954106677752534</v>
      </c>
      <c r="AF236" t="str">
        <f t="shared" si="160"/>
        <v>-0.0000333790427773504</v>
      </c>
      <c r="AG236" t="str">
        <f t="shared" si="161"/>
        <v>0.000051544123023484i</v>
      </c>
      <c r="AH236">
        <f t="shared" si="175"/>
        <v>5.1544123023483998E-5</v>
      </c>
      <c r="AI236">
        <f t="shared" si="176"/>
        <v>1.5707963267948966</v>
      </c>
      <c r="AJ236" t="str">
        <f t="shared" si="162"/>
        <v>1+1.18751999776331i</v>
      </c>
      <c r="AK236">
        <f t="shared" si="177"/>
        <v>1.55248309011331</v>
      </c>
      <c r="AL236">
        <f t="shared" si="178"/>
        <v>0.87091175428305301</v>
      </c>
      <c r="AM236" t="str">
        <f t="shared" si="163"/>
        <v>1+8.93938664982936i</v>
      </c>
      <c r="AN236">
        <f t="shared" si="179"/>
        <v>8.9951450057877</v>
      </c>
      <c r="AO236">
        <f t="shared" si="180"/>
        <v>1.459394968047532</v>
      </c>
      <c r="AP236" s="42" t="str">
        <f t="shared" si="181"/>
        <v>-2.08279851625349+3.12094682148998i</v>
      </c>
      <c r="AQ236">
        <f t="shared" si="182"/>
        <v>11.485520269949836</v>
      </c>
      <c r="AR236" s="44">
        <f t="shared" si="183"/>
        <v>123.71760446299966</v>
      </c>
      <c r="AS236" s="42" t="str">
        <f t="shared" si="184"/>
        <v>8.46523273390969+5.447840423264i</v>
      </c>
      <c r="AT236" s="20">
        <f t="shared" si="185"/>
        <v>20.057771737511757</v>
      </c>
      <c r="AU236" s="44">
        <f t="shared" si="186"/>
        <v>32.763497785247168</v>
      </c>
    </row>
    <row r="237" spans="14:47" x14ac:dyDescent="0.3">
      <c r="N237" s="8">
        <v>19</v>
      </c>
      <c r="O237" s="35">
        <f t="shared" si="187"/>
        <v>1548.8166189124822</v>
      </c>
      <c r="P237" s="34" t="str">
        <f t="shared" si="155"/>
        <v>545.10556621881</v>
      </c>
      <c r="Q237" s="4" t="str">
        <f t="shared" si="156"/>
        <v>1+207.89177599843i</v>
      </c>
      <c r="R237" s="4">
        <f t="shared" si="164"/>
        <v>207.89418108206252</v>
      </c>
      <c r="S237" s="4">
        <f t="shared" si="165"/>
        <v>1.5659861688045407</v>
      </c>
      <c r="T237" s="4" t="str">
        <f t="shared" si="157"/>
        <v>1+0.00486575091173323i</v>
      </c>
      <c r="U237" s="4">
        <f t="shared" si="166"/>
        <v>1.000011837695902</v>
      </c>
      <c r="V237" s="4">
        <f t="shared" si="167"/>
        <v>4.8657125125316685E-3</v>
      </c>
      <c r="W237" t="str">
        <f t="shared" si="158"/>
        <v>1-0.00505454204710847i</v>
      </c>
      <c r="X237" s="4">
        <f t="shared" si="168"/>
        <v>1.000012774116064</v>
      </c>
      <c r="Y237" s="4">
        <f t="shared" si="169"/>
        <v>-5.0544990026221955E-3</v>
      </c>
      <c r="Z237" t="str">
        <f t="shared" si="159"/>
        <v>0.999846474693183+0.0218883792887797i</v>
      </c>
      <c r="AA237" s="4">
        <f t="shared" si="170"/>
        <v>1.0000860333512689</v>
      </c>
      <c r="AB237" s="4">
        <f t="shared" si="171"/>
        <v>2.1888244037161456E-2</v>
      </c>
      <c r="AC237" s="48" t="str">
        <f t="shared" si="172"/>
        <v>-0.0452692930106637-2.62148190927051i</v>
      </c>
      <c r="AD237" s="20">
        <f t="shared" si="173"/>
        <v>8.3722321914048088</v>
      </c>
      <c r="AE237" s="44">
        <f t="shared" si="174"/>
        <v>-90.989318921754474</v>
      </c>
      <c r="AF237" t="str">
        <f t="shared" si="160"/>
        <v>-0.0000333790427773504</v>
      </c>
      <c r="AG237" t="str">
        <f t="shared" si="161"/>
        <v>0.0000527447398831883i</v>
      </c>
      <c r="AH237">
        <f t="shared" si="175"/>
        <v>5.2744739883188301E-5</v>
      </c>
      <c r="AI237">
        <f t="shared" si="176"/>
        <v>1.5707963267948966</v>
      </c>
      <c r="AJ237" t="str">
        <f t="shared" si="162"/>
        <v>1+1.21518089190445i</v>
      </c>
      <c r="AK237">
        <f t="shared" si="177"/>
        <v>1.5737422279552946</v>
      </c>
      <c r="AL237">
        <f t="shared" si="178"/>
        <v>0.88223354221951455</v>
      </c>
      <c r="AM237" t="str">
        <f t="shared" si="163"/>
        <v>1+9.1476117140585i</v>
      </c>
      <c r="AN237">
        <f t="shared" si="179"/>
        <v>9.2021084579122583</v>
      </c>
      <c r="AO237">
        <f t="shared" si="180"/>
        <v>1.4619105469651223</v>
      </c>
      <c r="AP237" s="42" t="str">
        <f t="shared" si="181"/>
        <v>-2.02690698774339+3.09589980886656i</v>
      </c>
      <c r="AQ237">
        <f t="shared" si="182"/>
        <v>11.364969450496439</v>
      </c>
      <c r="AR237" s="44">
        <f t="shared" si="183"/>
        <v>123.21304585270836</v>
      </c>
      <c r="AS237" s="42" t="str">
        <f t="shared" si="184"/>
        <v>8.20760198819123+5.17335080456404i</v>
      </c>
      <c r="AT237" s="20">
        <f t="shared" si="185"/>
        <v>19.737201641901244</v>
      </c>
      <c r="AU237" s="44">
        <f t="shared" si="186"/>
        <v>32.223726930953873</v>
      </c>
    </row>
    <row r="238" spans="14:47" x14ac:dyDescent="0.3">
      <c r="N238" s="8">
        <v>20</v>
      </c>
      <c r="O238" s="35">
        <f t="shared" si="187"/>
        <v>1584.8931924611156</v>
      </c>
      <c r="P238" s="34" t="str">
        <f t="shared" si="155"/>
        <v>545.10556621881</v>
      </c>
      <c r="Q238" s="4" t="str">
        <f t="shared" si="156"/>
        <v>1+212.734197531993i</v>
      </c>
      <c r="R238" s="4">
        <f t="shared" si="164"/>
        <v>212.73654786985009</v>
      </c>
      <c r="S238" s="4">
        <f t="shared" si="165"/>
        <v>1.5660956597363473</v>
      </c>
      <c r="T238" s="4" t="str">
        <f t="shared" si="157"/>
        <v>1+0.00497908881016032i</v>
      </c>
      <c r="U238" s="4">
        <f t="shared" si="166"/>
        <v>1.0000123955858644</v>
      </c>
      <c r="V238" s="4">
        <f t="shared" si="167"/>
        <v>4.9790476647020871E-3</v>
      </c>
      <c r="W238" t="str">
        <f t="shared" si="158"/>
        <v>1-0.00517227745599452i</v>
      </c>
      <c r="X238" s="4">
        <f t="shared" si="168"/>
        <v>1.0000133761375805</v>
      </c>
      <c r="Y238" s="4">
        <f t="shared" si="169"/>
        <v>-5.1722313330298132E-3</v>
      </c>
      <c r="Z238" t="str">
        <f t="shared" si="159"/>
        <v>0.999839239268383+0.0223982251385915i</v>
      </c>
      <c r="AA238" s="4">
        <f t="shared" si="170"/>
        <v>1.0000900883771113</v>
      </c>
      <c r="AB238" s="4">
        <f t="shared" si="171"/>
        <v>2.2398080209366782E-2</v>
      </c>
      <c r="AC238" s="48" t="str">
        <f t="shared" si="172"/>
        <v>-0.0458365834809216-2.56177552275103i</v>
      </c>
      <c r="AD238" s="20">
        <f t="shared" si="173"/>
        <v>8.1722115702910312</v>
      </c>
      <c r="AE238" s="44">
        <f t="shared" si="174"/>
        <v>-91.025055690707191</v>
      </c>
      <c r="AF238" t="str">
        <f t="shared" si="160"/>
        <v>-0.0000333790427773504</v>
      </c>
      <c r="AG238" t="str">
        <f t="shared" si="161"/>
        <v>0.0000539733227021378i</v>
      </c>
      <c r="AH238">
        <f t="shared" si="175"/>
        <v>5.3973322702137798E-5</v>
      </c>
      <c r="AI238">
        <f t="shared" si="176"/>
        <v>1.5707963267948966</v>
      </c>
      <c r="AJ238" t="str">
        <f t="shared" si="162"/>
        <v>1+1.2434860910393i</v>
      </c>
      <c r="AK238">
        <f t="shared" si="177"/>
        <v>1.5956997394899197</v>
      </c>
      <c r="AL238">
        <f t="shared" si="178"/>
        <v>0.89350527380949119</v>
      </c>
      <c r="AM238" t="str">
        <f t="shared" si="163"/>
        <v>1+9.36068696310141i</v>
      </c>
      <c r="AN238">
        <f t="shared" si="179"/>
        <v>9.4139503090454362</v>
      </c>
      <c r="AO238">
        <f t="shared" si="180"/>
        <v>1.4643702019522398</v>
      </c>
      <c r="AP238" s="42" t="str">
        <f t="shared" si="181"/>
        <v>-1.97150856558694+3.06997942369513i</v>
      </c>
      <c r="AQ238">
        <f t="shared" si="182"/>
        <v>11.242309013001561</v>
      </c>
      <c r="AR238" s="44">
        <f t="shared" si="183"/>
        <v>122.70815105461844</v>
      </c>
      <c r="AS238" s="42" t="str">
        <f t="shared" si="184"/>
        <v>7.95496535992138+4.9098450180757i</v>
      </c>
      <c r="AT238" s="20">
        <f t="shared" si="185"/>
        <v>19.414520583292592</v>
      </c>
      <c r="AU238" s="44">
        <f t="shared" si="186"/>
        <v>31.683095363911217</v>
      </c>
    </row>
    <row r="239" spans="14:47" x14ac:dyDescent="0.3">
      <c r="N239" s="8">
        <v>21</v>
      </c>
      <c r="O239" s="35">
        <f t="shared" si="187"/>
        <v>1621.8100973589308</v>
      </c>
      <c r="P239" s="34" t="str">
        <f t="shared" si="155"/>
        <v>545.10556621881</v>
      </c>
      <c r="Q239" s="4" t="str">
        <f t="shared" si="156"/>
        <v>1+217.689413552958i</v>
      </c>
      <c r="R239" s="4">
        <f t="shared" si="164"/>
        <v>217.69171039116483</v>
      </c>
      <c r="S239" s="4">
        <f t="shared" si="165"/>
        <v>1.5662026584591728</v>
      </c>
      <c r="T239" s="4" t="str">
        <f t="shared" si="157"/>
        <v>1+0.00509506668738055i</v>
      </c>
      <c r="U239" s="4">
        <f t="shared" si="166"/>
        <v>1.0000129797680373</v>
      </c>
      <c r="V239" s="4">
        <f t="shared" si="167"/>
        <v>5.095022599258636E-3</v>
      </c>
      <c r="W239" t="str">
        <f t="shared" si="158"/>
        <v>1-0.0052927552748509i</v>
      </c>
      <c r="X239" s="4">
        <f t="shared" si="168"/>
        <v>1.0000140065311083</v>
      </c>
      <c r="Y239" s="4">
        <f t="shared" si="169"/>
        <v>-5.2927058532411878E-3</v>
      </c>
      <c r="Z239" t="str">
        <f t="shared" si="159"/>
        <v>0.999831662848519+0.0229199468238472i</v>
      </c>
      <c r="AA239" s="4">
        <f t="shared" si="170"/>
        <v>1.0000943345489177</v>
      </c>
      <c r="AB239" s="4">
        <f t="shared" si="171"/>
        <v>2.2919791524330699E-2</v>
      </c>
      <c r="AC239" s="48" t="str">
        <f t="shared" si="172"/>
        <v>-0.0463783053302921-2.50342718355292i</v>
      </c>
      <c r="AD239" s="20">
        <f t="shared" si="173"/>
        <v>7.9721895604546935</v>
      </c>
      <c r="AE239" s="44">
        <f t="shared" si="174"/>
        <v>-91.061335929677611</v>
      </c>
      <c r="AF239" t="str">
        <f t="shared" si="160"/>
        <v>-0.0000333790427773504</v>
      </c>
      <c r="AG239" t="str">
        <f t="shared" si="161"/>
        <v>0.0000552305228912053i</v>
      </c>
      <c r="AH239">
        <f t="shared" si="175"/>
        <v>5.5230522891205301E-5</v>
      </c>
      <c r="AI239">
        <f t="shared" si="176"/>
        <v>1.5707963267948966</v>
      </c>
      <c r="AJ239" t="str">
        <f t="shared" si="162"/>
        <v>1+1.2724506029591i</v>
      </c>
      <c r="AK239">
        <f t="shared" si="177"/>
        <v>1.6183728053112414</v>
      </c>
      <c r="AL239">
        <f t="shared" si="178"/>
        <v>0.90472146940950515</v>
      </c>
      <c r="AM239" t="str">
        <f t="shared" si="163"/>
        <v>1+9.57872537227546i</v>
      </c>
      <c r="AN239">
        <f t="shared" si="179"/>
        <v>9.6307829254673596</v>
      </c>
      <c r="AO239">
        <f t="shared" si="180"/>
        <v>1.4667751180403417</v>
      </c>
      <c r="AP239" s="42" t="str">
        <f t="shared" si="181"/>
        <v>-1.91665467347916+3.04320701820908i</v>
      </c>
      <c r="AQ239">
        <f t="shared" si="182"/>
        <v>11.117554905419595</v>
      </c>
      <c r="AR239" s="44">
        <f t="shared" si="183"/>
        <v>122.20330192647585</v>
      </c>
      <c r="AS239" s="42" t="str">
        <f t="shared" si="184"/>
        <v>7.70733837022298+4.65706662679769i</v>
      </c>
      <c r="AT239" s="20">
        <f t="shared" si="185"/>
        <v>19.089744465874286</v>
      </c>
      <c r="AU239" s="44">
        <f t="shared" si="186"/>
        <v>31.141965996798252</v>
      </c>
    </row>
    <row r="240" spans="14:47" x14ac:dyDescent="0.3">
      <c r="N240" s="8">
        <v>22</v>
      </c>
      <c r="O240" s="35">
        <f t="shared" si="187"/>
        <v>1659.5869074375626</v>
      </c>
      <c r="P240" s="34" t="str">
        <f t="shared" si="155"/>
        <v>545.10556621881</v>
      </c>
      <c r="Q240" s="4" t="str">
        <f t="shared" si="156"/>
        <v>1+222.76005138245i</v>
      </c>
      <c r="R240" s="4">
        <f t="shared" si="164"/>
        <v>222.76229593876911</v>
      </c>
      <c r="S240" s="4">
        <f t="shared" si="165"/>
        <v>1.5663072216953504</v>
      </c>
      <c r="T240" s="4" t="str">
        <f t="shared" si="157"/>
        <v>1+0.00521374603639965i</v>
      </c>
      <c r="U240" s="4">
        <f t="shared" si="166"/>
        <v>1.0000135914815018</v>
      </c>
      <c r="V240" s="4">
        <f t="shared" si="167"/>
        <v>5.2136987951605651E-3</v>
      </c>
      <c r="W240" t="str">
        <f t="shared" si="158"/>
        <v>1-0.00541603938261194i</v>
      </c>
      <c r="X240" s="4">
        <f t="shared" si="168"/>
        <v>1.0000146666337419</v>
      </c>
      <c r="Y240" s="4">
        <f t="shared" si="169"/>
        <v>-5.4159864264449837E-3</v>
      </c>
      <c r="Z240" t="str">
        <f t="shared" si="159"/>
        <v>0.999823729362986+0.0234538209682904i</v>
      </c>
      <c r="AA240" s="4">
        <f t="shared" si="170"/>
        <v>1.0000987808788302</v>
      </c>
      <c r="AB240" s="4">
        <f t="shared" si="171"/>
        <v>2.3453654556189443E-2</v>
      </c>
      <c r="AC240" s="48" t="str">
        <f t="shared" si="172"/>
        <v>-0.0468956074743997-2.44640597067218i</v>
      </c>
      <c r="AD240" s="20">
        <f t="shared" si="173"/>
        <v>7.7721661151820172</v>
      </c>
      <c r="AE240" s="44">
        <f t="shared" si="174"/>
        <v>-91.098178871753078</v>
      </c>
      <c r="AF240" t="str">
        <f t="shared" si="160"/>
        <v>-0.0000333790427773504</v>
      </c>
      <c r="AG240" t="str">
        <f t="shared" si="161"/>
        <v>0.0000565170070345722i</v>
      </c>
      <c r="AH240">
        <f t="shared" si="175"/>
        <v>5.6517007034572199E-5</v>
      </c>
      <c r="AI240">
        <f t="shared" si="176"/>
        <v>1.5707963267948966</v>
      </c>
      <c r="AJ240" t="str">
        <f t="shared" si="162"/>
        <v>1+1.30208978503147i</v>
      </c>
      <c r="AK240">
        <f t="shared" si="177"/>
        <v>1.6417788548654475</v>
      </c>
      <c r="AL240">
        <f t="shared" si="178"/>
        <v>0.91587678835938946</v>
      </c>
      <c r="AM240" t="str">
        <f t="shared" si="163"/>
        <v>1+9.80184254843136i</v>
      </c>
      <c r="AN240">
        <f t="shared" si="179"/>
        <v>9.8527213166840042</v>
      </c>
      <c r="AO240">
        <f t="shared" si="180"/>
        <v>1.4691264590140729</v>
      </c>
      <c r="AP240" s="42" t="str">
        <f t="shared" si="181"/>
        <v>-1.86239458714671+3.01560670909269i</v>
      </c>
      <c r="AQ240">
        <f t="shared" si="182"/>
        <v>10.990725285617751</v>
      </c>
      <c r="AR240" s="44">
        <f t="shared" si="183"/>
        <v>121.69887114551615</v>
      </c>
      <c r="AS240" s="42" t="str">
        <f t="shared" si="184"/>
        <v>7.46473638384472+4.41475452921648i</v>
      </c>
      <c r="AT240" s="20">
        <f t="shared" si="185"/>
        <v>18.762891400799766</v>
      </c>
      <c r="AU240" s="44">
        <f t="shared" si="186"/>
        <v>30.600692273763052</v>
      </c>
    </row>
    <row r="241" spans="14:47" x14ac:dyDescent="0.3">
      <c r="N241" s="8">
        <v>23</v>
      </c>
      <c r="O241" s="35">
        <f t="shared" si="187"/>
        <v>1698.2436524617447</v>
      </c>
      <c r="P241" s="34" t="str">
        <f t="shared" si="155"/>
        <v>545.10556621881</v>
      </c>
      <c r="Q241" s="4" t="str">
        <f t="shared" si="156"/>
        <v>1+227.948799539761i</v>
      </c>
      <c r="R241" s="4">
        <f t="shared" si="164"/>
        <v>227.950993004238</v>
      </c>
      <c r="S241" s="4">
        <f t="shared" si="165"/>
        <v>1.5664094048765411</v>
      </c>
      <c r="T241" s="4" t="str">
        <f t="shared" si="157"/>
        <v>1+0.0053351897825793i</v>
      </c>
      <c r="U241" s="4">
        <f t="shared" si="166"/>
        <v>1.0000142320237329</v>
      </c>
      <c r="V241" s="4">
        <f t="shared" si="167"/>
        <v>5.3351391627185262E-3</v>
      </c>
      <c r="W241" t="str">
        <f t="shared" si="158"/>
        <v>1-0.00554219514614336i</v>
      </c>
      <c r="X241" s="4">
        <f t="shared" si="168"/>
        <v>1.0000153578455873</v>
      </c>
      <c r="Y241" s="4">
        <f t="shared" si="169"/>
        <v>-5.5421384026352015E-3</v>
      </c>
      <c r="Z241" t="str">
        <f t="shared" si="159"/>
        <v>0.9998154219838+0.0240001306390589i</v>
      </c>
      <c r="AA241" s="4">
        <f t="shared" si="170"/>
        <v>1.000103436804082</v>
      </c>
      <c r="AB241" s="4">
        <f t="shared" si="171"/>
        <v>2.3999952318917276E-2</v>
      </c>
      <c r="AC241" s="48" t="str">
        <f t="shared" si="172"/>
        <v>-0.0473895870445273-2.39068166569603i</v>
      </c>
      <c r="AD241" s="20">
        <f t="shared" si="173"/>
        <v>7.5721411847119811</v>
      </c>
      <c r="AE241" s="44">
        <f t="shared" si="174"/>
        <v>-91.135604048223612</v>
      </c>
      <c r="AF241" t="str">
        <f t="shared" si="160"/>
        <v>-0.0000333790427773504</v>
      </c>
      <c r="AG241" t="str">
        <f t="shared" si="161"/>
        <v>0.0000578334572431598i</v>
      </c>
      <c r="AH241">
        <f t="shared" si="175"/>
        <v>5.7833457243159798E-5</v>
      </c>
      <c r="AI241">
        <f t="shared" si="176"/>
        <v>1.5707963267948966</v>
      </c>
      <c r="AJ241" t="str">
        <f t="shared" si="162"/>
        <v>1+1.33241935234305i</v>
      </c>
      <c r="AK241">
        <f t="shared" si="177"/>
        <v>1.6659355721330498</v>
      </c>
      <c r="AL241">
        <f t="shared" si="178"/>
        <v>0.92696604044321995</v>
      </c>
      <c r="AM241" t="str">
        <f t="shared" si="163"/>
        <v>1+10.0301567912491i</v>
      </c>
      <c r="AN241">
        <f t="shared" si="179"/>
        <v>10.079883196597095</v>
      </c>
      <c r="AO241">
        <f t="shared" si="180"/>
        <v>1.4714253675278346</v>
      </c>
      <c r="AP241" s="42" t="str">
        <f t="shared" si="181"/>
        <v>-1.80877527710659+2.98720518778333i</v>
      </c>
      <c r="AQ241">
        <f t="shared" si="182"/>
        <v>10.861840424265786</v>
      </c>
      <c r="AR241" s="44">
        <f t="shared" si="183"/>
        <v>121.19522155848118</v>
      </c>
      <c r="AS241" s="42" t="str">
        <f t="shared" si="184"/>
        <v>7.22717378754411+4.18264347207666i</v>
      </c>
      <c r="AT241" s="20">
        <f t="shared" si="185"/>
        <v>18.433981608977771</v>
      </c>
      <c r="AU241" s="44">
        <f t="shared" si="186"/>
        <v>30.059617510257556</v>
      </c>
    </row>
    <row r="242" spans="14:47" x14ac:dyDescent="0.3">
      <c r="N242" s="8">
        <v>24</v>
      </c>
      <c r="O242" s="35">
        <f t="shared" si="187"/>
        <v>1737.8008287493772</v>
      </c>
      <c r="P242" s="34" t="str">
        <f t="shared" si="155"/>
        <v>545.10556621881</v>
      </c>
      <c r="Q242" s="4" t="str">
        <f t="shared" si="156"/>
        <v>1+233.258409167848i</v>
      </c>
      <c r="R242" s="4">
        <f t="shared" si="164"/>
        <v>233.26055270344187</v>
      </c>
      <c r="S242" s="4">
        <f t="shared" si="165"/>
        <v>1.5665092621730796</v>
      </c>
      <c r="T242" s="4" t="str">
        <f t="shared" si="157"/>
        <v>1+0.0054594623170013i</v>
      </c>
      <c r="U242" s="4">
        <f t="shared" si="166"/>
        <v>1.0000149027533494</v>
      </c>
      <c r="V242" s="4">
        <f t="shared" si="167"/>
        <v>5.459408076886909E-3</v>
      </c>
      <c r="W242" t="str">
        <f t="shared" si="158"/>
        <v>1-0.00567128945490093i</v>
      </c>
      <c r="X242" s="4">
        <f t="shared" si="168"/>
        <v>1.000016081632731</v>
      </c>
      <c r="Y242" s="4">
        <f t="shared" si="169"/>
        <v>-5.671228653189299E-3</v>
      </c>
      <c r="Z242" t="str">
        <f t="shared" si="159"/>
        <v>0.999806723089894+0.0245591654967717i</v>
      </c>
      <c r="AA242" s="4">
        <f t="shared" si="170"/>
        <v>1.0001083122070578</v>
      </c>
      <c r="AB242" s="4">
        <f t="shared" si="171"/>
        <v>2.4558974416158359E-2</v>
      </c>
      <c r="AC242" s="48" t="str">
        <f t="shared" si="172"/>
        <v>-0.0478612917136278-2.33622473685214i</v>
      </c>
      <c r="AD242" s="20">
        <f t="shared" si="173"/>
        <v>7.3721147161301239</v>
      </c>
      <c r="AE242" s="44">
        <f t="shared" si="174"/>
        <v>-91.173631298921819</v>
      </c>
      <c r="AF242" t="str">
        <f t="shared" si="160"/>
        <v>-0.0000333790427773504</v>
      </c>
      <c r="AG242" t="str">
        <f t="shared" si="161"/>
        <v>0.0000591805715162941i</v>
      </c>
      <c r="AH242">
        <f t="shared" si="175"/>
        <v>5.9180571516294101E-5</v>
      </c>
      <c r="AI242">
        <f t="shared" si="176"/>
        <v>1.5707963267948966</v>
      </c>
      <c r="AJ242" t="str">
        <f t="shared" si="162"/>
        <v>1+1.36345538603191i</v>
      </c>
      <c r="AK242">
        <f t="shared" si="177"/>
        <v>1.6908609019370651</v>
      </c>
      <c r="AL242">
        <f t="shared" si="178"/>
        <v>0.93798419647424403</v>
      </c>
      <c r="AM242" t="str">
        <f t="shared" si="163"/>
        <v>1+10.2637891559625i</v>
      </c>
      <c r="AN242">
        <f t="shared" si="179"/>
        <v>10.312389046096612</v>
      </c>
      <c r="AO242">
        <f t="shared" si="180"/>
        <v>1.4736729652425924</v>
      </c>
      <c r="AP242" s="42" t="str">
        <f t="shared" si="181"/>
        <v>-1.7558412697818+2.95803152069731i</v>
      </c>
      <c r="AQ242">
        <f t="shared" si="182"/>
        <v>10.730922602130818</v>
      </c>
      <c r="AR242" s="44">
        <f t="shared" si="183"/>
        <v>120.69270558298587</v>
      </c>
      <c r="AS242" s="42" t="str">
        <f t="shared" si="184"/>
        <v>6.99466324225726+3.96046459893991i</v>
      </c>
      <c r="AT242" s="20">
        <f t="shared" si="185"/>
        <v>18.103037318260938</v>
      </c>
      <c r="AU242" s="44">
        <f t="shared" si="186"/>
        <v>29.519074284064025</v>
      </c>
    </row>
    <row r="243" spans="14:47" x14ac:dyDescent="0.3">
      <c r="N243" s="8">
        <v>25</v>
      </c>
      <c r="O243" s="35">
        <f t="shared" si="187"/>
        <v>1778.2794100389244</v>
      </c>
      <c r="P243" s="34" t="str">
        <f t="shared" si="155"/>
        <v>545.10556621881</v>
      </c>
      <c r="Q243" s="4" t="str">
        <f t="shared" si="156"/>
        <v>1+238.691695492017i</v>
      </c>
      <c r="R243" s="4">
        <f t="shared" si="164"/>
        <v>238.69379023521697</v>
      </c>
      <c r="S243" s="4">
        <f t="shared" si="165"/>
        <v>1.5666068465226559</v>
      </c>
      <c r="T243" s="4" t="str">
        <f t="shared" si="157"/>
        <v>1+0.0055866295306083i</v>
      </c>
      <c r="U243" s="4">
        <f t="shared" si="166"/>
        <v>1.0000156050929967</v>
      </c>
      <c r="V243" s="4">
        <f t="shared" si="167"/>
        <v>5.5865714113275946E-3</v>
      </c>
      <c r="W243" t="str">
        <f t="shared" si="158"/>
        <v>1-0.00580339075639589i</v>
      </c>
      <c r="X243" s="4">
        <f t="shared" si="168"/>
        <v>1.0000168395303508</v>
      </c>
      <c r="Y243" s="4">
        <f t="shared" si="169"/>
        <v>-5.8033256062473377E-3</v>
      </c>
      <c r="Z243" t="str">
        <f t="shared" si="159"/>
        <v>0.999797614229749+0.0251312219491099i</v>
      </c>
      <c r="AA243" s="4">
        <f t="shared" si="170"/>
        <v>1.0001134174363193</v>
      </c>
      <c r="AB243" s="4">
        <f t="shared" si="171"/>
        <v>2.513101719453379E-2</v>
      </c>
      <c r="AC243" s="48" t="str">
        <f t="shared" si="172"/>
        <v>-0.0483117219175257-2.28300632341741i</v>
      </c>
      <c r="AD243" s="20">
        <f t="shared" si="173"/>
        <v>7.1720866532565131</v>
      </c>
      <c r="AE243" s="44">
        <f t="shared" si="174"/>
        <v>-91.212280782725429</v>
      </c>
      <c r="AF243" t="str">
        <f t="shared" si="160"/>
        <v>-0.0000333790427773504</v>
      </c>
      <c r="AG243" t="str">
        <f t="shared" si="161"/>
        <v>0.0000605590641117937i</v>
      </c>
      <c r="AH243">
        <f t="shared" si="175"/>
        <v>6.0559064111793701E-5</v>
      </c>
      <c r="AI243">
        <f t="shared" si="176"/>
        <v>1.5707963267948966</v>
      </c>
      <c r="AJ243" t="str">
        <f t="shared" si="162"/>
        <v>1+1.39521434181391i</v>
      </c>
      <c r="AK243">
        <f t="shared" si="177"/>
        <v>1.7165730568790896</v>
      </c>
      <c r="AL243">
        <f t="shared" si="178"/>
        <v>0.94892639796169165</v>
      </c>
      <c r="AM243" t="str">
        <f t="shared" si="163"/>
        <v>1+10.5028635175436i</v>
      </c>
      <c r="AN243">
        <f t="shared" si="179"/>
        <v>10.550362177107871</v>
      </c>
      <c r="AO243">
        <f t="shared" si="180"/>
        <v>1.4758703529810815</v>
      </c>
      <c r="AP243" s="42" t="str">
        <f t="shared" si="181"/>
        <v>-1.70363452759153+2.92811694139112i</v>
      </c>
      <c r="AQ243">
        <f t="shared" si="182"/>
        <v>10.597996002513408</v>
      </c>
      <c r="AR243" s="44">
        <f t="shared" si="183"/>
        <v>120.19166466254259</v>
      </c>
      <c r="AS243" s="42" t="str">
        <f t="shared" si="184"/>
        <v>6.76721501044767+3.74794602786921i</v>
      </c>
      <c r="AT243" s="20">
        <f t="shared" si="185"/>
        <v>17.770082655769919</v>
      </c>
      <c r="AU243" s="44">
        <f t="shared" si="186"/>
        <v>28.97938387981716</v>
      </c>
    </row>
    <row r="244" spans="14:47" x14ac:dyDescent="0.3">
      <c r="N244" s="8">
        <v>26</v>
      </c>
      <c r="O244" s="35">
        <f t="shared" si="187"/>
        <v>1819.7008586099832</v>
      </c>
      <c r="P244" s="34" t="str">
        <f t="shared" si="155"/>
        <v>545.10556621881</v>
      </c>
      <c r="Q244" s="4" t="str">
        <f t="shared" si="156"/>
        <v>1+244.251539312591i</v>
      </c>
      <c r="R244" s="4">
        <f t="shared" si="164"/>
        <v>244.25358637401865</v>
      </c>
      <c r="S244" s="4">
        <f t="shared" si="165"/>
        <v>1.5667022096583454</v>
      </c>
      <c r="T244" s="4" t="str">
        <f t="shared" si="157"/>
        <v>1+0.00571675884914015i</v>
      </c>
      <c r="U244" s="4">
        <f t="shared" si="166"/>
        <v>1.0000163405323632</v>
      </c>
      <c r="V244" s="4">
        <f t="shared" si="167"/>
        <v>5.7166965732638273E-3</v>
      </c>
      <c r="W244" t="str">
        <f t="shared" si="158"/>
        <v>1-0.00593856909248677i</v>
      </c>
      <c r="X244" s="4">
        <f t="shared" si="168"/>
        <v>1.0000176331459691</v>
      </c>
      <c r="Y244" s="4">
        <f t="shared" si="169"/>
        <v>-5.9384992829113392E-3</v>
      </c>
      <c r="Z244" t="str">
        <f t="shared" si="159"/>
        <v>0.999788076082251+0.0257166033079762i</v>
      </c>
      <c r="AA244" s="4">
        <f t="shared" si="170"/>
        <v>1.0001187633286104</v>
      </c>
      <c r="AB244" s="4">
        <f t="shared" si="171"/>
        <v>2.5716383900507782E-2</v>
      </c>
      <c r="AC244" s="48" t="str">
        <f t="shared" si="172"/>
        <v>-0.048741832976015-2.23099822047793i</v>
      </c>
      <c r="AD244" s="20">
        <f t="shared" si="173"/>
        <v>6.9720569365261307</v>
      </c>
      <c r="AE244" s="44">
        <f t="shared" si="174"/>
        <v>-91.251572988228048</v>
      </c>
      <c r="AF244" t="str">
        <f t="shared" si="160"/>
        <v>-0.0000333790427773504</v>
      </c>
      <c r="AG244" t="str">
        <f t="shared" si="161"/>
        <v>0.0000619696659246794i</v>
      </c>
      <c r="AH244">
        <f t="shared" si="175"/>
        <v>6.1969665924679402E-5</v>
      </c>
      <c r="AI244">
        <f t="shared" si="176"/>
        <v>1.5707963267948966</v>
      </c>
      <c r="AJ244" t="str">
        <f t="shared" si="162"/>
        <v>1+1.42771305870777i</v>
      </c>
      <c r="AK244">
        <f t="shared" si="177"/>
        <v>1.7430905249024493</v>
      </c>
      <c r="AL244">
        <f t="shared" si="178"/>
        <v>0.95978796582682158</v>
      </c>
      <c r="AM244" t="str">
        <f t="shared" si="163"/>
        <v>1+10.7475066363835i</v>
      </c>
      <c r="AN244">
        <f t="shared" si="179"/>
        <v>10.793928798130334</v>
      </c>
      <c r="AO244">
        <f t="shared" si="180"/>
        <v>1.4780186108997344</v>
      </c>
      <c r="AP244" s="42" t="str">
        <f t="shared" si="181"/>
        <v>-1.65219434839319+2.89749463668821i</v>
      </c>
      <c r="AQ244">
        <f t="shared" si="182"/>
        <v>10.463086599581848</v>
      </c>
      <c r="AR244" s="44">
        <f t="shared" si="183"/>
        <v>119.69242877702008</v>
      </c>
      <c r="AS244" s="42" t="str">
        <f t="shared" si="184"/>
        <v>6.54483635926904+3.54481345151854i</v>
      </c>
      <c r="AT244" s="20">
        <f t="shared" si="185"/>
        <v>17.435143536107976</v>
      </c>
      <c r="AU244" s="44">
        <f t="shared" si="186"/>
        <v>28.440855788791996</v>
      </c>
    </row>
    <row r="245" spans="14:47" x14ac:dyDescent="0.3">
      <c r="N245" s="8">
        <v>27</v>
      </c>
      <c r="O245" s="35">
        <f t="shared" si="187"/>
        <v>1862.0871366628687</v>
      </c>
      <c r="P245" s="34" t="str">
        <f t="shared" si="155"/>
        <v>545.10556621881</v>
      </c>
      <c r="Q245" s="4" t="str">
        <f t="shared" si="156"/>
        <v>1+249.940888532361i</v>
      </c>
      <c r="R245" s="4">
        <f t="shared" si="164"/>
        <v>249.94288899735898</v>
      </c>
      <c r="S245" s="4">
        <f t="shared" si="165"/>
        <v>1.5667954021360029</v>
      </c>
      <c r="T245" s="4" t="str">
        <f t="shared" si="157"/>
        <v>1+0.0058499192688841i</v>
      </c>
      <c r="U245" s="4">
        <f t="shared" si="166"/>
        <v>1.0000171106313394</v>
      </c>
      <c r="V245" s="4">
        <f t="shared" si="167"/>
        <v>5.8498525391420348E-3</v>
      </c>
      <c r="W245" t="str">
        <f t="shared" si="158"/>
        <v>1-0.00607689613651679i</v>
      </c>
      <c r="X245" s="4">
        <f t="shared" si="168"/>
        <v>1.0000184641628642</v>
      </c>
      <c r="Y245" s="4">
        <f t="shared" si="169"/>
        <v>-6.0768213342836186E-3</v>
      </c>
      <c r="Z245" t="str">
        <f t="shared" si="159"/>
        <v>0.99977808841571+0.0263156199503161i</v>
      </c>
      <c r="AA245" s="4">
        <f t="shared" si="170"/>
        <v>1.0001243612319124</v>
      </c>
      <c r="AB245" s="4">
        <f t="shared" si="171"/>
        <v>2.6315384840894258E-2</v>
      </c>
      <c r="AC245" s="48" t="str">
        <f t="shared" si="172"/>
        <v>-0.0491525371183509-2.18017286403248i</v>
      </c>
      <c r="AD245" s="20">
        <f t="shared" si="173"/>
        <v>6.7720255028618794</v>
      </c>
      <c r="AE245" s="44">
        <f t="shared" si="174"/>
        <v>-91.291528744584141</v>
      </c>
      <c r="AF245" t="str">
        <f t="shared" si="160"/>
        <v>-0.0000333790427773504</v>
      </c>
      <c r="AG245" t="str">
        <f t="shared" si="161"/>
        <v>0.0000634131248747039i</v>
      </c>
      <c r="AH245">
        <f t="shared" si="175"/>
        <v>6.3413124874703904E-5</v>
      </c>
      <c r="AI245">
        <f t="shared" si="176"/>
        <v>1.5707963267948966</v>
      </c>
      <c r="AJ245" t="str">
        <f t="shared" si="162"/>
        <v>1+1.46096876796338i</v>
      </c>
      <c r="AK245">
        <f t="shared" si="177"/>
        <v>1.7704320774783868</v>
      </c>
      <c r="AL245">
        <f t="shared" si="178"/>
        <v>0.97056440814473099</v>
      </c>
      <c r="AM245" t="str">
        <f t="shared" si="163"/>
        <v>1+10.9978482255021i</v>
      </c>
      <c r="AN245">
        <f t="shared" si="179"/>
        <v>11.043218081301287</v>
      </c>
      <c r="AO245">
        <f t="shared" si="180"/>
        <v>1.4801187986757109</v>
      </c>
      <c r="AP245" s="42" t="str">
        <f t="shared" si="181"/>
        <v>-1.6015572844178+2.86619952878815i</v>
      </c>
      <c r="AQ245">
        <f t="shared" si="182"/>
        <v>10.326222043369505</v>
      </c>
      <c r="AR245" s="44">
        <f t="shared" si="183"/>
        <v>119.1953160097861</v>
      </c>
      <c r="AS245" s="42" t="str">
        <f t="shared" si="184"/>
        <v>6.32753103943612+3.35079075295388i</v>
      </c>
      <c r="AT245" s="20">
        <f t="shared" si="185"/>
        <v>17.098247546231391</v>
      </c>
      <c r="AU245" s="44">
        <f t="shared" si="186"/>
        <v>27.903787265201991</v>
      </c>
    </row>
    <row r="246" spans="14:47" x14ac:dyDescent="0.3">
      <c r="N246" s="8">
        <v>28</v>
      </c>
      <c r="O246" s="35">
        <f t="shared" si="187"/>
        <v>1905.4607179632501</v>
      </c>
      <c r="P246" s="34" t="str">
        <f t="shared" si="155"/>
        <v>545.10556621881</v>
      </c>
      <c r="Q246" s="4" t="str">
        <f t="shared" si="156"/>
        <v>1+255.762759719592i</v>
      </c>
      <c r="R246" s="4">
        <f t="shared" si="164"/>
        <v>255.76471464879936</v>
      </c>
      <c r="S246" s="4">
        <f t="shared" si="165"/>
        <v>1.5668864733610353</v>
      </c>
      <c r="T246" s="4" t="str">
        <f t="shared" si="157"/>
        <v>1+0.0059861813932573i</v>
      </c>
      <c r="U246" s="4">
        <f t="shared" si="166"/>
        <v>1.0000179170233265</v>
      </c>
      <c r="V246" s="4">
        <f t="shared" si="167"/>
        <v>5.9861098911196328E-3</v>
      </c>
      <c r="W246" t="str">
        <f t="shared" si="158"/>
        <v>1-0.00621844523131567i</v>
      </c>
      <c r="X246" s="4">
        <f t="shared" si="168"/>
        <v>1.000019334343639</v>
      </c>
      <c r="Y246" s="4">
        <f t="shared" si="169"/>
        <v>-6.2183650793624472E-3</v>
      </c>
      <c r="Z246" t="str">
        <f t="shared" si="159"/>
        <v>0.999767630044947+0.0269285894826823i</v>
      </c>
      <c r="AA246" s="4">
        <f t="shared" si="170"/>
        <v>1.0001302230295896</v>
      </c>
      <c r="AB246" s="4">
        <f t="shared" si="171"/>
        <v>2.6928337547084038E-2</v>
      </c>
      <c r="AC246" s="48" t="str">
        <f t="shared" si="172"/>
        <v>-0.049544705417406-2.13050331643216i</v>
      </c>
      <c r="AD246" s="20">
        <f t="shared" si="173"/>
        <v>6.5719922855407917</v>
      </c>
      <c r="AE246" s="44">
        <f t="shared" si="174"/>
        <v>-91.33216923253292</v>
      </c>
      <c r="AF246" t="str">
        <f t="shared" si="160"/>
        <v>-0.0000333790427773504</v>
      </c>
      <c r="AG246" t="str">
        <f t="shared" si="161"/>
        <v>0.0000648902063029089i</v>
      </c>
      <c r="AH246">
        <f t="shared" si="175"/>
        <v>6.4890206302908903E-5</v>
      </c>
      <c r="AI246">
        <f t="shared" si="176"/>
        <v>1.5707963267948966</v>
      </c>
      <c r="AJ246" t="str">
        <f t="shared" si="162"/>
        <v>1+1.49499910219799i</v>
      </c>
      <c r="AK246">
        <f t="shared" si="177"/>
        <v>1.7986167784085627</v>
      </c>
      <c r="AL246">
        <f t="shared" si="178"/>
        <v>0.98125142689764544</v>
      </c>
      <c r="AM246" t="str">
        <f t="shared" si="163"/>
        <v>1+11.2540210193238i</v>
      </c>
      <c r="AN246">
        <f t="shared" si="179"/>
        <v>11.298362231021889</v>
      </c>
      <c r="AO246">
        <f t="shared" si="180"/>
        <v>1.4821719557075559</v>
      </c>
      <c r="AP246" s="42" t="str">
        <f t="shared" si="181"/>
        <v>-1.55175708061495+2.83426805533467i</v>
      </c>
      <c r="AQ246">
        <f t="shared" si="182"/>
        <v>10.187431542204424</v>
      </c>
      <c r="AR246" s="44">
        <f t="shared" si="183"/>
        <v>118.70063217226922</v>
      </c>
      <c r="AS246" s="42" t="str">
        <f t="shared" si="184"/>
        <v>6.11529883898668+3.16560063067172i</v>
      </c>
      <c r="AT246" s="20">
        <f t="shared" si="185"/>
        <v>16.759423827745213</v>
      </c>
      <c r="AU246" s="44">
        <f t="shared" si="186"/>
        <v>27.368462939736347</v>
      </c>
    </row>
    <row r="247" spans="14:47" x14ac:dyDescent="0.3">
      <c r="N247" s="8">
        <v>29</v>
      </c>
      <c r="O247" s="35">
        <f t="shared" si="187"/>
        <v>1949.8445997580463</v>
      </c>
      <c r="P247" s="34" t="str">
        <f t="shared" si="155"/>
        <v>545.10556621881</v>
      </c>
      <c r="Q247" s="4" t="str">
        <f t="shared" si="156"/>
        <v>1+261.720239707443i</v>
      </c>
      <c r="R247" s="4">
        <f t="shared" si="164"/>
        <v>261.7221501373574</v>
      </c>
      <c r="S247" s="4">
        <f t="shared" si="165"/>
        <v>1.566975471614565</v>
      </c>
      <c r="T247" s="4" t="str">
        <f t="shared" si="157"/>
        <v>1+0.0061256174702416i</v>
      </c>
      <c r="U247" s="4">
        <f t="shared" si="166"/>
        <v>1.0000187614187004</v>
      </c>
      <c r="V247" s="4">
        <f t="shared" si="167"/>
        <v>6.1255408543983555E-3</v>
      </c>
      <c r="W247" t="str">
        <f t="shared" si="158"/>
        <v>1-0.00636329142808696i</v>
      </c>
      <c r="X247" s="4">
        <f t="shared" si="168"/>
        <v>1.0000202455339586</v>
      </c>
      <c r="Y247" s="4">
        <f t="shared" si="169"/>
        <v>-6.3632055438156369E-3</v>
      </c>
      <c r="Z247" t="str">
        <f t="shared" si="159"/>
        <v>0.999756678786355+0.0275558369096339i</v>
      </c>
      <c r="AA247" s="4">
        <f t="shared" si="170"/>
        <v>1.0001363611656728</v>
      </c>
      <c r="AB247" s="4">
        <f t="shared" si="171"/>
        <v>2.7555566943082505E-2</v>
      </c>
      <c r="AC247" s="48" t="str">
        <f t="shared" si="172"/>
        <v>-0.0499191696366088-2.08196325214842i</v>
      </c>
      <c r="AD247" s="20">
        <f t="shared" si="173"/>
        <v>6.3719572140521041</v>
      </c>
      <c r="AE247" s="44">
        <f t="shared" si="174"/>
        <v>-91.373515995608017</v>
      </c>
      <c r="AF247" t="str">
        <f t="shared" si="160"/>
        <v>-0.0000333790427773504</v>
      </c>
      <c r="AG247" t="str">
        <f t="shared" si="161"/>
        <v>0.0000664016933774191i</v>
      </c>
      <c r="AH247">
        <f t="shared" si="175"/>
        <v>6.6401693377419097E-5</v>
      </c>
      <c r="AI247">
        <f t="shared" si="176"/>
        <v>1.5707963267948966</v>
      </c>
      <c r="AJ247" t="str">
        <f t="shared" si="162"/>
        <v>1+1.52982210474521i</v>
      </c>
      <c r="AK247">
        <f t="shared" si="177"/>
        <v>1.8276639932348246</v>
      </c>
      <c r="AL247">
        <f t="shared" si="178"/>
        <v>0.99184492373438893</v>
      </c>
      <c r="AM247" t="str">
        <f t="shared" si="163"/>
        <v>1+11.5161608440542i</v>
      </c>
      <c r="AN247">
        <f t="shared" si="179"/>
        <v>11.559496554181205</v>
      </c>
      <c r="AO247">
        <f t="shared" si="180"/>
        <v>1.4841791013280732</v>
      </c>
      <c r="AP247" s="42" t="str">
        <f t="shared" si="181"/>
        <v>-1.50282463210892+2.80173794935039i</v>
      </c>
      <c r="AQ247">
        <f t="shared" si="182"/>
        <v>10.046745743329264</v>
      </c>
      <c r="AR247" s="44">
        <f t="shared" si="183"/>
        <v>118.20867048616255</v>
      </c>
      <c r="AS247" s="42" t="str">
        <f t="shared" si="184"/>
        <v>5.9081352104415+2.98896522650329i</v>
      </c>
      <c r="AT247" s="20">
        <f t="shared" si="185"/>
        <v>16.418702957381363</v>
      </c>
      <c r="AU247" s="44">
        <f t="shared" si="186"/>
        <v>26.835154490554491</v>
      </c>
    </row>
    <row r="248" spans="14:47" x14ac:dyDescent="0.3">
      <c r="N248" s="8">
        <v>30</v>
      </c>
      <c r="O248" s="35">
        <f t="shared" si="187"/>
        <v>1995.2623149688804</v>
      </c>
      <c r="P248" s="34" t="str">
        <f t="shared" si="155"/>
        <v>545.10556621881</v>
      </c>
      <c r="Q248" s="4" t="str">
        <f t="shared" si="156"/>
        <v>1+267.816487230666i</v>
      </c>
      <c r="R248" s="4">
        <f t="shared" si="164"/>
        <v>267.81835417419296</v>
      </c>
      <c r="S248" s="4">
        <f t="shared" si="165"/>
        <v>1.5670624440790015</v>
      </c>
      <c r="T248" s="4" t="str">
        <f t="shared" si="157"/>
        <v>1+0.0062683014306908i</v>
      </c>
      <c r="U248" s="4">
        <f t="shared" si="166"/>
        <v>1.000019645608438</v>
      </c>
      <c r="V248" s="4">
        <f t="shared" si="167"/>
        <v>6.2682193354227818E-3</v>
      </c>
      <c r="W248" t="str">
        <f t="shared" si="158"/>
        <v>1-0.00651151152620158i</v>
      </c>
      <c r="X248" s="4">
        <f t="shared" si="168"/>
        <v>1.000021199666465</v>
      </c>
      <c r="Y248" s="4">
        <f t="shared" si="169"/>
        <v>-6.511419499652206E-3</v>
      </c>
      <c r="Z248" t="str">
        <f t="shared" si="159"/>
        <v>0.999745211410846+0.0281976948060597i</v>
      </c>
      <c r="AA248" s="4">
        <f t="shared" si="170"/>
        <v>1.0001427886713441</v>
      </c>
      <c r="AB248" s="4">
        <f t="shared" si="171"/>
        <v>2.8197405517445304E-2</v>
      </c>
      <c r="AC248" s="48" t="str">
        <f t="shared" si="172"/>
        <v>-0.0502767239935646-2.03452694386219i</v>
      </c>
      <c r="AD248" s="20">
        <f t="shared" si="173"/>
        <v>6.1719202139468976</v>
      </c>
      <c r="AE248" s="44">
        <f t="shared" si="174"/>
        <v>-91.415590951538121</v>
      </c>
      <c r="AF248" t="str">
        <f t="shared" si="160"/>
        <v>-0.0000333790427773504</v>
      </c>
      <c r="AG248" t="str">
        <f t="shared" si="161"/>
        <v>0.0000679483875086883i</v>
      </c>
      <c r="AH248">
        <f t="shared" si="175"/>
        <v>6.7948387508688299E-5</v>
      </c>
      <c r="AI248">
        <f t="shared" si="176"/>
        <v>1.5707963267948966</v>
      </c>
      <c r="AJ248" t="str">
        <f t="shared" si="162"/>
        <v>1+1.56545623922197i</v>
      </c>
      <c r="AK248">
        <f t="shared" si="177"/>
        <v>1.8575933992451077</v>
      </c>
      <c r="AL248">
        <f t="shared" si="178"/>
        <v>1.0023410047393251</v>
      </c>
      <c r="AM248" t="str">
        <f t="shared" si="163"/>
        <v>1+11.7844066896987i</v>
      </c>
      <c r="AN248">
        <f t="shared" si="179"/>
        <v>11.826759532019558</v>
      </c>
      <c r="AO248">
        <f t="shared" si="180"/>
        <v>1.4861412350281495</v>
      </c>
      <c r="AP248" s="42" t="str">
        <f t="shared" si="181"/>
        <v>-1.45478796027028+2.76864802085588i</v>
      </c>
      <c r="AQ248">
        <f t="shared" si="182"/>
        <v>9.9041966124576</v>
      </c>
      <c r="AR248" s="44">
        <f t="shared" si="183"/>
        <v>117.71971132300702</v>
      </c>
      <c r="AS248" s="42" t="str">
        <f t="shared" si="184"/>
        <v>5.70603096924968+2.8206067503963i</v>
      </c>
      <c r="AT248" s="20">
        <f t="shared" si="185"/>
        <v>16.076116826404494</v>
      </c>
      <c r="AU248" s="44">
        <f t="shared" si="186"/>
        <v>26.304120371468876</v>
      </c>
    </row>
    <row r="249" spans="14:47" x14ac:dyDescent="0.3">
      <c r="N249" s="8">
        <v>31</v>
      </c>
      <c r="O249" s="35">
        <f t="shared" si="187"/>
        <v>2041.7379446695318</v>
      </c>
      <c r="P249" s="34" t="str">
        <f t="shared" si="155"/>
        <v>545.10556621881</v>
      </c>
      <c r="Q249" s="4" t="str">
        <f t="shared" si="156"/>
        <v>1+274.054734600388i</v>
      </c>
      <c r="R249" s="4">
        <f t="shared" si="164"/>
        <v>274.05655904737819</v>
      </c>
      <c r="S249" s="4">
        <f t="shared" si="165"/>
        <v>1.5671474368630309</v>
      </c>
      <c r="T249" s="4" t="str">
        <f t="shared" si="157"/>
        <v>1+0.0064143089275293i</v>
      </c>
      <c r="U249" s="4">
        <f t="shared" si="166"/>
        <v>1.0000205714679162</v>
      </c>
      <c r="V249" s="4">
        <f t="shared" si="167"/>
        <v>6.4142209609624823E-3</v>
      </c>
      <c r="W249" t="str">
        <f t="shared" si="158"/>
        <v>1-0.00666318411391742i</v>
      </c>
      <c r="X249" s="4">
        <f t="shared" si="168"/>
        <v>1.0000221987648754</v>
      </c>
      <c r="Y249" s="4">
        <f t="shared" si="169"/>
        <v>-6.6630855058113919E-3</v>
      </c>
      <c r="Z249" t="str">
        <f t="shared" si="159"/>
        <v>0.999733203594579+0.0288545034935122i</v>
      </c>
      <c r="AA249" s="4">
        <f t="shared" si="170"/>
        <v>1.0001495191926739</v>
      </c>
      <c r="AB249" s="4">
        <f t="shared" si="171"/>
        <v>2.8854193499196743E-2</v>
      </c>
      <c r="AC249" s="48" t="str">
        <f t="shared" si="172"/>
        <v>-0.0506181268440879-1.98816924886722i</v>
      </c>
      <c r="AD249" s="20">
        <f t="shared" si="173"/>
        <v>5.971881206680024</v>
      </c>
      <c r="AE249" s="44">
        <f t="shared" si="174"/>
        <v>-91.458416403844396</v>
      </c>
      <c r="AF249" t="str">
        <f t="shared" si="160"/>
        <v>-0.0000333790427773504</v>
      </c>
      <c r="AG249" t="str">
        <f t="shared" si="161"/>
        <v>0.0000695311087744179i</v>
      </c>
      <c r="AH249">
        <f t="shared" si="175"/>
        <v>6.9531108774417895E-5</v>
      </c>
      <c r="AI249">
        <f t="shared" si="176"/>
        <v>1.5707963267948966</v>
      </c>
      <c r="AJ249" t="str">
        <f t="shared" si="162"/>
        <v>1+1.60192039931802i</v>
      </c>
      <c r="AK249">
        <f t="shared" si="177"/>
        <v>1.8884249960618515</v>
      </c>
      <c r="AL249">
        <f t="shared" si="178"/>
        <v>1.0127359842219412</v>
      </c>
      <c r="AM249" t="str">
        <f t="shared" si="163"/>
        <v>1+12.0589007837551i</v>
      </c>
      <c r="AN249">
        <f t="shared" si="179"/>
        <v>12.100292893663747</v>
      </c>
      <c r="AO249">
        <f t="shared" si="180"/>
        <v>1.4880593366902626</v>
      </c>
      <c r="AP249" s="42" t="str">
        <f t="shared" si="181"/>
        <v>-1.40767220672733+2.73503794187687i</v>
      </c>
      <c r="AQ249">
        <f t="shared" si="182"/>
        <v>9.7598173129847883</v>
      </c>
      <c r="AR249" s="44">
        <f t="shared" si="183"/>
        <v>117.23402200044397</v>
      </c>
      <c r="AS249" s="42" t="str">
        <f t="shared" si="184"/>
        <v>5.50897206083971+2.66024809643502i</v>
      </c>
      <c r="AT249" s="20">
        <f t="shared" si="185"/>
        <v>15.731698519664821</v>
      </c>
      <c r="AU249" s="44">
        <f t="shared" si="186"/>
        <v>25.775605596599522</v>
      </c>
    </row>
    <row r="250" spans="14:47" x14ac:dyDescent="0.3">
      <c r="N250" s="8">
        <v>32</v>
      </c>
      <c r="O250" s="35">
        <f t="shared" si="187"/>
        <v>2089.2961308540398</v>
      </c>
      <c r="P250" s="34" t="str">
        <f t="shared" si="155"/>
        <v>545.10556621881</v>
      </c>
      <c r="Q250" s="4" t="str">
        <f t="shared" si="156"/>
        <v>1+280.438289417941i</v>
      </c>
      <c r="R250" s="4">
        <f t="shared" si="164"/>
        <v>280.4400723357146</v>
      </c>
      <c r="S250" s="4">
        <f t="shared" si="165"/>
        <v>1.5672304950260374</v>
      </c>
      <c r="T250" s="4" t="str">
        <f t="shared" si="157"/>
        <v>1+0.00656371737586465i</v>
      </c>
      <c r="U250" s="4">
        <f t="shared" si="166"/>
        <v>1.0000215409608886</v>
      </c>
      <c r="V250" s="4">
        <f t="shared" si="167"/>
        <v>6.5636231180997463E-3</v>
      </c>
      <c r="W250" t="str">
        <f t="shared" si="158"/>
        <v>1-0.00681838961004818i</v>
      </c>
      <c r="X250" s="4">
        <f t="shared" si="168"/>
        <v>1.0000232449482733</v>
      </c>
      <c r="Y250" s="4">
        <f t="shared" si="169"/>
        <v>-6.8182839496915646E-3</v>
      </c>
      <c r="Z250" t="str">
        <f t="shared" si="159"/>
        <v>0.999720629867366+0.0295266112206518i</v>
      </c>
      <c r="AA250" s="4">
        <f t="shared" si="170"/>
        <v>1.0001565670196733</v>
      </c>
      <c r="AB250" s="4">
        <f t="shared" si="171"/>
        <v>2.952627903782843E-2</v>
      </c>
      <c r="AC250" s="48" t="str">
        <f t="shared" si="172"/>
        <v>-0.0509441022902301-1.94286559578033i</v>
      </c>
      <c r="AD250" s="20">
        <f t="shared" si="173"/>
        <v>5.7718401094427376</v>
      </c>
      <c r="AE250" s="44">
        <f t="shared" si="174"/>
        <v>-91.502015053641358</v>
      </c>
      <c r="AF250" t="str">
        <f t="shared" si="160"/>
        <v>-0.0000333790427773504</v>
      </c>
      <c r="AG250" t="str">
        <f t="shared" si="161"/>
        <v>0.0000711506963543726i</v>
      </c>
      <c r="AH250">
        <f t="shared" si="175"/>
        <v>7.1150696354372597E-5</v>
      </c>
      <c r="AI250">
        <f t="shared" si="176"/>
        <v>1.5707963267948966</v>
      </c>
      <c r="AJ250" t="str">
        <f t="shared" si="162"/>
        <v>1+1.63923391881372i</v>
      </c>
      <c r="AK250">
        <f t="shared" si="177"/>
        <v>1.9201791167985827</v>
      </c>
      <c r="AL250">
        <f t="shared" si="178"/>
        <v>1.0230263875461059</v>
      </c>
      <c r="AM250" t="str">
        <f t="shared" si="163"/>
        <v>1+12.3397886666256i</v>
      </c>
      <c r="AN250">
        <f t="shared" si="179"/>
        <v>12.380241691379922</v>
      </c>
      <c r="AO250">
        <f t="shared" si="180"/>
        <v>1.489934366830592</v>
      </c>
      <c r="AP250" s="42" t="str">
        <f t="shared" si="181"/>
        <v>-1.3614996444823+2.700948036416i</v>
      </c>
      <c r="AQ250">
        <f t="shared" si="182"/>
        <v>9.6136420855461253</v>
      </c>
      <c r="AR250" s="44">
        <f t="shared" si="183"/>
        <v>116.75185663398274</v>
      </c>
      <c r="AS250" s="42" t="str">
        <f t="shared" si="184"/>
        <v>5.3169393930997+2.50761344488404i</v>
      </c>
      <c r="AT250" s="20">
        <f t="shared" si="185"/>
        <v>15.385482194988862</v>
      </c>
      <c r="AU250" s="44">
        <f t="shared" si="186"/>
        <v>25.249841580341389</v>
      </c>
    </row>
    <row r="251" spans="14:47" x14ac:dyDescent="0.3">
      <c r="N251" s="8">
        <v>33</v>
      </c>
      <c r="O251" s="35">
        <f t="shared" si="187"/>
        <v>2137.9620895022344</v>
      </c>
      <c r="P251" s="34" t="str">
        <f t="shared" si="155"/>
        <v>545.10556621881</v>
      </c>
      <c r="Q251" s="4" t="str">
        <f t="shared" si="156"/>
        <v>1+286.97053632858i</v>
      </c>
      <c r="R251" s="4">
        <f t="shared" si="164"/>
        <v>286.97227866243952</v>
      </c>
      <c r="S251" s="4">
        <f t="shared" si="165"/>
        <v>1.5673116626019721</v>
      </c>
      <c r="T251" s="4" t="str">
        <f t="shared" si="157"/>
        <v>1+0.0067166059940337i</v>
      </c>
      <c r="U251" s="4">
        <f t="shared" si="166"/>
        <v>1.0000225561436498</v>
      </c>
      <c r="V251" s="4">
        <f t="shared" si="167"/>
        <v>6.716504995141973E-3</v>
      </c>
      <c r="W251" t="str">
        <f t="shared" si="158"/>
        <v>1-0.00697721030660219i</v>
      </c>
      <c r="X251" s="4">
        <f t="shared" si="168"/>
        <v>1.0000243404356028</v>
      </c>
      <c r="Y251" s="4">
        <f t="shared" si="169"/>
        <v>-6.9770970896391102E-3</v>
      </c>
      <c r="Z251" t="str">
        <f t="shared" si="159"/>
        <v>0.999707463558646+0.0302143743478912i</v>
      </c>
      <c r="AA251" s="4">
        <f t="shared" si="170"/>
        <v>1.0001639471167194</v>
      </c>
      <c r="AB251" s="4">
        <f t="shared" si="171"/>
        <v>3.021401838746593E-2</v>
      </c>
      <c r="AC251" s="48" t="str">
        <f t="shared" si="172"/>
        <v>-0.0512553417156926-1.89859197155198i</v>
      </c>
      <c r="AD251" s="20">
        <f t="shared" si="173"/>
        <v>5.571796834986797</v>
      </c>
      <c r="AE251" s="44">
        <f t="shared" si="174"/>
        <v>-91.546410011646671</v>
      </c>
      <c r="AF251" t="str">
        <f t="shared" si="160"/>
        <v>-0.0000333790427773504</v>
      </c>
      <c r="AG251" t="str">
        <f t="shared" si="161"/>
        <v>0.0000728080089753254i</v>
      </c>
      <c r="AH251">
        <f t="shared" si="175"/>
        <v>7.2808008975325405E-5</v>
      </c>
      <c r="AI251">
        <f t="shared" si="176"/>
        <v>1.5707963267948966</v>
      </c>
      <c r="AJ251" t="str">
        <f t="shared" si="162"/>
        <v>1+1.677416581831i</v>
      </c>
      <c r="AK251">
        <f t="shared" si="177"/>
        <v>1.9528764397681684</v>
      </c>
      <c r="AL251">
        <f t="shared" si="178"/>
        <v>1.0332089530246469</v>
      </c>
      <c r="AM251" t="str">
        <f t="shared" si="163"/>
        <v>1+12.6272192687834i</v>
      </c>
      <c r="AN251">
        <f t="shared" si="179"/>
        <v>12.666754377579712</v>
      </c>
      <c r="AO251">
        <f t="shared" si="180"/>
        <v>1.4917672668486479</v>
      </c>
      <c r="AP251" s="42" t="str">
        <f t="shared" si="181"/>
        <v>-1.31628970515937+2.66641907682056i</v>
      </c>
      <c r="AQ251">
        <f t="shared" si="182"/>
        <v>9.465706128575091</v>
      </c>
      <c r="AR251" s="44">
        <f t="shared" si="183"/>
        <v>116.27345604275075</v>
      </c>
      <c r="AS251" s="42" t="str">
        <f t="shared" si="184"/>
        <v>5.12990873067935+2.36242884551242i</v>
      </c>
      <c r="AT251" s="20">
        <f t="shared" si="185"/>
        <v>15.037502963561886</v>
      </c>
      <c r="AU251" s="44">
        <f t="shared" si="186"/>
        <v>24.727046031104031</v>
      </c>
    </row>
    <row r="252" spans="14:47" x14ac:dyDescent="0.3">
      <c r="N252" s="8">
        <v>34</v>
      </c>
      <c r="O252" s="35">
        <f t="shared" si="187"/>
        <v>2187.7616239495528</v>
      </c>
      <c r="P252" s="34" t="str">
        <f t="shared" si="155"/>
        <v>545.10556621881</v>
      </c>
      <c r="Q252" s="4" t="str">
        <f t="shared" si="156"/>
        <v>1+293.654938816086i</v>
      </c>
      <c r="R252" s="4">
        <f t="shared" si="164"/>
        <v>293.65664148981745</v>
      </c>
      <c r="S252" s="4">
        <f t="shared" si="165"/>
        <v>1.5673909826226775</v>
      </c>
      <c r="T252" s="4" t="str">
        <f t="shared" si="157"/>
        <v>1+0.0068730558456056i</v>
      </c>
      <c r="U252" s="4">
        <f t="shared" si="166"/>
        <v>1.0000236191693959</v>
      </c>
      <c r="V252" s="4">
        <f t="shared" si="167"/>
        <v>6.8729476234813567E-3</v>
      </c>
      <c r="W252" t="str">
        <f t="shared" si="158"/>
        <v>1-0.00713973041241508i</v>
      </c>
      <c r="X252" s="4">
        <f t="shared" si="168"/>
        <v>1.0000254875503733</v>
      </c>
      <c r="Y252" s="4">
        <f t="shared" si="169"/>
        <v>-7.1396090984204496E-3</v>
      </c>
      <c r="Z252" t="str">
        <f t="shared" si="159"/>
        <v>0.999693676740913+0.0309181575363445i</v>
      </c>
      <c r="AA252" s="4">
        <f t="shared" si="170"/>
        <v>1.0001716751544243</v>
      </c>
      <c r="AB252" s="4">
        <f t="shared" si="171"/>
        <v>3.0917776095305646E-2</v>
      </c>
      <c r="AC252" s="48" t="str">
        <f t="shared" si="172"/>
        <v>-0.051552505251888-1.85532490877015i</v>
      </c>
      <c r="AD252" s="20">
        <f t="shared" si="173"/>
        <v>5.3717512914382928</v>
      </c>
      <c r="AE252" s="44">
        <f t="shared" si="174"/>
        <v>-91.5916248104066</v>
      </c>
      <c r="AF252" t="str">
        <f t="shared" si="160"/>
        <v>-0.0000333790427773504</v>
      </c>
      <c r="AG252" t="str">
        <f t="shared" si="161"/>
        <v>0.0000745039253663646i</v>
      </c>
      <c r="AH252">
        <f t="shared" si="175"/>
        <v>7.4503925366364604E-5</v>
      </c>
      <c r="AI252">
        <f t="shared" si="176"/>
        <v>1.5707963267948966</v>
      </c>
      <c r="AJ252" t="str">
        <f t="shared" si="162"/>
        <v>1+1.7164886333232i</v>
      </c>
      <c r="AK252">
        <f t="shared" si="177"/>
        <v>1.9865380007258222</v>
      </c>
      <c r="AL252">
        <f t="shared" si="178"/>
        <v>1.0432806329113227</v>
      </c>
      <c r="AM252" t="str">
        <f t="shared" si="163"/>
        <v>1+12.9213449897386i</v>
      </c>
      <c r="AN252">
        <f t="shared" si="179"/>
        <v>12.959982883624608</v>
      </c>
      <c r="AO252">
        <f t="shared" si="180"/>
        <v>1.4935589592834595</v>
      </c>
      <c r="AP252" s="42" t="str">
        <f t="shared" si="181"/>
        <v>-1.27205902129675+2.63149208782524i</v>
      </c>
      <c r="AQ252">
        <f t="shared" si="182"/>
        <v>9.3160454804772357</v>
      </c>
      <c r="AR252" s="44">
        <f t="shared" si="183"/>
        <v>115.79904770733759</v>
      </c>
      <c r="AS252" s="42" t="str">
        <f t="shared" si="184"/>
        <v>4.94785064714985+2.22442277795973i</v>
      </c>
      <c r="AT252" s="20">
        <f t="shared" si="185"/>
        <v>14.687796771915536</v>
      </c>
      <c r="AU252" s="44">
        <f t="shared" si="186"/>
        <v>24.207422896931035</v>
      </c>
    </row>
    <row r="253" spans="14:47" x14ac:dyDescent="0.3">
      <c r="N253" s="8">
        <v>35</v>
      </c>
      <c r="O253" s="35">
        <f t="shared" si="187"/>
        <v>2238.7211385683418</v>
      </c>
      <c r="P253" s="34" t="str">
        <f t="shared" si="155"/>
        <v>545.10556621881</v>
      </c>
      <c r="Q253" s="4" t="str">
        <f t="shared" si="156"/>
        <v>1+300.495041039135i</v>
      </c>
      <c r="R253" s="4">
        <f t="shared" si="164"/>
        <v>300.49670495549771</v>
      </c>
      <c r="S253" s="4">
        <f t="shared" si="165"/>
        <v>1.567468497140684</v>
      </c>
      <c r="T253" s="4" t="str">
        <f t="shared" si="157"/>
        <v>1+0.0070331498823625i</v>
      </c>
      <c r="U253" s="4">
        <f t="shared" si="166"/>
        <v>1.0000247322927907</v>
      </c>
      <c r="V253" s="4">
        <f t="shared" si="167"/>
        <v>7.0330339204220131E-3</v>
      </c>
      <c r="W253" t="str">
        <f t="shared" si="158"/>
        <v>1-0.00730603609779814i</v>
      </c>
      <c r="X253" s="4">
        <f t="shared" si="168"/>
        <v>1.0000266887255871</v>
      </c>
      <c r="Y253" s="4">
        <f t="shared" si="169"/>
        <v>-7.3059061076982644E-3</v>
      </c>
      <c r="Z253" t="str">
        <f t="shared" si="159"/>
        <v>0.999679240170478+0.0316383339411737i</v>
      </c>
      <c r="AA253" s="4">
        <f t="shared" si="170"/>
        <v>1.000179767543014</v>
      </c>
      <c r="AB253" s="4">
        <f t="shared" si="171"/>
        <v>3.1637925194412005E-2</v>
      </c>
      <c r="AC253" s="48" t="str">
        <f t="shared" si="172"/>
        <v>-0.0518362231777482-1.81304147325134i</v>
      </c>
      <c r="AD253" s="20">
        <f t="shared" si="173"/>
        <v>5.171703382102435</v>
      </c>
      <c r="AE253" s="44">
        <f t="shared" si="174"/>
        <v>-91.637683416742988</v>
      </c>
      <c r="AF253" t="str">
        <f t="shared" si="160"/>
        <v>-0.0000333790427773504</v>
      </c>
      <c r="AG253" t="str">
        <f t="shared" si="161"/>
        <v>0.0000762393447248093i</v>
      </c>
      <c r="AH253">
        <f t="shared" si="175"/>
        <v>7.6239344724809299E-5</v>
      </c>
      <c r="AI253">
        <f t="shared" si="176"/>
        <v>1.5707963267948966</v>
      </c>
      <c r="AJ253" t="str">
        <f t="shared" si="162"/>
        <v>1+1.7564707898092i</v>
      </c>
      <c r="AK253">
        <f t="shared" si="177"/>
        <v>2.0211852056288548</v>
      </c>
      <c r="AL253">
        <f t="shared" si="178"/>
        <v>1.0532385935276523</v>
      </c>
      <c r="AM253" t="str">
        <f t="shared" si="163"/>
        <v>1+13.2223217788415i</v>
      </c>
      <c r="AN253">
        <f t="shared" si="179"/>
        <v>13.260082700467077</v>
      </c>
      <c r="AO253">
        <f t="shared" si="180"/>
        <v>1.4953103480753944</v>
      </c>
      <c r="AP253" s="42" t="str">
        <f t="shared" si="181"/>
        <v>-1.22882148250158+2.59620815938672i</v>
      </c>
      <c r="AQ253">
        <f t="shared" si="182"/>
        <v>9.1646969039852717</v>
      </c>
      <c r="AR253" s="44">
        <f t="shared" si="183"/>
        <v>115.32884577752881</v>
      </c>
      <c r="AS253" s="42" t="str">
        <f t="shared" si="184"/>
        <v>4.77073053077421+2.0933266854317i</v>
      </c>
      <c r="AT253" s="20">
        <f t="shared" si="185"/>
        <v>14.336400286087706</v>
      </c>
      <c r="AU253" s="44">
        <f t="shared" si="186"/>
        <v>23.691162360785832</v>
      </c>
    </row>
    <row r="254" spans="14:47" x14ac:dyDescent="0.3">
      <c r="N254" s="8">
        <v>36</v>
      </c>
      <c r="O254" s="35">
        <f t="shared" si="187"/>
        <v>2290.8676527677749</v>
      </c>
      <c r="P254" s="34" t="str">
        <f t="shared" si="155"/>
        <v>545.10556621881</v>
      </c>
      <c r="Q254" s="4" t="str">
        <f t="shared" si="156"/>
        <v>1+307.494469710464i</v>
      </c>
      <c r="R254" s="4">
        <f t="shared" si="164"/>
        <v>307.49609575166875</v>
      </c>
      <c r="S254" s="4">
        <f t="shared" si="165"/>
        <v>1.5675442472514867</v>
      </c>
      <c r="T254" s="4" t="str">
        <f t="shared" si="157"/>
        <v>1+0.00719697298828175i</v>
      </c>
      <c r="U254" s="4">
        <f t="shared" si="166"/>
        <v>1.0000258978747472</v>
      </c>
      <c r="V254" s="4">
        <f t="shared" si="167"/>
        <v>7.1968487329976388E-3</v>
      </c>
      <c r="W254" t="str">
        <f t="shared" si="158"/>
        <v>1-0.00747621554022706i</v>
      </c>
      <c r="X254" s="4">
        <f t="shared" si="168"/>
        <v>1.0000279465088984</v>
      </c>
      <c r="Y254" s="4">
        <f t="shared" si="169"/>
        <v>-7.4760762535357808E-3</v>
      </c>
      <c r="Z254" t="str">
        <f t="shared" si="159"/>
        <v>0.99966412322544+0.0323752854094414i</v>
      </c>
      <c r="AA254" s="4">
        <f t="shared" si="170"/>
        <v>1.0001882414672902</v>
      </c>
      <c r="AB254" s="4">
        <f t="shared" si="171"/>
        <v>3.2374847400981205E-2</v>
      </c>
      <c r="AC254" s="48" t="str">
        <f t="shared" si="172"/>
        <v>-0.0521070972562532-1.77171925191199i</v>
      </c>
      <c r="AD254" s="20">
        <f t="shared" si="173"/>
        <v>4.9716530052576564</v>
      </c>
      <c r="AE254" s="44">
        <f t="shared" si="174"/>
        <v>-91.684610244428811</v>
      </c>
      <c r="AF254" t="str">
        <f t="shared" si="160"/>
        <v>-0.0000333790427773504</v>
      </c>
      <c r="AG254" t="str">
        <f t="shared" si="161"/>
        <v>0.000078015187192974i</v>
      </c>
      <c r="AH254">
        <f t="shared" si="175"/>
        <v>7.8015187192974003E-5</v>
      </c>
      <c r="AI254">
        <f t="shared" si="176"/>
        <v>1.5707963267948966</v>
      </c>
      <c r="AJ254" t="str">
        <f t="shared" si="162"/>
        <v>1+1.7973842503576i</v>
      </c>
      <c r="AK254">
        <f t="shared" si="177"/>
        <v>2.0568398438948892</v>
      </c>
      <c r="AL254">
        <f t="shared" si="178"/>
        <v>1.0630802145668823</v>
      </c>
      <c r="AM254" t="str">
        <f t="shared" si="163"/>
        <v>1+13.5303092179697i</v>
      </c>
      <c r="AN254">
        <f t="shared" si="179"/>
        <v>13.567212961175033</v>
      </c>
      <c r="AO254">
        <f t="shared" si="180"/>
        <v>1.4970223188327858</v>
      </c>
      <c r="AP254" s="42" t="str">
        <f t="shared" si="181"/>
        <v>-1.18658830421782+2.56060826926418i</v>
      </c>
      <c r="AQ254">
        <f t="shared" si="182"/>
        <v>9.011697773218776</v>
      </c>
      <c r="AR254" s="44">
        <f t="shared" si="183"/>
        <v>114.86305112746228</v>
      </c>
      <c r="AS254" s="42" t="str">
        <f t="shared" si="184"/>
        <v>4.5985086394314+1.9688754785546i</v>
      </c>
      <c r="AT254" s="20">
        <f t="shared" si="185"/>
        <v>13.983350778476439</v>
      </c>
      <c r="AU254" s="44">
        <f t="shared" si="186"/>
        <v>23.178440883033474</v>
      </c>
    </row>
    <row r="255" spans="14:47" x14ac:dyDescent="0.3">
      <c r="N255" s="8">
        <v>37</v>
      </c>
      <c r="O255" s="35">
        <f t="shared" si="187"/>
        <v>2344.2288153199238</v>
      </c>
      <c r="P255" s="34" t="str">
        <f t="shared" si="155"/>
        <v>545.10556621881</v>
      </c>
      <c r="Q255" s="4" t="str">
        <f t="shared" si="156"/>
        <v>1+314.656936019805i</v>
      </c>
      <c r="R255" s="4">
        <f t="shared" si="164"/>
        <v>314.65852504798221</v>
      </c>
      <c r="S255" s="4">
        <f t="shared" si="165"/>
        <v>1.5676182731153181</v>
      </c>
      <c r="T255" s="4" t="str">
        <f t="shared" si="157"/>
        <v>1+0.0073646120245426i</v>
      </c>
      <c r="U255" s="4">
        <f t="shared" si="166"/>
        <v>1.0000271183874325</v>
      </c>
      <c r="V255" s="4">
        <f t="shared" si="167"/>
        <v>7.3644788828018956E-3</v>
      </c>
      <c r="W255" t="str">
        <f t="shared" si="158"/>
        <v>1-0.00765035897109483i</v>
      </c>
      <c r="X255" s="4">
        <f t="shared" si="168"/>
        <v>1.000029263568015</v>
      </c>
      <c r="Y255" s="4">
        <f t="shared" si="169"/>
        <v>-7.6502097229520392E-3</v>
      </c>
      <c r="Z255" t="str">
        <f t="shared" si="159"/>
        <v>0.999648293840731+0.0331294026825708i</v>
      </c>
      <c r="AA255" s="4">
        <f t="shared" si="170"/>
        <v>1.0001971149232476</v>
      </c>
      <c r="AB255" s="4">
        <f t="shared" si="171"/>
        <v>3.3128933316169611E-2</v>
      </c>
      <c r="AC255" s="48" t="str">
        <f t="shared" si="172"/>
        <v>-0.0523657020105029-1.73133634091407i</v>
      </c>
      <c r="AD255" s="20">
        <f t="shared" si="173"/>
        <v>4.7716000539386787</v>
      </c>
      <c r="AE255" s="44">
        <f t="shared" si="174"/>
        <v>-91.732430167098315</v>
      </c>
      <c r="AF255" t="str">
        <f t="shared" si="160"/>
        <v>-0.0000333790427773504</v>
      </c>
      <c r="AG255" t="str">
        <f t="shared" si="161"/>
        <v>0.0000798323943460415i</v>
      </c>
      <c r="AH255">
        <f t="shared" si="175"/>
        <v>7.9832394346041502E-5</v>
      </c>
      <c r="AI255">
        <f t="shared" si="176"/>
        <v>1.5707963267948966</v>
      </c>
      <c r="AJ255" t="str">
        <f t="shared" si="162"/>
        <v>1+1.83925070782673i</v>
      </c>
      <c r="AK255">
        <f t="shared" si="177"/>
        <v>2.0935241021400079</v>
      </c>
      <c r="AL255">
        <f t="shared" si="178"/>
        <v>1.072803087621339</v>
      </c>
      <c r="AM255" t="str">
        <f t="shared" si="163"/>
        <v>1+13.8454706061401i</v>
      </c>
      <c r="AN255">
        <f t="shared" si="179"/>
        <v>13.881536525381096</v>
      </c>
      <c r="AO255">
        <f t="shared" si="180"/>
        <v>1.498695739102565</v>
      </c>
      <c r="AP255" s="42" t="str">
        <f t="shared" si="181"/>
        <v>-1.14536810780814+2.52473311613265i</v>
      </c>
      <c r="AQ255">
        <f t="shared" si="182"/>
        <v>8.8570859639145478</v>
      </c>
      <c r="AR255" s="44">
        <f t="shared" si="183"/>
        <v>114.40185145551035</v>
      </c>
      <c r="AS255" s="42" t="str">
        <f t="shared" si="184"/>
        <v>4.43114020009549+1.85080800675677i</v>
      </c>
      <c r="AT255" s="20">
        <f t="shared" si="185"/>
        <v>13.628686017853219</v>
      </c>
      <c r="AU255" s="44">
        <f t="shared" si="186"/>
        <v>22.66942128841211</v>
      </c>
    </row>
    <row r="256" spans="14:47" x14ac:dyDescent="0.3">
      <c r="N256" s="8">
        <v>38</v>
      </c>
      <c r="O256" s="35">
        <f t="shared" si="187"/>
        <v>2398.8329190194918</v>
      </c>
      <c r="P256" s="34" t="str">
        <f t="shared" si="155"/>
        <v>545.10556621881</v>
      </c>
      <c r="Q256" s="4" t="str">
        <f t="shared" si="156"/>
        <v>1+321.986237601599i</v>
      </c>
      <c r="R256" s="4">
        <f t="shared" si="164"/>
        <v>321.98779045925539</v>
      </c>
      <c r="S256" s="4">
        <f t="shared" si="165"/>
        <v>1.5676906139784235</v>
      </c>
      <c r="T256" s="4" t="str">
        <f t="shared" si="157"/>
        <v>1+0.007536155875581i</v>
      </c>
      <c r="U256" s="4">
        <f t="shared" si="166"/>
        <v>1.0000283964195122</v>
      </c>
      <c r="V256" s="4">
        <f t="shared" si="167"/>
        <v>7.536013211854293E-3</v>
      </c>
      <c r="W256" t="str">
        <f t="shared" si="158"/>
        <v>1-0.00782855872355352i</v>
      </c>
      <c r="X256" s="4">
        <f t="shared" si="168"/>
        <v>1.0000306426963568</v>
      </c>
      <c r="Y256" s="4">
        <f t="shared" si="169"/>
        <v>-7.8283988015519085E-3</v>
      </c>
      <c r="Z256" t="str">
        <f t="shared" si="159"/>
        <v>0.999631718440104+0.0339010856035218i</v>
      </c>
      <c r="AA256" s="4">
        <f t="shared" si="170"/>
        <v>1.0002064067564316</v>
      </c>
      <c r="AB256" s="4">
        <f t="shared" si="171"/>
        <v>3.3900582632592526E-2</v>
      </c>
      <c r="AC256" s="48" t="str">
        <f t="shared" si="172"/>
        <v>-0.0526125859420431-1.69187133407891i</v>
      </c>
      <c r="AD256" s="20">
        <f t="shared" si="173"/>
        <v>4.571544415709095</v>
      </c>
      <c r="AE256" s="44">
        <f t="shared" si="174"/>
        <v>-91.781168531398563</v>
      </c>
      <c r="AF256" t="str">
        <f t="shared" si="160"/>
        <v>-0.0000333790427773504</v>
      </c>
      <c r="AG256" t="str">
        <f t="shared" si="161"/>
        <v>0.000081691929691298i</v>
      </c>
      <c r="AH256">
        <f t="shared" si="175"/>
        <v>8.1691929691298E-5</v>
      </c>
      <c r="AI256">
        <f t="shared" si="176"/>
        <v>1.5707963267948966</v>
      </c>
      <c r="AJ256" t="str">
        <f t="shared" si="162"/>
        <v>1+1.8820923603665i</v>
      </c>
      <c r="AK256">
        <f t="shared" si="177"/>
        <v>2.1312605783784262</v>
      </c>
      <c r="AL256">
        <f t="shared" si="178"/>
        <v>1.0824050139826877</v>
      </c>
      <c r="AM256" t="str">
        <f t="shared" si="163"/>
        <v>1+14.1679730460923i</v>
      </c>
      <c r="AN256">
        <f t="shared" si="179"/>
        <v>14.203220065703338</v>
      </c>
      <c r="AO256">
        <f t="shared" si="180"/>
        <v>1.5003314586441934</v>
      </c>
      <c r="AP256" s="42" t="str">
        <f t="shared" si="181"/>
        <v>-1.10516701062501+2.48862296385475i</v>
      </c>
      <c r="AQ256">
        <f t="shared" si="182"/>
        <v>8.7008997472475063</v>
      </c>
      <c r="AR256" s="44">
        <f t="shared" si="183"/>
        <v>113.94542142601203</v>
      </c>
      <c r="AS256" s="42" t="str">
        <f t="shared" si="184"/>
        <v>4.26857554820317+1.73886749508299i</v>
      </c>
      <c r="AT256" s="20">
        <f t="shared" si="185"/>
        <v>13.272444162956612</v>
      </c>
      <c r="AU256" s="44">
        <f t="shared" si="186"/>
        <v>22.164252894613483</v>
      </c>
    </row>
    <row r="257" spans="14:47" x14ac:dyDescent="0.3">
      <c r="N257" s="8">
        <v>39</v>
      </c>
      <c r="O257" s="35">
        <f t="shared" si="187"/>
        <v>2454.7089156850338</v>
      </c>
      <c r="P257" s="34" t="str">
        <f t="shared" si="155"/>
        <v>545.10556621881</v>
      </c>
      <c r="Q257" s="4" t="str">
        <f t="shared" si="156"/>
        <v>1+329.486260548561i</v>
      </c>
      <c r="R257" s="4">
        <f t="shared" si="164"/>
        <v>329.48777805902637</v>
      </c>
      <c r="S257" s="4">
        <f t="shared" si="165"/>
        <v>1.5677613081938562</v>
      </c>
      <c r="T257" s="4" t="str">
        <f t="shared" si="157"/>
        <v>1+0.00771169549621745i</v>
      </c>
      <c r="U257" s="4">
        <f t="shared" si="166"/>
        <v>1.0000297346816376</v>
      </c>
      <c r="V257" s="4">
        <f t="shared" si="167"/>
        <v>7.7115426295256131E-3</v>
      </c>
      <c r="W257" t="str">
        <f t="shared" si="158"/>
        <v>1-0.00801090928147066i</v>
      </c>
      <c r="X257" s="4">
        <f t="shared" si="168"/>
        <v>1.000032086818976</v>
      </c>
      <c r="Y257" s="4">
        <f t="shared" si="169"/>
        <v>-8.0107379222555501E-3</v>
      </c>
      <c r="Z257" t="str">
        <f t="shared" si="159"/>
        <v>0.999614361864912+0.0346907433287937i</v>
      </c>
      <c r="AA257" s="4">
        <f t="shared" si="170"/>
        <v>1.000216136702113</v>
      </c>
      <c r="AB257" s="4">
        <f t="shared" si="171"/>
        <v>3.4690204345600578E-2</v>
      </c>
      <c r="AC257" s="48" t="str">
        <f t="shared" si="172"/>
        <v>-0.0528482726940245-1.65330331156298i</v>
      </c>
      <c r="AD257" s="20">
        <f t="shared" si="173"/>
        <v>4.3714859724217012</v>
      </c>
      <c r="AE257" s="44">
        <f t="shared" si="174"/>
        <v>-91.830851170389593</v>
      </c>
      <c r="AF257" t="str">
        <f t="shared" si="160"/>
        <v>-0.0000333790427773504</v>
      </c>
      <c r="AG257" t="str">
        <f t="shared" si="161"/>
        <v>0.0000835947791789974i</v>
      </c>
      <c r="AH257">
        <f t="shared" si="175"/>
        <v>8.3594779178997405E-5</v>
      </c>
      <c r="AI257">
        <f t="shared" si="176"/>
        <v>1.5707963267948966</v>
      </c>
      <c r="AJ257" t="str">
        <f t="shared" si="162"/>
        <v>1+1.92593192318818i</v>
      </c>
      <c r="AK257">
        <f t="shared" si="177"/>
        <v>2.1700722966655563</v>
      </c>
      <c r="AL257">
        <f t="shared" si="178"/>
        <v>1.0918840017671068</v>
      </c>
      <c r="AM257" t="str">
        <f t="shared" si="163"/>
        <v>1+14.4979875328888i</v>
      </c>
      <c r="AN257">
        <f t="shared" si="179"/>
        <v>14.532434156183166</v>
      </c>
      <c r="AO257">
        <f t="shared" si="180"/>
        <v>1.5019303097062102</v>
      </c>
      <c r="AP257" s="42" t="str">
        <f t="shared" si="181"/>
        <v>-1.06598872473785+2.45231749737673i</v>
      </c>
      <c r="AQ257">
        <f t="shared" si="182"/>
        <v>8.5431776876048424</v>
      </c>
      <c r="AR257" s="44">
        <f t="shared" si="183"/>
        <v>113.49392284983224</v>
      </c>
      <c r="AS257" s="42" t="str">
        <f t="shared" si="184"/>
        <v>4.11076030223049+1.63280194486419i</v>
      </c>
      <c r="AT257" s="20">
        <f t="shared" si="185"/>
        <v>12.914663660026545</v>
      </c>
      <c r="AU257" s="44">
        <f t="shared" si="186"/>
        <v>21.663071679442606</v>
      </c>
    </row>
    <row r="258" spans="14:47" x14ac:dyDescent="0.3">
      <c r="N258" s="8">
        <v>40</v>
      </c>
      <c r="O258" s="35">
        <f t="shared" si="187"/>
        <v>2511.8864315095811</v>
      </c>
      <c r="P258" s="34" t="str">
        <f t="shared" si="155"/>
        <v>545.10556621881</v>
      </c>
      <c r="Q258" s="4" t="str">
        <f t="shared" si="156"/>
        <v>1+337.160981472135i</v>
      </c>
      <c r="R258" s="4">
        <f t="shared" si="164"/>
        <v>337.16246443999864</v>
      </c>
      <c r="S258" s="4">
        <f t="shared" si="165"/>
        <v>1.5678303932417965</v>
      </c>
      <c r="T258" s="4" t="str">
        <f t="shared" si="157"/>
        <v>1+0.0078913239598824i</v>
      </c>
      <c r="U258" s="4">
        <f t="shared" si="166"/>
        <v>1.0000311360121943</v>
      </c>
      <c r="V258" s="4">
        <f t="shared" si="167"/>
        <v>7.8911601605464073E-3</v>
      </c>
      <c r="W258" t="str">
        <f t="shared" si="158"/>
        <v>1-0.00819750732952581i</v>
      </c>
      <c r="X258" s="4">
        <f t="shared" si="168"/>
        <v>1.0000335989987625</v>
      </c>
      <c r="Y258" s="4">
        <f t="shared" si="169"/>
        <v>-8.1973237151518746E-3</v>
      </c>
      <c r="Z258" t="str">
        <f t="shared" si="159"/>
        <v>0.999596187299533+0.0354987945453651i</v>
      </c>
      <c r="AA258" s="4">
        <f t="shared" si="170"/>
        <v>1.0002263254273691</v>
      </c>
      <c r="AB258" s="4">
        <f t="shared" si="171"/>
        <v>3.5498216969440555E-2</v>
      </c>
      <c r="AC258" s="48" t="str">
        <f t="shared" si="172"/>
        <v>-0.0530732621616568-1.61561182878987i</v>
      </c>
      <c r="AD258" s="20">
        <f t="shared" si="173"/>
        <v>4.1714245999665991</v>
      </c>
      <c r="AE258" s="44">
        <f t="shared" si="174"/>
        <v>-91.881504417199366</v>
      </c>
      <c r="AF258" t="str">
        <f t="shared" si="160"/>
        <v>-0.0000333790427773504</v>
      </c>
      <c r="AG258" t="str">
        <f t="shared" si="161"/>
        <v>0.000085541951725125i</v>
      </c>
      <c r="AH258">
        <f t="shared" si="175"/>
        <v>8.5541951725125005E-5</v>
      </c>
      <c r="AI258">
        <f t="shared" si="176"/>
        <v>1.5707963267948966</v>
      </c>
      <c r="AJ258" t="str">
        <f t="shared" si="162"/>
        <v>1+1.97079264060827i</v>
      </c>
      <c r="AK258">
        <f t="shared" si="177"/>
        <v>2.209982722166786</v>
      </c>
      <c r="AL258">
        <f t="shared" si="178"/>
        <v>1.101238262419167</v>
      </c>
      <c r="AM258" t="str">
        <f t="shared" si="163"/>
        <v>1+14.8356890445789i</v>
      </c>
      <c r="AN258">
        <f t="shared" si="179"/>
        <v>14.869353362787448</v>
      </c>
      <c r="AO258">
        <f t="shared" si="180"/>
        <v>1.5034931073047859</v>
      </c>
      <c r="AP258" s="42" t="str">
        <f t="shared" si="181"/>
        <v>-1.02783466299453+2.4158556905635i</v>
      </c>
      <c r="AQ258">
        <f t="shared" si="182"/>
        <v>8.383958544625596</v>
      </c>
      <c r="AR258" s="44">
        <f t="shared" si="183"/>
        <v>113.04750490063562</v>
      </c>
      <c r="AS258" s="42" t="str">
        <f t="shared" si="184"/>
        <v>3.95763556885166+1.53236449716421i</v>
      </c>
      <c r="AT258" s="20">
        <f t="shared" si="185"/>
        <v>12.555383144592206</v>
      </c>
      <c r="AU258" s="44">
        <f t="shared" si="186"/>
        <v>21.166000483436296</v>
      </c>
    </row>
    <row r="259" spans="14:47" x14ac:dyDescent="0.3">
      <c r="N259" s="8">
        <v>41</v>
      </c>
      <c r="O259" s="35">
        <f t="shared" si="187"/>
        <v>2570.3957827688669</v>
      </c>
      <c r="P259" s="34" t="str">
        <f t="shared" si="155"/>
        <v>545.10556621881</v>
      </c>
      <c r="Q259" s="4" t="str">
        <f t="shared" si="156"/>
        <v>1+345.014469610936i</v>
      </c>
      <c r="R259" s="4">
        <f t="shared" si="164"/>
        <v>345.01591882247322</v>
      </c>
      <c r="S259" s="4">
        <f t="shared" si="165"/>
        <v>1.5678979057494125</v>
      </c>
      <c r="T259" s="4" t="str">
        <f t="shared" si="157"/>
        <v>1+0.00807513650796485i</v>
      </c>
      <c r="U259" s="4">
        <f t="shared" si="166"/>
        <v>1.0000326033833207</v>
      </c>
      <c r="V259" s="4">
        <f t="shared" si="167"/>
        <v>8.074960994123196E-3</v>
      </c>
      <c r="W259" t="str">
        <f t="shared" si="158"/>
        <v>1-0.00838845180447386i</v>
      </c>
      <c r="X259" s="4">
        <f t="shared" si="168"/>
        <v>1.0000351824429359</v>
      </c>
      <c r="Y259" s="4">
        <f t="shared" si="169"/>
        <v>-8.3882550585013035E-3</v>
      </c>
      <c r="Z259" t="str">
        <f t="shared" si="159"/>
        <v>0.999577156193275+0.0363256676926862i</v>
      </c>
      <c r="AA259" s="4">
        <f t="shared" si="170"/>
        <v>1.0002369945751628</v>
      </c>
      <c r="AB259" s="4">
        <f t="shared" si="171"/>
        <v>3.6325048758412387E-2</v>
      </c>
      <c r="AC259" s="48" t="str">
        <f t="shared" si="172"/>
        <v>-0.0532880315523197-1.57877690563284i</v>
      </c>
      <c r="AD259" s="20">
        <f t="shared" si="173"/>
        <v>3.9713601680072848</v>
      </c>
      <c r="AE259" s="44">
        <f t="shared" si="174"/>
        <v>-91.933155118941201</v>
      </c>
      <c r="AF259" t="str">
        <f t="shared" si="160"/>
        <v>-0.0000333790427773504</v>
      </c>
      <c r="AG259" t="str">
        <f t="shared" si="161"/>
        <v>0.0000875344797463391i</v>
      </c>
      <c r="AH259">
        <f t="shared" si="175"/>
        <v>8.7534479746339096E-5</v>
      </c>
      <c r="AI259">
        <f t="shared" si="176"/>
        <v>1.5707963267948966</v>
      </c>
      <c r="AJ259" t="str">
        <f t="shared" si="162"/>
        <v>1+2.01669829837292i</v>
      </c>
      <c r="AK259">
        <f t="shared" si="177"/>
        <v>2.2510157766351244</v>
      </c>
      <c r="AL259">
        <f t="shared" si="178"/>
        <v>1.1104662066493638</v>
      </c>
      <c r="AM259" t="str">
        <f t="shared" si="163"/>
        <v>1+15.181256634974i</v>
      </c>
      <c r="AN259">
        <f t="shared" si="179"/>
        <v>15.21415633602278</v>
      </c>
      <c r="AO259">
        <f t="shared" si="180"/>
        <v>1.5050206495037048</v>
      </c>
      <c r="AP259" s="42" t="str">
        <f t="shared" si="181"/>
        <v>-0.990704051121638+2.37927568614419i</v>
      </c>
      <c r="AQ259">
        <f t="shared" si="182"/>
        <v>8.2232811797647845</v>
      </c>
      <c r="AR259" s="44">
        <f t="shared" si="183"/>
        <v>112.60630436368932</v>
      </c>
      <c r="AS259" s="42" t="str">
        <f t="shared" si="184"/>
        <v>3.80913817415336+1.43731375839282i</v>
      </c>
      <c r="AT259" s="20">
        <f t="shared" si="185"/>
        <v>12.194641347772075</v>
      </c>
      <c r="AU259" s="44">
        <f t="shared" si="186"/>
        <v>20.673149244748128</v>
      </c>
    </row>
    <row r="260" spans="14:47" x14ac:dyDescent="0.3">
      <c r="N260" s="8">
        <v>42</v>
      </c>
      <c r="O260" s="35">
        <f t="shared" si="187"/>
        <v>2630.2679918953822</v>
      </c>
      <c r="P260" s="34" t="str">
        <f t="shared" si="155"/>
        <v>545.10556621881</v>
      </c>
      <c r="Q260" s="4" t="str">
        <f t="shared" si="156"/>
        <v>1+353.050888988331i</v>
      </c>
      <c r="R260" s="4">
        <f t="shared" si="164"/>
        <v>353.05230521192016</v>
      </c>
      <c r="S260" s="4">
        <f t="shared" si="165"/>
        <v>1.5679638815102654</v>
      </c>
      <c r="T260" s="4" t="str">
        <f t="shared" si="157"/>
        <v>1+0.0082632306003109i</v>
      </c>
      <c r="U260" s="4">
        <f t="shared" si="166"/>
        <v>1.0000341399072104</v>
      </c>
      <c r="V260" s="4">
        <f t="shared" si="167"/>
        <v>8.2630425341879855E-3</v>
      </c>
      <c r="W260" t="str">
        <f t="shared" si="158"/>
        <v>1-0.00858384394760294i</v>
      </c>
      <c r="X260" s="4">
        <f t="shared" si="168"/>
        <v>1.0000368405098468</v>
      </c>
      <c r="Y260" s="4">
        <f t="shared" si="169"/>
        <v>-8.5836331309145659E-3</v>
      </c>
      <c r="Z260" t="str">
        <f t="shared" si="159"/>
        <v>0.999557228178612+0.0371718011898452i</v>
      </c>
      <c r="AA260" s="4">
        <f t="shared" si="170"/>
        <v>1.0002481668105208</v>
      </c>
      <c r="AB260" s="4">
        <f t="shared" si="171"/>
        <v>3.7171137933139253E-2</v>
      </c>
      <c r="AC260" s="48" t="str">
        <f t="shared" si="172"/>
        <v>-0.0534930363975628-1.54277901584193i</v>
      </c>
      <c r="AD260" s="20">
        <f t="shared" si="173"/>
        <v>3.7712925397020367</v>
      </c>
      <c r="AE260" s="44">
        <f t="shared" si="174"/>
        <v>-91.985830650900425</v>
      </c>
      <c r="AF260" t="str">
        <f t="shared" si="160"/>
        <v>-0.0000333790427773504</v>
      </c>
      <c r="AG260" t="str">
        <f t="shared" si="161"/>
        <v>0.0000895734197073703i</v>
      </c>
      <c r="AH260">
        <f t="shared" si="175"/>
        <v>8.9573419707370303E-5</v>
      </c>
      <c r="AI260">
        <f t="shared" si="176"/>
        <v>1.5707963267948966</v>
      </c>
      <c r="AJ260" t="str">
        <f t="shared" si="162"/>
        <v>1+2.06367323626953i</v>
      </c>
      <c r="AK260">
        <f t="shared" si="177"/>
        <v>2.2931958542817825</v>
      </c>
      <c r="AL260">
        <f t="shared" si="178"/>
        <v>1.1195664398607259</v>
      </c>
      <c r="AM260" t="str">
        <f t="shared" si="163"/>
        <v>1+15.5348735285845i</v>
      </c>
      <c r="AN260">
        <f t="shared" si="179"/>
        <v>15.567025905712224</v>
      </c>
      <c r="AO260">
        <f t="shared" si="180"/>
        <v>1.5065137176952563</v>
      </c>
      <c r="AP260" s="42" t="str">
        <f t="shared" si="181"/>
        <v>-0.954594044609543+2.34261468780695i</v>
      </c>
      <c r="AQ260">
        <f t="shared" si="182"/>
        <v>8.0611844675916959</v>
      </c>
      <c r="AR260" s="44">
        <f t="shared" si="183"/>
        <v>112.17044591399467</v>
      </c>
      <c r="AS260" s="42" t="str">
        <f t="shared" si="184"/>
        <v>3.66520091652485+1.34741408791096i</v>
      </c>
      <c r="AT260" s="20">
        <f t="shared" si="185"/>
        <v>11.832477007293733</v>
      </c>
      <c r="AU260" s="44">
        <f t="shared" si="186"/>
        <v>20.184615263094315</v>
      </c>
    </row>
    <row r="261" spans="14:47" x14ac:dyDescent="0.3">
      <c r="N261" s="8">
        <v>43</v>
      </c>
      <c r="O261" s="35">
        <f t="shared" si="187"/>
        <v>2691.5348039269184</v>
      </c>
      <c r="P261" s="34" t="str">
        <f t="shared" si="155"/>
        <v>545.10556621881</v>
      </c>
      <c r="Q261" s="4" t="str">
        <f t="shared" si="156"/>
        <v>1+361.274500620251i</v>
      </c>
      <c r="R261" s="4">
        <f t="shared" si="164"/>
        <v>361.27588460678049</v>
      </c>
      <c r="S261" s="4">
        <f t="shared" si="165"/>
        <v>1.568028355503279</v>
      </c>
      <c r="T261" s="4" t="str">
        <f t="shared" si="157"/>
        <v>1+0.00845570596689805i</v>
      </c>
      <c r="U261" s="4">
        <f t="shared" si="166"/>
        <v>1.0000357488427094</v>
      </c>
      <c r="V261" s="4">
        <f t="shared" si="167"/>
        <v>8.4555044508057495E-3</v>
      </c>
      <c r="W261" t="str">
        <f t="shared" si="158"/>
        <v>1-0.00878378735841367i</v>
      </c>
      <c r="X261" s="4">
        <f t="shared" si="168"/>
        <v>1.0000385767160973</v>
      </c>
      <c r="Y261" s="4">
        <f t="shared" si="169"/>
        <v>-8.783561464732836E-3</v>
      </c>
      <c r="Z261" t="str">
        <f t="shared" si="159"/>
        <v>0.999536360985552+0.038037643668022i</v>
      </c>
      <c r="AA261" s="4">
        <f t="shared" si="170"/>
        <v>1.0002598658688926</v>
      </c>
      <c r="AB261" s="4">
        <f t="shared" si="171"/>
        <v>3.8036932912060367E-2</v>
      </c>
      <c r="AC261" s="48" t="str">
        <f t="shared" si="172"/>
        <v>-0.053688711519158-1.50759907671064i</v>
      </c>
      <c r="AD261" s="20">
        <f t="shared" si="173"/>
        <v>3.5712215714128615</v>
      </c>
      <c r="AE261" s="44">
        <f t="shared" si="174"/>
        <v>-92.039558930997927</v>
      </c>
      <c r="AF261" t="str">
        <f t="shared" si="160"/>
        <v>-0.0000333790427773504</v>
      </c>
      <c r="AG261" t="str">
        <f t="shared" si="161"/>
        <v>0.0000916598526811749i</v>
      </c>
      <c r="AH261">
        <f t="shared" si="175"/>
        <v>9.1659852681174906E-5</v>
      </c>
      <c r="AI261">
        <f t="shared" si="176"/>
        <v>1.5707963267948966</v>
      </c>
      <c r="AJ261" t="str">
        <f t="shared" si="162"/>
        <v>1+2.11174236103196i</v>
      </c>
      <c r="AK261">
        <f t="shared" si="177"/>
        <v>2.3365478380244724</v>
      </c>
      <c r="AL261">
        <f t="shared" si="178"/>
        <v>1.128537757119761</v>
      </c>
      <c r="AM261" t="str">
        <f t="shared" si="163"/>
        <v>1+15.8967272177684i</v>
      </c>
      <c r="AN261">
        <f t="shared" si="179"/>
        <v>15.928149177984825</v>
      </c>
      <c r="AO261">
        <f t="shared" si="180"/>
        <v>1.5079730768815502</v>
      </c>
      <c r="AP261" s="42" t="str">
        <f t="shared" si="181"/>
        <v>-0.919499849181014+2.30590886435979i</v>
      </c>
      <c r="AQ261">
        <f t="shared" si="182"/>
        <v>7.8977072119821798</v>
      </c>
      <c r="AR261" s="44">
        <f t="shared" si="183"/>
        <v>111.74004242054733</v>
      </c>
      <c r="AS261" s="42" t="str">
        <f t="shared" si="184"/>
        <v>3.52575283703229+1.26243584785279i</v>
      </c>
      <c r="AT261" s="20">
        <f t="shared" si="185"/>
        <v>11.468928783395047</v>
      </c>
      <c r="AU261" s="44">
        <f t="shared" si="186"/>
        <v>19.700483489549431</v>
      </c>
    </row>
    <row r="262" spans="14:47" x14ac:dyDescent="0.3">
      <c r="N262" s="8">
        <v>44</v>
      </c>
      <c r="O262" s="35">
        <f t="shared" si="187"/>
        <v>2754.228703338169</v>
      </c>
      <c r="P262" s="34" t="str">
        <f t="shared" si="155"/>
        <v>545.10556621881</v>
      </c>
      <c r="Q262" s="4" t="str">
        <f t="shared" si="156"/>
        <v>1+369.689664774432i</v>
      </c>
      <c r="R262" s="4">
        <f t="shared" si="164"/>
        <v>369.69101725769849</v>
      </c>
      <c r="S262" s="4">
        <f t="shared" si="165"/>
        <v>1.568091361911272</v>
      </c>
      <c r="T262" s="4" t="str">
        <f t="shared" si="157"/>
        <v>1+0.00865266466071335i</v>
      </c>
      <c r="U262" s="4">
        <f t="shared" si="166"/>
        <v>1.0000374336022282</v>
      </c>
      <c r="V262" s="4">
        <f t="shared" si="167"/>
        <v>8.6524487327666669E-3</v>
      </c>
      <c r="W262" t="str">
        <f t="shared" si="158"/>
        <v>1-0.008988388049549i</v>
      </c>
      <c r="X262" s="4">
        <f t="shared" si="168"/>
        <v>1.0000403947439971</v>
      </c>
      <c r="Y262" s="4">
        <f t="shared" si="169"/>
        <v>-8.9881460006371056E-3</v>
      </c>
      <c r="Z262" t="str">
        <f t="shared" si="159"/>
        <v>0.999514510351981+0.0389236542083594i</v>
      </c>
      <c r="AA262" s="4">
        <f t="shared" si="170"/>
        <v>1.0002721166068222</v>
      </c>
      <c r="AB262" s="4">
        <f t="shared" si="171"/>
        <v>3.8922892548271068E-2</v>
      </c>
      <c r="AC262" s="48" t="str">
        <f t="shared" si="172"/>
        <v>-0.0538754719512333-1.47321843897638i</v>
      </c>
      <c r="AD262" s="20">
        <f t="shared" si="173"/>
        <v>3.3711471123990355</v>
      </c>
      <c r="AE262" s="44">
        <f t="shared" si="174"/>
        <v>-92.094368434537387</v>
      </c>
      <c r="AF262" t="str">
        <f t="shared" si="160"/>
        <v>-0.0000333790427773504</v>
      </c>
      <c r="AG262" t="str">
        <f t="shared" si="161"/>
        <v>0.0000937948849221326i</v>
      </c>
      <c r="AH262">
        <f t="shared" si="175"/>
        <v>9.3794884922132604E-5</v>
      </c>
      <c r="AI262">
        <f t="shared" si="176"/>
        <v>1.5707963267948966</v>
      </c>
      <c r="AJ262" t="str">
        <f t="shared" si="162"/>
        <v>1+2.16093115954642i</v>
      </c>
      <c r="AK262">
        <f t="shared" si="177"/>
        <v>2.3810971160997685</v>
      </c>
      <c r="AL262">
        <f t="shared" si="178"/>
        <v>1.1373791377264628</v>
      </c>
      <c r="AM262" t="str">
        <f t="shared" si="163"/>
        <v>1+16.2670095621411i</v>
      </c>
      <c r="AN262">
        <f t="shared" si="179"/>
        <v>16.29771763452754</v>
      </c>
      <c r="AO262">
        <f t="shared" si="180"/>
        <v>1.5093994759558036</v>
      </c>
      <c r="AP262" s="42" t="str">
        <f t="shared" si="181"/>
        <v>-0.885414843705751+2.26919326576428i</v>
      </c>
      <c r="AQ262">
        <f t="shared" si="182"/>
        <v>7.7328880673176776</v>
      </c>
      <c r="AR262" s="44">
        <f t="shared" si="183"/>
        <v>111.31519527357057</v>
      </c>
      <c r="AS262" s="42" t="str">
        <f t="shared" si="184"/>
        <v>3.39071950330224+1.18215561574909i</v>
      </c>
      <c r="AT262" s="20">
        <f t="shared" si="185"/>
        <v>11.104035179716711</v>
      </c>
      <c r="AU262" s="44">
        <f t="shared" si="186"/>
        <v>19.22082683903318</v>
      </c>
    </row>
    <row r="263" spans="14:47" x14ac:dyDescent="0.3">
      <c r="N263" s="8">
        <v>45</v>
      </c>
      <c r="O263" s="35">
        <f t="shared" si="187"/>
        <v>2818.3829312644561</v>
      </c>
      <c r="P263" s="34" t="str">
        <f t="shared" si="155"/>
        <v>545.10556621881</v>
      </c>
      <c r="Q263" s="4" t="str">
        <f t="shared" si="156"/>
        <v>1+378.300843282298i</v>
      </c>
      <c r="R263" s="4">
        <f t="shared" si="164"/>
        <v>378.30216497939551</v>
      </c>
      <c r="S263" s="4">
        <f t="shared" si="165"/>
        <v>1.5681529341390739</v>
      </c>
      <c r="T263" s="4" t="str">
        <f t="shared" si="157"/>
        <v>1+0.0088542111118633i</v>
      </c>
      <c r="U263" s="4">
        <f t="shared" si="166"/>
        <v>1.0000391977589744</v>
      </c>
      <c r="V263" s="4">
        <f t="shared" si="167"/>
        <v>8.8539797413896872E-3</v>
      </c>
      <c r="W263" t="str">
        <f t="shared" si="158"/>
        <v>1-0.00919775450300357i</v>
      </c>
      <c r="X263" s="4">
        <f t="shared" si="168"/>
        <v>1.0000422984493693</v>
      </c>
      <c r="Y263" s="4">
        <f t="shared" si="169"/>
        <v>-9.1974951435141398E-3</v>
      </c>
      <c r="Z263" t="str">
        <f t="shared" si="159"/>
        <v>0.999491629929776+0.0398303025853735i</v>
      </c>
      <c r="AA263" s="4">
        <f t="shared" si="170"/>
        <v>1.0002849450550191</v>
      </c>
      <c r="AB263" s="4">
        <f t="shared" si="171"/>
        <v>3.9829486371827379E-2</v>
      </c>
      <c r="AC263" s="48" t="str">
        <f t="shared" si="172"/>
        <v>-0.0540537138204552-1.43961887694958i</v>
      </c>
      <c r="AD263" s="20">
        <f t="shared" si="173"/>
        <v>3.171069004495501</v>
      </c>
      <c r="AE263" s="44">
        <f t="shared" si="174"/>
        <v>-92.150288209244465</v>
      </c>
      <c r="AF263" t="str">
        <f t="shared" si="160"/>
        <v>-0.0000333790427773504</v>
      </c>
      <c r="AG263" t="str">
        <f t="shared" si="161"/>
        <v>0.000095979648452598i</v>
      </c>
      <c r="AH263">
        <f t="shared" si="175"/>
        <v>9.5979648452597998E-5</v>
      </c>
      <c r="AI263">
        <f t="shared" si="176"/>
        <v>1.5707963267948966</v>
      </c>
      <c r="AJ263" t="str">
        <f t="shared" si="162"/>
        <v>1+2.21126571236497i</v>
      </c>
      <c r="AK263">
        <f t="shared" si="177"/>
        <v>2.4268695990268943</v>
      </c>
      <c r="AL263">
        <f t="shared" si="178"/>
        <v>1.1460897394369374</v>
      </c>
      <c r="AM263" t="str">
        <f t="shared" si="163"/>
        <v>1+16.645916890303i</v>
      </c>
      <c r="AN263">
        <f t="shared" si="179"/>
        <v>16.675927234156266</v>
      </c>
      <c r="AO263">
        <f t="shared" si="180"/>
        <v>1.5107936479832089</v>
      </c>
      <c r="AP263" s="42" t="str">
        <f t="shared" si="181"/>
        <v>-0.852330704494844+2.23250175075252i</v>
      </c>
      <c r="AQ263">
        <f t="shared" si="182"/>
        <v>7.5667654647629163</v>
      </c>
      <c r="AR263" s="44">
        <f t="shared" si="183"/>
        <v>110.89599473162652</v>
      </c>
      <c r="AS263" s="42" t="str">
        <f t="shared" si="184"/>
        <v>3.26002330318747+1.10635636085567i</v>
      </c>
      <c r="AT263" s="20">
        <f t="shared" si="185"/>
        <v>10.737834469258427</v>
      </c>
      <c r="AU263" s="44">
        <f t="shared" si="186"/>
        <v>18.745706522382019</v>
      </c>
    </row>
    <row r="264" spans="14:47" x14ac:dyDescent="0.3">
      <c r="N264" s="8">
        <v>46</v>
      </c>
      <c r="O264" s="35">
        <f t="shared" si="187"/>
        <v>2884.0315031266077</v>
      </c>
      <c r="P264" s="34" t="str">
        <f t="shared" si="155"/>
        <v>545.10556621881</v>
      </c>
      <c r="Q264" s="4" t="str">
        <f t="shared" si="156"/>
        <v>1+387.112601904675i</v>
      </c>
      <c r="R264" s="4">
        <f t="shared" si="164"/>
        <v>387.11389351637513</v>
      </c>
      <c r="S264" s="4">
        <f t="shared" si="165"/>
        <v>1.5682131048312262</v>
      </c>
      <c r="T264" s="4" t="str">
        <f t="shared" si="157"/>
        <v>1+0.0090604521829441i</v>
      </c>
      <c r="U264" s="4">
        <f t="shared" si="166"/>
        <v>1.0000410450545314</v>
      </c>
      <c r="V264" s="4">
        <f t="shared" si="167"/>
        <v>9.0602042655645171E-3</v>
      </c>
      <c r="W264" t="str">
        <f t="shared" si="158"/>
        <v>1-0.0094119977276423i</v>
      </c>
      <c r="X264" s="4">
        <f t="shared" si="168"/>
        <v>1.0000442918697277</v>
      </c>
      <c r="Y264" s="4">
        <f t="shared" si="169"/>
        <v>-9.4117198196071467E-3</v>
      </c>
      <c r="Z264" t="str">
        <f t="shared" si="159"/>
        <v>0.999467671186494+0.0407580695160347i</v>
      </c>
      <c r="AA264" s="4">
        <f t="shared" si="170"/>
        <v>1.000298378473957</v>
      </c>
      <c r="AB264" s="4">
        <f t="shared" si="171"/>
        <v>4.0757194837640703E-2</v>
      </c>
      <c r="AC264" s="48" t="str">
        <f t="shared" si="172"/>
        <v>-0.0542238151861205-1.40678257886632i</v>
      </c>
      <c r="AD264" s="20">
        <f t="shared" si="173"/>
        <v>2.9709870817754238</v>
      </c>
      <c r="AE264" s="44">
        <f t="shared" si="174"/>
        <v>-92.207347890605234</v>
      </c>
      <c r="AF264" t="str">
        <f t="shared" si="160"/>
        <v>-0.0000333790427773504</v>
      </c>
      <c r="AG264" t="str">
        <f t="shared" si="161"/>
        <v>0.0000982153016631138i</v>
      </c>
      <c r="AH264">
        <f t="shared" si="175"/>
        <v>9.8215301663113794E-5</v>
      </c>
      <c r="AI264">
        <f t="shared" si="176"/>
        <v>1.5707963267948966</v>
      </c>
      <c r="AJ264" t="str">
        <f t="shared" si="162"/>
        <v>1+2.26277270753379i</v>
      </c>
      <c r="AK264">
        <f t="shared" si="177"/>
        <v>2.4738917369116615</v>
      </c>
      <c r="AL264">
        <f t="shared" si="178"/>
        <v>1.1546688923906916</v>
      </c>
      <c r="AM264" t="str">
        <f t="shared" si="163"/>
        <v>1+17.0336501039349i</v>
      </c>
      <c r="AN264">
        <f t="shared" si="179"/>
        <v>17.062978516756136</v>
      </c>
      <c r="AO264">
        <f t="shared" si="180"/>
        <v>1.5121563104809936</v>
      </c>
      <c r="AP264" s="42" t="str">
        <f t="shared" si="181"/>
        <v>-0.820237529986725+2.19586692565221i</v>
      </c>
      <c r="AQ264">
        <f t="shared" si="182"/>
        <v>7.3993775436497158</v>
      </c>
      <c r="AR264" s="44">
        <f t="shared" si="183"/>
        <v>110.48252028560302</v>
      </c>
      <c r="AS264" s="42" t="str">
        <f t="shared" si="184"/>
        <v>3.13358374475099+1.03482758536779i</v>
      </c>
      <c r="AT264" s="20">
        <f t="shared" si="185"/>
        <v>10.370364625425132</v>
      </c>
      <c r="AU264" s="44">
        <f t="shared" si="186"/>
        <v>18.275172394997888</v>
      </c>
    </row>
    <row r="265" spans="14:47" x14ac:dyDescent="0.3">
      <c r="N265" s="8">
        <v>47</v>
      </c>
      <c r="O265" s="35">
        <f t="shared" si="187"/>
        <v>2951.2092266663876</v>
      </c>
      <c r="P265" s="34" t="str">
        <f t="shared" si="155"/>
        <v>545.10556621881</v>
      </c>
      <c r="Q265" s="4" t="str">
        <f t="shared" si="156"/>
        <v>1+396.129612752623i</v>
      </c>
      <c r="R265" s="4">
        <f t="shared" si="164"/>
        <v>396.13087496374618</v>
      </c>
      <c r="S265" s="4">
        <f t="shared" si="165"/>
        <v>1.5682719058892827</v>
      </c>
      <c r="T265" s="4" t="str">
        <f t="shared" si="157"/>
        <v>1+0.00927149722570155i</v>
      </c>
      <c r="U265" s="4">
        <f t="shared" si="166"/>
        <v>1.0000429794067884</v>
      </c>
      <c r="V265" s="4">
        <f t="shared" si="167"/>
        <v>9.2712315780598357E-3</v>
      </c>
      <c r="W265" t="str">
        <f t="shared" si="158"/>
        <v>1-0.00963123131805874i</v>
      </c>
      <c r="X265" s="4">
        <f t="shared" si="168"/>
        <v>1.0000463792328345</v>
      </c>
      <c r="Y265" s="4">
        <f t="shared" si="169"/>
        <v>-9.6309335349798689E-3</v>
      </c>
      <c r="Z265" t="str">
        <f t="shared" si="159"/>
        <v>0.999442583302428+0.0417074469146501i</v>
      </c>
      <c r="AA265" s="4">
        <f t="shared" si="170"/>
        <v>1.0003124454121168</v>
      </c>
      <c r="AB265" s="4">
        <f t="shared" si="171"/>
        <v>4.1706509579087406E-2</v>
      </c>
      <c r="AC265" s="48" t="str">
        <f t="shared" si="172"/>
        <v>-0.0543861368419381-1.37469213745947i</v>
      </c>
      <c r="AD265" s="20">
        <f t="shared" si="173"/>
        <v>2.7709011701964235</v>
      </c>
      <c r="AE265" s="44">
        <f t="shared" si="174"/>
        <v>-92.265577717511491</v>
      </c>
      <c r="AF265" t="str">
        <f t="shared" si="160"/>
        <v>-0.0000333790427773504</v>
      </c>
      <c r="AG265" t="str">
        <f t="shared" si="161"/>
        <v>0.000100503029926605i</v>
      </c>
      <c r="AH265">
        <f t="shared" si="175"/>
        <v>1.00503029926605E-4</v>
      </c>
      <c r="AI265">
        <f t="shared" si="176"/>
        <v>1.5707963267948966</v>
      </c>
      <c r="AJ265" t="str">
        <f t="shared" si="162"/>
        <v>1+2.31547945474347i</v>
      </c>
      <c r="AK265">
        <f t="shared" si="177"/>
        <v>2.5221905370806379</v>
      </c>
      <c r="AL265">
        <f t="shared" si="178"/>
        <v>1.163116092792742</v>
      </c>
      <c r="AM265" t="str">
        <f t="shared" si="163"/>
        <v>1+17.430414784319i</v>
      </c>
      <c r="AN265">
        <f t="shared" si="179"/>
        <v>17.459076709648947</v>
      </c>
      <c r="AO265">
        <f t="shared" si="180"/>
        <v>1.5134881656973411</v>
      </c>
      <c r="AP265" s="42" t="str">
        <f t="shared" si="181"/>
        <v>-0.789123964918632+2.15932009397336i</v>
      </c>
      <c r="AQ265">
        <f t="shared" si="182"/>
        <v>7.230762087959314</v>
      </c>
      <c r="AR265" s="44">
        <f t="shared" si="183"/>
        <v>110.07484103668354</v>
      </c>
      <c r="AS265" s="42" t="str">
        <f t="shared" si="184"/>
        <v>3.01131775938474+0.967365431938104i</v>
      </c>
      <c r="AT265" s="20">
        <f t="shared" si="185"/>
        <v>10.001663258155739</v>
      </c>
      <c r="AU265" s="44">
        <f t="shared" si="186"/>
        <v>17.809263319172029</v>
      </c>
    </row>
    <row r="266" spans="14:47" x14ac:dyDescent="0.3">
      <c r="N266" s="8">
        <v>48</v>
      </c>
      <c r="O266" s="35">
        <f t="shared" si="187"/>
        <v>3019.9517204020176</v>
      </c>
      <c r="P266" s="34" t="str">
        <f t="shared" si="155"/>
        <v>545.10556621881</v>
      </c>
      <c r="Q266" s="4" t="str">
        <f t="shared" si="156"/>
        <v>1+405.356656764648i</v>
      </c>
      <c r="R266" s="4">
        <f t="shared" si="164"/>
        <v>405.35789024442664</v>
      </c>
      <c r="S266" s="4">
        <f t="shared" si="165"/>
        <v>1.5683293684887154</v>
      </c>
      <c r="T266" s="4" t="str">
        <f t="shared" si="157"/>
        <v>1+0.00948745813901085i</v>
      </c>
      <c r="U266" s="4">
        <f t="shared" si="166"/>
        <v>1.0000450049182485</v>
      </c>
      <c r="V266" s="4">
        <f t="shared" si="167"/>
        <v>9.4871734931262081E-3</v>
      </c>
      <c r="W266" t="str">
        <f t="shared" si="158"/>
        <v>1-0.00985557151480444i</v>
      </c>
      <c r="X266" s="4">
        <f t="shared" si="168"/>
        <v>1.0000485649656639</v>
      </c>
      <c r="Y266" s="4">
        <f t="shared" si="169"/>
        <v>-9.8552524353235395E-3</v>
      </c>
      <c r="Z266" t="str">
        <f t="shared" si="159"/>
        <v>0.999416313062812+0.042678938153683i</v>
      </c>
      <c r="AA266" s="4">
        <f t="shared" si="170"/>
        <v>1.000327175767004</v>
      </c>
      <c r="AB266" s="4">
        <f t="shared" si="171"/>
        <v>4.2677933667462954E-2</v>
      </c>
      <c r="AC266" s="48" t="str">
        <f t="shared" si="172"/>
        <v>-0.054541023081202-1.34333054074325i</v>
      </c>
      <c r="AD266" s="20">
        <f t="shared" si="173"/>
        <v>2.57081108722867</v>
      </c>
      <c r="AE266" s="44">
        <f t="shared" si="174"/>
        <v>-92.325008548221518</v>
      </c>
      <c r="AF266" t="str">
        <f t="shared" si="160"/>
        <v>-0.0000333790427773504</v>
      </c>
      <c r="AG266" t="str">
        <f t="shared" si="161"/>
        <v>0.000102844046226877i</v>
      </c>
      <c r="AH266">
        <f t="shared" si="175"/>
        <v>1.02844046226877E-4</v>
      </c>
      <c r="AI266">
        <f t="shared" si="176"/>
        <v>1.5707963267948966</v>
      </c>
      <c r="AJ266" t="str">
        <f t="shared" si="162"/>
        <v>1+2.36941389980906i</v>
      </c>
      <c r="AK266">
        <f t="shared" si="177"/>
        <v>2.5717935820373254</v>
      </c>
      <c r="AL266">
        <f t="shared" si="178"/>
        <v>1.171430996398559</v>
      </c>
      <c r="AM266" t="str">
        <f t="shared" si="163"/>
        <v>1+17.8364213013404i</v>
      </c>
      <c r="AN266">
        <f t="shared" si="179"/>
        <v>17.864431836442758</v>
      </c>
      <c r="AO266">
        <f t="shared" si="180"/>
        <v>1.5147899008888592</v>
      </c>
      <c r="AP266" s="42" t="str">
        <f t="shared" si="181"/>
        <v>-0.758977323162296+2.12289121625046i</v>
      </c>
      <c r="AQ266">
        <f t="shared" si="182"/>
        <v>7.0609564678605441</v>
      </c>
      <c r="AR266" s="44">
        <f t="shared" si="183"/>
        <v>109.67301608552971</v>
      </c>
      <c r="AS266" s="42" t="str">
        <f t="shared" si="184"/>
        <v>2.89314000516553+0.903772759111074i</v>
      </c>
      <c r="AT266" s="20">
        <f t="shared" si="185"/>
        <v>9.6317675550892172</v>
      </c>
      <c r="AU266" s="44">
        <f t="shared" si="186"/>
        <v>17.348007537308174</v>
      </c>
    </row>
    <row r="267" spans="14:47" x14ac:dyDescent="0.3">
      <c r="N267" s="8">
        <v>49</v>
      </c>
      <c r="O267" s="35">
        <f t="shared" si="187"/>
        <v>3090.295432513592</v>
      </c>
      <c r="P267" s="34" t="str">
        <f t="shared" si="155"/>
        <v>545.10556621881</v>
      </c>
      <c r="Q267" s="4" t="str">
        <f t="shared" si="156"/>
        <v>1+414.798626241619i</v>
      </c>
      <c r="R267" s="4">
        <f t="shared" si="164"/>
        <v>414.79983164405252</v>
      </c>
      <c r="S267" s="4">
        <f t="shared" si="165"/>
        <v>1.5683855230954362</v>
      </c>
      <c r="T267" s="4" t="str">
        <f t="shared" si="157"/>
        <v>1+0.0097084494282068i</v>
      </c>
      <c r="U267" s="4">
        <f t="shared" si="166"/>
        <v>1.0000471258847254</v>
      </c>
      <c r="V267" s="4">
        <f t="shared" si="167"/>
        <v>9.7081444254225081E-3</v>
      </c>
      <c r="W267" t="str">
        <f t="shared" si="158"/>
        <v>1-0.0100851372660212i</v>
      </c>
      <c r="X267" s="4">
        <f t="shared" si="168"/>
        <v>1.0000508537037875</v>
      </c>
      <c r="Y267" s="4">
        <f t="shared" si="169"/>
        <v>-1.0084795367136501E-2</v>
      </c>
      <c r="Z267" t="str">
        <f t="shared" si="159"/>
        <v>0.999388804744946+0.0436730583306475i</v>
      </c>
      <c r="AA267" s="4">
        <f t="shared" si="170"/>
        <v>1.000342600849071</v>
      </c>
      <c r="AB267" s="4">
        <f t="shared" si="171"/>
        <v>4.3671981877411351E-2</v>
      </c>
      <c r="AC267" s="48" t="str">
        <f t="shared" si="172"/>
        <v>-0.0546888024269751-1.31268116300665i</v>
      </c>
      <c r="AD267" s="20">
        <f t="shared" si="173"/>
        <v>2.3707166414656502</v>
      </c>
      <c r="AE267" s="44">
        <f t="shared" si="174"/>
        <v>-92.385671876643698</v>
      </c>
      <c r="AF267" t="str">
        <f t="shared" si="160"/>
        <v>-0.0000333790427773504</v>
      </c>
      <c r="AG267" t="str">
        <f t="shared" si="161"/>
        <v>0.000105239591801762i</v>
      </c>
      <c r="AH267">
        <f t="shared" si="175"/>
        <v>1.05239591801762E-4</v>
      </c>
      <c r="AI267">
        <f t="shared" si="176"/>
        <v>1.5707963267948966</v>
      </c>
      <c r="AJ267" t="str">
        <f t="shared" si="162"/>
        <v>1+2.42460463948722i</v>
      </c>
      <c r="AK267">
        <f t="shared" si="177"/>
        <v>2.6227290477330962</v>
      </c>
      <c r="AL267">
        <f t="shared" si="178"/>
        <v>1.1796134118473445</v>
      </c>
      <c r="AM267" t="str">
        <f t="shared" si="163"/>
        <v>1+18.2518849250288i</v>
      </c>
      <c r="AN267">
        <f t="shared" si="179"/>
        <v>18.279258828423366</v>
      </c>
      <c r="AO267">
        <f t="shared" si="180"/>
        <v>1.5160621885963155</v>
      </c>
      <c r="AP267" s="42" t="str">
        <f t="shared" si="181"/>
        <v>-0.729783708488954+2.08660887958611i</v>
      </c>
      <c r="AQ267">
        <f t="shared" si="182"/>
        <v>6.8899975862305656</v>
      </c>
      <c r="AR267" s="44">
        <f t="shared" si="183"/>
        <v>109.27709493005528</v>
      </c>
      <c r="AS267" s="42" t="str">
        <f t="shared" si="184"/>
        <v>2.77896316784308+0.843859186444529i</v>
      </c>
      <c r="AT267" s="20">
        <f t="shared" si="185"/>
        <v>9.2607142276962264</v>
      </c>
      <c r="AU267" s="44">
        <f t="shared" si="186"/>
        <v>16.891423053411547</v>
      </c>
    </row>
    <row r="268" spans="14:47" x14ac:dyDescent="0.3">
      <c r="N268" s="8">
        <v>50</v>
      </c>
      <c r="O268" s="35">
        <f t="shared" si="187"/>
        <v>3162.2776601683804</v>
      </c>
      <c r="P268" s="34" t="str">
        <f t="shared" si="155"/>
        <v>545.10556621881</v>
      </c>
      <c r="Q268" s="4" t="str">
        <f t="shared" si="156"/>
        <v>1+424.460527440732i</v>
      </c>
      <c r="R268" s="4">
        <f t="shared" si="164"/>
        <v>424.46170540493335</v>
      </c>
      <c r="S268" s="4">
        <f t="shared" si="165"/>
        <v>1.5684403994819434</v>
      </c>
      <c r="T268" s="4" t="str">
        <f t="shared" si="157"/>
        <v>1+0.0099345882657961i</v>
      </c>
      <c r="U268" s="4">
        <f t="shared" si="166"/>
        <v>1.0000493468044518</v>
      </c>
      <c r="V268" s="4">
        <f t="shared" si="167"/>
        <v>9.9342614502955489E-3</v>
      </c>
      <c r="W268" t="str">
        <f t="shared" si="158"/>
        <v>1-0.010320050290509i</v>
      </c>
      <c r="X268" s="4">
        <f t="shared" si="168"/>
        <v>1.0000532503012021</v>
      </c>
      <c r="Y268" s="4">
        <f t="shared" si="169"/>
        <v>-1.0319683940307162E-2</v>
      </c>
      <c r="Z268" t="str">
        <f t="shared" si="159"/>
        <v>0.99936+0.0446903345412201i</v>
      </c>
      <c r="AA268" s="4">
        <f t="shared" si="170"/>
        <v>1.0003587534486846</v>
      </c>
      <c r="AB268" s="4">
        <f t="shared" si="171"/>
        <v>4.4689180958464858E-2</v>
      </c>
      <c r="AC268" s="48" t="str">
        <f t="shared" si="172"/>
        <v>-0.0548297883288345-1.2827277560107i</v>
      </c>
      <c r="AD268" s="20">
        <f t="shared" si="173"/>
        <v>2.1706176322148925</v>
      </c>
      <c r="AE268" s="44">
        <f t="shared" si="174"/>
        <v>-92.447599848951711</v>
      </c>
      <c r="AF268" t="str">
        <f t="shared" si="160"/>
        <v>-0.0000333790427773504</v>
      </c>
      <c r="AG268" t="str">
        <f t="shared" si="161"/>
        <v>0.00010769093680123i</v>
      </c>
      <c r="AH268">
        <f t="shared" si="175"/>
        <v>1.0769093680122999E-4</v>
      </c>
      <c r="AI268">
        <f t="shared" si="176"/>
        <v>1.5707963267948966</v>
      </c>
      <c r="AJ268" t="str">
        <f t="shared" si="162"/>
        <v>1+2.48108093663867i</v>
      </c>
      <c r="AK268">
        <f t="shared" si="177"/>
        <v>2.6750257221476992</v>
      </c>
      <c r="AL268">
        <f t="shared" si="178"/>
        <v>1.1876632938866247</v>
      </c>
      <c r="AM268" t="str">
        <f t="shared" si="163"/>
        <v>1+18.6770259396967i</v>
      </c>
      <c r="AN268">
        <f t="shared" si="179"/>
        <v>18.703777638544128</v>
      </c>
      <c r="AO268">
        <f t="shared" si="180"/>
        <v>1.5173056869183814</v>
      </c>
      <c r="AP268" s="42" t="str">
        <f t="shared" si="181"/>
        <v>-0.701528132614334+2.05050027630567i</v>
      </c>
      <c r="AQ268">
        <f t="shared" si="182"/>
        <v>6.7179218300570698</v>
      </c>
      <c r="AR268" s="44">
        <f t="shared" si="183"/>
        <v>108.88711786931233</v>
      </c>
      <c r="AS268" s="42" t="str">
        <f t="shared" si="184"/>
        <v>2.66869825714286+0.787441111208705i</v>
      </c>
      <c r="AT268" s="20">
        <f t="shared" si="185"/>
        <v>8.8885394622719662</v>
      </c>
      <c r="AU268" s="44">
        <f t="shared" si="186"/>
        <v>16.439518020360616</v>
      </c>
    </row>
    <row r="269" spans="14:47" x14ac:dyDescent="0.3">
      <c r="N269" s="8">
        <v>51</v>
      </c>
      <c r="O269" s="35">
        <f t="shared" si="187"/>
        <v>3235.9365692962833</v>
      </c>
      <c r="P269" s="34" t="str">
        <f t="shared" si="155"/>
        <v>545.10556621881</v>
      </c>
      <c r="Q269" s="4" t="str">
        <f t="shared" si="156"/>
        <v>1+434.347483229893i</v>
      </c>
      <c r="R269" s="4">
        <f t="shared" si="164"/>
        <v>434.34863438042737</v>
      </c>
      <c r="S269" s="4">
        <f t="shared" si="165"/>
        <v>1.5684940267431009</v>
      </c>
      <c r="T269" s="4" t="str">
        <f t="shared" si="157"/>
        <v>1+0.0101659945535838i</v>
      </c>
      <c r="U269" s="4">
        <f t="shared" si="166"/>
        <v>1.0000516723876138</v>
      </c>
      <c r="V269" s="4">
        <f t="shared" si="167"/>
        <v>1.0165644365442948E-2</v>
      </c>
      <c r="W269" t="str">
        <f t="shared" si="158"/>
        <v>1-0.0105604351422628i</v>
      </c>
      <c r="X269" s="4">
        <f t="shared" si="168"/>
        <v>1.000055759840617</v>
      </c>
      <c r="Y269" s="4">
        <f t="shared" si="169"/>
        <v>-1.0560042592131157E-2</v>
      </c>
      <c r="Z269" t="str">
        <f t="shared" si="159"/>
        <v>0.999329837729247+0.045731306158713i</v>
      </c>
      <c r="AA269" s="4">
        <f t="shared" si="170"/>
        <v>1.0003756679062847</v>
      </c>
      <c r="AB269" s="4">
        <f t="shared" si="171"/>
        <v>4.5730069912830504E-2</v>
      </c>
      <c r="AC269" s="48" t="str">
        <f t="shared" si="172"/>
        <v>-0.0549642798276536-1.25345444038529i</v>
      </c>
      <c r="AD269" s="20">
        <f t="shared" si="173"/>
        <v>1.9705138490697018</v>
      </c>
      <c r="AE269" s="44">
        <f t="shared" si="174"/>
        <v>-92.510825280539422</v>
      </c>
      <c r="AF269" t="str">
        <f t="shared" si="160"/>
        <v>-0.0000333790427773504</v>
      </c>
      <c r="AG269" t="str">
        <f t="shared" si="161"/>
        <v>0.000110199380960848i</v>
      </c>
      <c r="AH269">
        <f t="shared" si="175"/>
        <v>1.10199380960848E-4</v>
      </c>
      <c r="AI269">
        <f t="shared" si="176"/>
        <v>1.5707963267948966</v>
      </c>
      <c r="AJ269" t="str">
        <f t="shared" si="162"/>
        <v>1+2.53887273574372i</v>
      </c>
      <c r="AK269">
        <f t="shared" si="177"/>
        <v>2.7287130241750965</v>
      </c>
      <c r="AL269">
        <f t="shared" si="178"/>
        <v>1.1955807365282785</v>
      </c>
      <c r="AM269" t="str">
        <f t="shared" si="163"/>
        <v>1+19.1120697607375i</v>
      </c>
      <c r="AN269">
        <f t="shared" si="179"/>
        <v>19.138213358077518</v>
      </c>
      <c r="AO269">
        <f t="shared" si="180"/>
        <v>1.5185210397831557</v>
      </c>
      <c r="AP269" s="42" t="str">
        <f t="shared" si="181"/>
        <v>-0.674194629959059+2.01459119110644i</v>
      </c>
      <c r="AQ269">
        <f t="shared" si="182"/>
        <v>6.5447650265971067</v>
      </c>
      <c r="AR269" s="44">
        <f t="shared" si="183"/>
        <v>108.50311641117938</v>
      </c>
      <c r="AS269" s="42" t="str">
        <f t="shared" si="184"/>
        <v>2.56225489635283+0.7343416986398i</v>
      </c>
      <c r="AT269" s="20">
        <f t="shared" si="185"/>
        <v>8.5152788756668123</v>
      </c>
      <c r="AU269" s="44">
        <f t="shared" si="186"/>
        <v>15.992291130639952</v>
      </c>
    </row>
    <row r="270" spans="14:47" x14ac:dyDescent="0.3">
      <c r="N270" s="8">
        <v>52</v>
      </c>
      <c r="O270" s="35">
        <f t="shared" si="187"/>
        <v>3311.3112148259115</v>
      </c>
      <c r="P270" s="34" t="str">
        <f t="shared" si="155"/>
        <v>545.10556621881</v>
      </c>
      <c r="Q270" s="4" t="str">
        <f t="shared" si="156"/>
        <v>1+444.464735803933i</v>
      </c>
      <c r="R270" s="4">
        <f t="shared" si="164"/>
        <v>444.46586075114919</v>
      </c>
      <c r="S270" s="4">
        <f t="shared" si="165"/>
        <v>1.5685464333115577</v>
      </c>
      <c r="T270" s="4" t="str">
        <f t="shared" si="157"/>
        <v>1+0.0104027909862466i</v>
      </c>
      <c r="U270" s="4">
        <f t="shared" si="166"/>
        <v>1.0000541075663374</v>
      </c>
      <c r="V270" s="4">
        <f t="shared" si="167"/>
        <v>1.0402415753989685E-2</v>
      </c>
      <c r="W270" t="str">
        <f t="shared" si="158"/>
        <v>1-0.0108064192765129i</v>
      </c>
      <c r="X270" s="4">
        <f t="shared" si="168"/>
        <v>1.0000583876442313</v>
      </c>
      <c r="Y270" s="4">
        <f t="shared" si="169"/>
        <v>-1.0805998652794904E-2</v>
      </c>
      <c r="Z270" t="str">
        <f t="shared" si="159"/>
        <v>0.999298253954468+0.0467965251200569i</v>
      </c>
      <c r="AA270" s="4">
        <f t="shared" si="170"/>
        <v>1.0003933801858949</v>
      </c>
      <c r="AB270" s="4">
        <f t="shared" si="171"/>
        <v>4.6795200279562507E-2</v>
      </c>
      <c r="AC270" s="48" t="str">
        <f>(IMDIV(IMPRODUCT(P270,T270,W270),IMPRODUCT(Q270,Z270)))</f>
        <v>-0.0550925621898292-1.22484569722075i</v>
      </c>
      <c r="AD270" s="20">
        <f t="shared" si="173"/>
        <v>1.7704050714591375</v>
      </c>
      <c r="AE270" s="44">
        <f t="shared" si="174"/>
        <v>-92.57538167332423</v>
      </c>
      <c r="AF270" t="str">
        <f t="shared" si="160"/>
        <v>-0.0000333790427773504</v>
      </c>
      <c r="AG270" t="str">
        <f t="shared" si="161"/>
        <v>0.000112766254290913i</v>
      </c>
      <c r="AH270">
        <f t="shared" si="175"/>
        <v>1.12766254290913E-4</v>
      </c>
      <c r="AI270">
        <f t="shared" si="176"/>
        <v>1.5707963267948966</v>
      </c>
      <c r="AJ270" t="str">
        <f t="shared" si="162"/>
        <v>1+2.59801067877922i</v>
      </c>
      <c r="AK270">
        <f t="shared" si="177"/>
        <v>2.7838210228121465</v>
      </c>
      <c r="AL270">
        <f t="shared" si="178"/>
        <v>1.203365966173314</v>
      </c>
      <c r="AM270" t="str">
        <f t="shared" si="163"/>
        <v>1+19.5572470541437i</v>
      </c>
      <c r="AN270">
        <f t="shared" si="179"/>
        <v>19.5827963359887</v>
      </c>
      <c r="AO270">
        <f t="shared" si="180"/>
        <v>1.5197088772172578</v>
      </c>
      <c r="AP270" s="42" t="str">
        <f t="shared" si="181"/>
        <v>-0.647766368641804+1.97890599606877i</v>
      </c>
      <c r="AQ270">
        <f t="shared" si="182"/>
        <v>6.370562404147516</v>
      </c>
      <c r="AR270" s="44">
        <f t="shared" si="183"/>
        <v>108.12511368170044</v>
      </c>
      <c r="AS270" s="42" t="str">
        <f t="shared" si="184"/>
        <v>2.45954160343805+0.684390847778979i</v>
      </c>
      <c r="AT270" s="20">
        <f t="shared" si="185"/>
        <v>8.1409674756066401</v>
      </c>
      <c r="AU270" s="44">
        <f t="shared" si="186"/>
        <v>15.549732008376225</v>
      </c>
    </row>
    <row r="271" spans="14:47" x14ac:dyDescent="0.3">
      <c r="N271" s="8">
        <v>53</v>
      </c>
      <c r="O271" s="35">
        <f t="shared" si="187"/>
        <v>3388.4415613920314</v>
      </c>
      <c r="P271" s="34" t="str">
        <f t="shared" si="155"/>
        <v>545.10556621881</v>
      </c>
      <c r="Q271" s="4" t="str">
        <f t="shared" si="156"/>
        <v>1+454.817649464082i</v>
      </c>
      <c r="R271" s="4">
        <f t="shared" si="164"/>
        <v>454.81874880443593</v>
      </c>
      <c r="S271" s="4">
        <f t="shared" si="165"/>
        <v>1.5685976469728182</v>
      </c>
      <c r="T271" s="4" t="str">
        <f t="shared" si="157"/>
        <v>1+0.0106451031163876i</v>
      </c>
      <c r="U271" s="4">
        <f t="shared" si="166"/>
        <v>1.0000566575051428</v>
      </c>
      <c r="V271" s="4">
        <f t="shared" si="167"/>
        <v>1.0644701049010621E-2</v>
      </c>
      <c r="W271" t="str">
        <f t="shared" si="158"/>
        <v>1-0.0110581331173034i</v>
      </c>
      <c r="X271" s="4">
        <f t="shared" si="168"/>
        <v>1.0000611392850138</v>
      </c>
      <c r="Y271" s="4">
        <f t="shared" si="169"/>
        <v>-1.1057682412357482E-2</v>
      </c>
      <c r="Z271" t="str">
        <f t="shared" si="159"/>
        <v>0.999265181682242+0.0478865562184446i</v>
      </c>
      <c r="AA271" s="4">
        <f t="shared" si="170"/>
        <v>1.0004119279521344</v>
      </c>
      <c r="AB271" s="4">
        <f t="shared" si="171"/>
        <v>4.7885136425263458E-2</v>
      </c>
      <c r="AC271" s="48" t="str">
        <f t="shared" si="172"/>
        <v>-0.0552149075123044-1.19688635985001i</v>
      </c>
      <c r="AD271" s="20">
        <f t="shared" si="173"/>
        <v>1.5702910681767321</v>
      </c>
      <c r="AE271" s="44">
        <f t="shared" si="174"/>
        <v>-92.641303233407442</v>
      </c>
      <c r="AF271" t="str">
        <f t="shared" si="160"/>
        <v>-0.0000333790427773504</v>
      </c>
      <c r="AG271" t="str">
        <f t="shared" si="161"/>
        <v>0.000115392917781641i</v>
      </c>
      <c r="AH271">
        <f t="shared" si="175"/>
        <v>1.1539291778164101E-4</v>
      </c>
      <c r="AI271">
        <f t="shared" si="176"/>
        <v>1.5707963267948966</v>
      </c>
      <c r="AJ271" t="str">
        <f t="shared" si="162"/>
        <v>1+2.65852612146535i</v>
      </c>
      <c r="AK271">
        <f t="shared" si="177"/>
        <v>2.8403804566490023</v>
      </c>
      <c r="AL271">
        <f t="shared" si="178"/>
        <v>1.2110193347397786</v>
      </c>
      <c r="AM271" t="str">
        <f t="shared" si="163"/>
        <v>1+20.0127938588086i</v>
      </c>
      <c r="AN271">
        <f t="shared" si="179"/>
        <v>20.037762301094581</v>
      </c>
      <c r="AO271">
        <f t="shared" si="180"/>
        <v>1.5208698156123015</v>
      </c>
      <c r="AP271" s="42" t="str">
        <f t="shared" si="181"/>
        <v>-0.622225757301276+1.94346765288864i</v>
      </c>
      <c r="AQ271">
        <f t="shared" si="182"/>
        <v>6.1953485572633626</v>
      </c>
      <c r="AR271" s="44">
        <f t="shared" si="183"/>
        <v>107.75312483409463</v>
      </c>
      <c r="AS271" s="42" t="str">
        <f t="shared" si="184"/>
        <v>2.36046606219329+0.637425134953838i</v>
      </c>
      <c r="AT271" s="20">
        <f t="shared" si="185"/>
        <v>7.765639625440091</v>
      </c>
      <c r="AU271" s="44">
        <f t="shared" si="186"/>
        <v>15.1118216006872</v>
      </c>
    </row>
    <row r="272" spans="14:47" x14ac:dyDescent="0.3">
      <c r="N272" s="8">
        <v>54</v>
      </c>
      <c r="O272" s="35">
        <f t="shared" si="187"/>
        <v>3467.3685045253224</v>
      </c>
      <c r="P272" s="34" t="str">
        <f t="shared" si="155"/>
        <v>545.10556621881</v>
      </c>
      <c r="Q272" s="4" t="str">
        <f t="shared" si="156"/>
        <v>1+465.4117134622i</v>
      </c>
      <c r="R272" s="4">
        <f t="shared" si="164"/>
        <v>465.41278777857082</v>
      </c>
      <c r="S272" s="4">
        <f t="shared" si="165"/>
        <v>1.5686476948799679</v>
      </c>
      <c r="T272" s="4" t="str">
        <f t="shared" si="157"/>
        <v>1+0.0108930594211054i</v>
      </c>
      <c r="U272" s="4">
        <f t="shared" si="166"/>
        <v>1.0000593276118932</v>
      </c>
      <c r="V272" s="4">
        <f t="shared" si="167"/>
        <v>1.0892628599529318E-2</v>
      </c>
      <c r="W272" t="str">
        <f t="shared" si="158"/>
        <v>1-0.0113157101266443i</v>
      </c>
      <c r="X272" s="4">
        <f t="shared" si="168"/>
        <v>1.0000640205985165</v>
      </c>
      <c r="Y272" s="4">
        <f t="shared" si="169"/>
        <v>-1.1315227189263512E-2</v>
      </c>
      <c r="Z272" t="str">
        <f t="shared" si="159"/>
        <v>0.999230550761845+0.0490019774027927i</v>
      </c>
      <c r="AA272" s="4">
        <f t="shared" si="170"/>
        <v>1.0004313506509099</v>
      </c>
      <c r="AB272" s="4">
        <f t="shared" si="171"/>
        <v>4.9000455841460844E-2</v>
      </c>
      <c r="AC272" s="48" t="str">
        <f t="shared" si="172"/>
        <v>-0.0553315752996595-1.16956160581691i</v>
      </c>
      <c r="AD272" s="20">
        <f t="shared" si="173"/>
        <v>1.3701715968861259</v>
      </c>
      <c r="AE272" s="44">
        <f t="shared" si="174"/>
        <v>-92.708624889100292</v>
      </c>
      <c r="AF272" t="str">
        <f t="shared" si="160"/>
        <v>-0.0000333790427773504</v>
      </c>
      <c r="AG272" t="str">
        <f t="shared" si="161"/>
        <v>0.000118080764124782i</v>
      </c>
      <c r="AH272">
        <f t="shared" si="175"/>
        <v>1.18080764124782E-4</v>
      </c>
      <c r="AI272">
        <f t="shared" si="176"/>
        <v>1.5707963267948966</v>
      </c>
      <c r="AJ272" t="str">
        <f t="shared" si="162"/>
        <v>1+2.72045114989082i</v>
      </c>
      <c r="AK272">
        <f t="shared" si="177"/>
        <v>2.8984227536614262</v>
      </c>
      <c r="AL272">
        <f t="shared" si="178"/>
        <v>1.2185413128252334</v>
      </c>
      <c r="AM272" t="str">
        <f t="shared" si="163"/>
        <v>1+20.4789517116782i</v>
      </c>
      <c r="AN272">
        <f t="shared" si="179"/>
        <v>20.50335248707507</v>
      </c>
      <c r="AO272">
        <f t="shared" si="180"/>
        <v>1.522004457988587</v>
      </c>
      <c r="AP272" s="42" t="str">
        <f t="shared" si="181"/>
        <v>-0.597554547417965+1.90829772169189i</v>
      </c>
      <c r="AQ272">
        <f t="shared" si="182"/>
        <v>6.0191574162479018</v>
      </c>
      <c r="AR272" s="44">
        <f t="shared" si="183"/>
        <v>107.38715745562604</v>
      </c>
      <c r="AS272" s="42" t="str">
        <f t="shared" si="184"/>
        <v>2.26493538219483+0.593287736959389i</v>
      </c>
      <c r="AT272" s="20">
        <f t="shared" si="185"/>
        <v>7.3893290131340317</v>
      </c>
      <c r="AU272" s="44">
        <f t="shared" si="186"/>
        <v>14.67853256652575</v>
      </c>
    </row>
    <row r="273" spans="14:47" x14ac:dyDescent="0.3">
      <c r="N273" s="8">
        <v>55</v>
      </c>
      <c r="O273" s="35">
        <f t="shared" si="187"/>
        <v>3548.1338923357539</v>
      </c>
      <c r="P273" s="34" t="str">
        <f t="shared" si="155"/>
        <v>545.10556621881</v>
      </c>
      <c r="Q273" s="4" t="str">
        <f t="shared" si="156"/>
        <v>1+476.252544911245i</v>
      </c>
      <c r="R273" s="4">
        <f t="shared" si="164"/>
        <v>476.25359477324417</v>
      </c>
      <c r="S273" s="4">
        <f t="shared" si="165"/>
        <v>1.5686966035680667</v>
      </c>
      <c r="T273" s="4" t="str">
        <f t="shared" si="157"/>
        <v>1+0.011146791370115i</v>
      </c>
      <c r="U273" s="4">
        <f t="shared" si="166"/>
        <v>1.0000621235492568</v>
      </c>
      <c r="V273" s="4">
        <f t="shared" si="167"/>
        <v>1.114632973802789E-2</v>
      </c>
      <c r="W273" t="str">
        <f t="shared" si="158"/>
        <v>1-0.0115792868752754i</v>
      </c>
      <c r="X273" s="4">
        <f t="shared" si="168"/>
        <v>1.0000670376952436</v>
      </c>
      <c r="Y273" s="4">
        <f t="shared" si="169"/>
        <v>-1.1578769400422113E-2</v>
      </c>
      <c r="Z273" t="str">
        <f t="shared" si="159"/>
        <v>0.999194287736452+0.0501433800841774i</v>
      </c>
      <c r="AA273" s="4">
        <f t="shared" si="170"/>
        <v>1.0004516895939664</v>
      </c>
      <c r="AB273" s="4">
        <f t="shared" si="171"/>
        <v>5.0141749448804875E-2</v>
      </c>
      <c r="AC273" s="48" t="str">
        <f t="shared" si="172"/>
        <v>-0.0554428130145051-1.14285694902644i</v>
      </c>
      <c r="AD273" s="20">
        <f t="shared" si="173"/>
        <v>1.1700464036024059</v>
      </c>
      <c r="AE273" s="44">
        <f t="shared" si="174"/>
        <v>-92.777382309325233</v>
      </c>
      <c r="AF273" t="str">
        <f t="shared" si="160"/>
        <v>-0.0000333790427773504</v>
      </c>
      <c r="AG273" t="str">
        <f t="shared" si="161"/>
        <v>0.000120831218452046i</v>
      </c>
      <c r="AH273">
        <f t="shared" si="175"/>
        <v>1.20831218452046E-4</v>
      </c>
      <c r="AI273">
        <f t="shared" si="176"/>
        <v>1.5707963267948966</v>
      </c>
      <c r="AJ273" t="str">
        <f t="shared" si="162"/>
        <v>1+2.78381859752539i</v>
      </c>
      <c r="AK273">
        <f t="shared" si="177"/>
        <v>2.9579800513066736</v>
      </c>
      <c r="AL273">
        <f t="shared" si="178"/>
        <v>1.2259324829323415</v>
      </c>
      <c r="AM273" t="str">
        <f t="shared" si="163"/>
        <v>1+20.9559677758162i</v>
      </c>
      <c r="AN273">
        <f t="shared" si="179"/>
        <v>20.979813760399473</v>
      </c>
      <c r="AO273">
        <f t="shared" si="180"/>
        <v>1.5231133942558523</v>
      </c>
      <c r="AP273" s="42" t="str">
        <f t="shared" si="181"/>
        <v>-0.573733930876556+1.87341637579694i</v>
      </c>
      <c r="AQ273">
        <f t="shared" si="182"/>
        <v>5.8420222207234707</v>
      </c>
      <c r="AR273" s="44">
        <f t="shared" si="183"/>
        <v>107.0272119706887</v>
      </c>
      <c r="AS273" s="42" t="str">
        <f t="shared" si="184"/>
        <v>2.17285634654913+0.551828335972906i</v>
      </c>
      <c r="AT273" s="20">
        <f t="shared" si="185"/>
        <v>7.012068624325889</v>
      </c>
      <c r="AU273" s="44">
        <f t="shared" si="186"/>
        <v>14.249829661363449</v>
      </c>
    </row>
    <row r="274" spans="14:47" x14ac:dyDescent="0.3">
      <c r="N274" s="8">
        <v>56</v>
      </c>
      <c r="O274" s="35">
        <f t="shared" si="187"/>
        <v>3630.7805477010188</v>
      </c>
      <c r="P274" s="34" t="str">
        <f t="shared" si="155"/>
        <v>545.10556621881</v>
      </c>
      <c r="Q274" s="4" t="str">
        <f t="shared" si="156"/>
        <v>1+487.345891763554i</v>
      </c>
      <c r="R274" s="4">
        <f t="shared" si="164"/>
        <v>487.34691772782736</v>
      </c>
      <c r="S274" s="4">
        <f t="shared" si="165"/>
        <v>1.5687443989682115</v>
      </c>
      <c r="T274" s="4" t="str">
        <f t="shared" si="157"/>
        <v>1+0.0114064334954542i</v>
      </c>
      <c r="U274" s="4">
        <f t="shared" si="166"/>
        <v>1.0000650512467109</v>
      </c>
      <c r="V274" s="4">
        <f t="shared" si="167"/>
        <v>1.1405938849498684E-2</v>
      </c>
      <c r="W274" t="str">
        <f t="shared" si="158"/>
        <v>1-0.0118490031150778i</v>
      </c>
      <c r="X274" s="4">
        <f t="shared" si="168"/>
        <v>1.000070196973603</v>
      </c>
      <c r="Y274" s="4">
        <f t="shared" si="169"/>
        <v>-1.1848448632884553E-2</v>
      </c>
      <c r="Z274" t="str">
        <f t="shared" si="159"/>
        <v>0.999156315687324+0.0513113694494092i</v>
      </c>
      <c r="AA274" s="4">
        <f t="shared" si="170"/>
        <v>1.0004729880474741</v>
      </c>
      <c r="AB274" s="4">
        <f t="shared" si="171"/>
        <v>5.1309621908240906E-2</v>
      </c>
      <c r="AC274" s="48" t="str">
        <f t="shared" si="172"/>
        <v>-0.0555488566023373-1.11675823207285i</v>
      </c>
      <c r="AD274" s="20">
        <f t="shared" si="173"/>
        <v>0.96991522214846693</v>
      </c>
      <c r="AE274" s="44">
        <f t="shared" si="174"/>
        <v>-92.847611922400944</v>
      </c>
      <c r="AF274" t="str">
        <f t="shared" si="160"/>
        <v>-0.0000333790427773504</v>
      </c>
      <c r="AG274" t="str">
        <f t="shared" si="161"/>
        <v>0.000123645739090724i</v>
      </c>
      <c r="AH274">
        <f t="shared" si="175"/>
        <v>1.2364573909072401E-4</v>
      </c>
      <c r="AI274">
        <f t="shared" si="176"/>
        <v>1.5707963267948966</v>
      </c>
      <c r="AJ274" t="str">
        <f t="shared" si="162"/>
        <v>1+2.84866206262857i</v>
      </c>
      <c r="AK274">
        <f t="shared" si="177"/>
        <v>3.019085216925693</v>
      </c>
      <c r="AL274">
        <f t="shared" si="178"/>
        <v>1.2331935327832009</v>
      </c>
      <c r="AM274" t="str">
        <f t="shared" si="163"/>
        <v>1+21.444094971454i</v>
      </c>
      <c r="AN274">
        <f t="shared" si="179"/>
        <v>21.467398751239955</v>
      </c>
      <c r="AO274">
        <f t="shared" si="180"/>
        <v>1.5241972014709619</v>
      </c>
      <c r="AP274" s="42" t="str">
        <f t="shared" si="181"/>
        <v>-0.550744632575593+1.8388424218068i</v>
      </c>
      <c r="AQ274">
        <f t="shared" si="182"/>
        <v>5.6639754970876819</v>
      </c>
      <c r="AR274" s="44">
        <f t="shared" si="183"/>
        <v>106.67328203863201</v>
      </c>
      <c r="AS274" s="42" t="str">
        <f t="shared" si="184"/>
        <v>2.08413564665697+0.51290300819549i</v>
      </c>
      <c r="AT274" s="20">
        <f t="shared" si="185"/>
        <v>6.6338907192361543</v>
      </c>
      <c r="AU274" s="44">
        <f t="shared" si="186"/>
        <v>13.825670116231068</v>
      </c>
    </row>
    <row r="275" spans="14:47" x14ac:dyDescent="0.3">
      <c r="N275" s="8">
        <v>57</v>
      </c>
      <c r="O275" s="35">
        <f t="shared" si="187"/>
        <v>3715.352290971724</v>
      </c>
      <c r="P275" s="34" t="str">
        <f t="shared" ref="P275:P338" si="188">COMPLEX(Adc,0)</f>
        <v>545.10556621881</v>
      </c>
      <c r="Q275" s="4" t="str">
        <f t="shared" ref="Q275:Q338" si="189">IMSUM(COMPLEX(1,0),IMDIV(COMPLEX(0,2*PI()*O275),COMPLEX(wp_lf,0)))</f>
        <v>1+498.69763585846i</v>
      </c>
      <c r="R275" s="4">
        <f t="shared" si="164"/>
        <v>498.69863846898272</v>
      </c>
      <c r="S275" s="4">
        <f t="shared" si="165"/>
        <v>1.5687911064212823</v>
      </c>
      <c r="T275" s="4" t="str">
        <f t="shared" ref="T275:T338" si="190">IMSUM(COMPLEX(1,0),IMDIV(COMPLEX(0,2*PI()*O275),COMPLEX(wz_esr,0)))</f>
        <v>1+0.0116721234628148i</v>
      </c>
      <c r="U275" s="4">
        <f t="shared" si="166"/>
        <v>1.0000681169131087</v>
      </c>
      <c r="V275" s="4">
        <f t="shared" si="167"/>
        <v>1.1671593442073963E-2</v>
      </c>
      <c r="W275" t="str">
        <f t="shared" ref="W275:W338" si="191">IMSUB(COMPLEX(1,0),IMDIV(COMPLEX(0,2*PI()*O275),COMPLEX(wz_rhp,0)))</f>
        <v>1-0.012125001853172i</v>
      </c>
      <c r="X275" s="4">
        <f t="shared" si="168"/>
        <v>1.0000735051334675</v>
      </c>
      <c r="Y275" s="4">
        <f t="shared" si="169"/>
        <v>-1.2124407717156015E-2</v>
      </c>
      <c r="Z275" t="str">
        <f t="shared" ref="Z275:Z338" si="192">IMSUM(COMPLEX(1,0),IMDIV(COMPLEX(0,2*PI()*O275),COMPLEX(Q*(wsl/2),0)),IMDIV(IMPOWER(COMPLEX(0,2*PI()*O275),2),IMPOWER(COMPLEX(wsl/2,0),2)))</f>
        <v>0.999116554070654+0.0525065647819092i</v>
      </c>
      <c r="AA275" s="4">
        <f t="shared" si="170"/>
        <v>1.0004952913248593</v>
      </c>
      <c r="AB275" s="4">
        <f t="shared" si="171"/>
        <v>5.2504691939306729E-2</v>
      </c>
      <c r="AC275" s="48" t="str">
        <f t="shared" si="172"/>
        <v>-0.0556499309919713-1.09125161874168i</v>
      </c>
      <c r="AD275" s="20">
        <f t="shared" si="173"/>
        <v>0.76977777358575294</v>
      </c>
      <c r="AE275" s="44">
        <f t="shared" si="174"/>
        <v>-92.919350935220564</v>
      </c>
      <c r="AF275" t="str">
        <f t="shared" ref="AF275:AF338" si="193">COMPLEX(Adc_ea,0)</f>
        <v>-0.0000333790427773504</v>
      </c>
      <c r="AG275" t="str">
        <f t="shared" ref="AG275:AG338" si="194">COMPLEX(0,2*PI()*O275*wp0_ea)</f>
        <v>0.000126525818336912i</v>
      </c>
      <c r="AH275">
        <f t="shared" si="175"/>
        <v>1.2652581833691201E-4</v>
      </c>
      <c r="AI275">
        <f t="shared" si="176"/>
        <v>1.5707963267948966</v>
      </c>
      <c r="AJ275" t="str">
        <f t="shared" ref="AJ275:AJ338" si="195">IMSUM(COMPLEX(1,0),IMDIV(COMPLEX(0,2*PI()*O275),COMPLEX(wp1_ea,0)))</f>
        <v>1+2.91501592606386i</v>
      </c>
      <c r="AK275">
        <f t="shared" si="177"/>
        <v>3.0817718684558635</v>
      </c>
      <c r="AL275">
        <f t="shared" si="178"/>
        <v>1.2403252487453058</v>
      </c>
      <c r="AM275" t="str">
        <f t="shared" ref="AM275:AM338" si="196">IMSUM(COMPLEX(1,0),IMDIV(COMPLEX(0,2*PI()*O275),COMPLEX(wz_ea,0)))</f>
        <v>1+21.9435921100919i</v>
      </c>
      <c r="AN275">
        <f t="shared" si="179"/>
        <v>21.966365987438326</v>
      </c>
      <c r="AO275">
        <f t="shared" si="180"/>
        <v>1.5252564440924059</v>
      </c>
      <c r="AP275" s="42" t="str">
        <f t="shared" si="181"/>
        <v>-0.5285669979506+1.80459332442867i</v>
      </c>
      <c r="AQ275">
        <f t="shared" si="182"/>
        <v>5.485049039649244</v>
      </c>
      <c r="AR275" s="44">
        <f t="shared" si="183"/>
        <v>106.32535494500644</v>
      </c>
      <c r="AS275" s="42" t="str">
        <f t="shared" si="184"/>
        <v>1.9986801034138+0.476374098153995i</v>
      </c>
      <c r="AT275" s="20">
        <f t="shared" si="185"/>
        <v>6.2548268132349936</v>
      </c>
      <c r="AU275" s="44">
        <f t="shared" si="186"/>
        <v>13.40600400978588</v>
      </c>
    </row>
    <row r="276" spans="14:47" x14ac:dyDescent="0.3">
      <c r="N276" s="8">
        <v>58</v>
      </c>
      <c r="O276" s="35">
        <f t="shared" si="187"/>
        <v>3801.8939632056172</v>
      </c>
      <c r="P276" s="34" t="str">
        <f t="shared" si="188"/>
        <v>545.10556621881</v>
      </c>
      <c r="Q276" s="4" t="str">
        <f t="shared" si="189"/>
        <v>1+510.313796040941i</v>
      </c>
      <c r="R276" s="4">
        <f t="shared" ref="R276:R339" si="197">IMABS(Q276)</f>
        <v>510.31477582930631</v>
      </c>
      <c r="S276" s="4">
        <f t="shared" ref="S276:S339" si="198">IMARGUMENT(Q276)</f>
        <v>1.5688367506913732</v>
      </c>
      <c r="T276" s="4" t="str">
        <f t="shared" si="190"/>
        <v>1+0.0119440021445342i</v>
      </c>
      <c r="U276" s="4">
        <f t="shared" ref="U276:U339" si="199">IMABS(T276)</f>
        <v>1.0000713270498403</v>
      </c>
      <c r="V276" s="4">
        <f t="shared" ref="V276:V339" si="200">IMARGUMENT(T276)</f>
        <v>1.1943434219265862E-2</v>
      </c>
      <c r="W276" t="str">
        <f t="shared" si="191"/>
        <v>1-0.012407429427742i</v>
      </c>
      <c r="X276" s="4">
        <f t="shared" ref="X276:X339" si="201">IMABS(W276)</f>
        <v>1.0000769691903741</v>
      </c>
      <c r="Y276" s="4">
        <f t="shared" ref="Y276:Y339" si="202">IMARGUMENT(W276)</f>
        <v>-1.2406792802177177E-2</v>
      </c>
      <c r="Z276" t="str">
        <f t="shared" si="192"/>
        <v>0.999074918546723+0.0537295997900631i</v>
      </c>
      <c r="AA276" s="4">
        <f t="shared" ref="AA276:AA339" si="203">IMABS(Z276)</f>
        <v>1.0005186468840757</v>
      </c>
      <c r="AB276" s="4">
        <f t="shared" ref="AB276:AB339" si="204">IMARGUMENT(Z276)</f>
        <v>5.3727592645717734E-2</v>
      </c>
      <c r="AC276" s="48" t="str">
        <f t="shared" ref="AC276:AC339" si="205">(IMDIV(IMPRODUCT(P276,T276,W276),IMPRODUCT(Q276,Z276)))</f>
        <v>-0.055746250572614-1.06632358668151i</v>
      </c>
      <c r="AD276" s="20">
        <f t="shared" ref="AD276:AD339" si="206">20*LOG(IMABS(AC276))</f>
        <v>0.56963376561616863</v>
      </c>
      <c r="AE276" s="44">
        <f t="shared" ref="AE276:AE339" si="207">(180/PI())*IMARGUMENT(AC276)</f>
        <v>-92.992637352833157</v>
      </c>
      <c r="AF276" t="str">
        <f t="shared" si="193"/>
        <v>-0.0000333790427773504</v>
      </c>
      <c r="AG276" t="str">
        <f t="shared" si="194"/>
        <v>0.00012947298324675i</v>
      </c>
      <c r="AH276">
        <f t="shared" ref="AH276:AH339" si="208">IMABS(AG276)</f>
        <v>1.2947298324674999E-4</v>
      </c>
      <c r="AI276">
        <f t="shared" ref="AI276:AI339" si="209">IMARGUMENT(AG276)</f>
        <v>1.5707963267948966</v>
      </c>
      <c r="AJ276" t="str">
        <f t="shared" si="195"/>
        <v>1+2.98291536952794i</v>
      </c>
      <c r="AK276">
        <f t="shared" ref="AK276:AK339" si="210">IMABS(AJ276)</f>
        <v>3.1460743954595238</v>
      </c>
      <c r="AL276">
        <f t="shared" ref="AL276:AL339" si="211">IMARGUMENT(AJ276)</f>
        <v>1.2473285093892841</v>
      </c>
      <c r="AM276" t="str">
        <f t="shared" si="196"/>
        <v>1+22.4547240317243i</v>
      </c>
      <c r="AN276">
        <f t="shared" ref="AN276:AN339" si="212">IMABS(AM276)</f>
        <v>22.476980031598924</v>
      </c>
      <c r="AO276">
        <f t="shared" ref="AO276:AO339" si="213">IMARGUMENT(AM276)</f>
        <v>1.5262916742315149</v>
      </c>
      <c r="AP276" s="42" t="str">
        <f t="shared" ref="AP276:AP339" si="214">IMPRODUCT(AF276,IMDIV(AM276,IMPRODUCT(AG276,AJ276)))</f>
        <v>-0.507181075331979+1.77068523544219i</v>
      </c>
      <c r="AQ276">
        <f t="shared" ref="AQ276:AQ339" si="215">20*LOG(IMABS(AP276))</f>
        <v>5.3052738952352758</v>
      </c>
      <c r="AR276" s="44">
        <f t="shared" ref="AR276:AR339" si="216">(180/PI())*IMARGUMENT(AP276)</f>
        <v>105.98341198507218</v>
      </c>
      <c r="AS276" s="42" t="str">
        <f t="shared" ref="AS276:AS339" si="217">IMPRODUCT(AC276,AP276)</f>
        <v>1.91639687445185+0.442110080524793i</v>
      </c>
      <c r="AT276" s="20">
        <f t="shared" ref="AT276:AT339" si="218">20*LOG(IMABS(AS276))</f>
        <v>5.8749076608514272</v>
      </c>
      <c r="AU276" s="44">
        <f t="shared" ref="AU276:AU339" si="219">(180/PI())*IMARGUMENT(AS276)</f>
        <v>12.990774632239074</v>
      </c>
    </row>
    <row r="277" spans="14:47" x14ac:dyDescent="0.3">
      <c r="N277" s="8">
        <v>59</v>
      </c>
      <c r="O277" s="35">
        <f t="shared" si="187"/>
        <v>3890.451449942811</v>
      </c>
      <c r="P277" s="34" t="str">
        <f t="shared" si="188"/>
        <v>545.10556621881</v>
      </c>
      <c r="Q277" s="4" t="str">
        <f t="shared" si="189"/>
        <v>1+522.200531352885i</v>
      </c>
      <c r="R277" s="4">
        <f t="shared" si="197"/>
        <v>522.20148883858565</v>
      </c>
      <c r="S277" s="4">
        <f t="shared" si="198"/>
        <v>1.5688813559789192</v>
      </c>
      <c r="T277" s="4" t="str">
        <f t="shared" si="190"/>
        <v>1+0.0122222136942881i</v>
      </c>
      <c r="U277" s="4">
        <f t="shared" si="199"/>
        <v>1.000074688464611</v>
      </c>
      <c r="V277" s="4">
        <f t="shared" si="200"/>
        <v>1.2221605153853701E-2</v>
      </c>
      <c r="W277" t="str">
        <f t="shared" si="191"/>
        <v>1-0.0126964355856264i</v>
      </c>
      <c r="X277" s="4">
        <f t="shared" si="201"/>
        <v>1.0000805964903929</v>
      </c>
      <c r="Y277" s="4">
        <f t="shared" si="202"/>
        <v>-1.2695753432012591E-2</v>
      </c>
      <c r="Z277" t="str">
        <f t="shared" si="192"/>
        <v>0.999031320801001+0.0549811229432211i</v>
      </c>
      <c r="AA277" s="4">
        <f t="shared" si="203"/>
        <v>1.0005431044295343</v>
      </c>
      <c r="AB277" s="4">
        <f t="shared" si="204"/>
        <v>5.497897184839412E-2</v>
      </c>
      <c r="AC277" s="48" t="str">
        <f t="shared" si="205"/>
        <v>-0.0558380196485866-1.04196092024188i</v>
      </c>
      <c r="AD277" s="20">
        <f t="shared" si="206"/>
        <v>0.36948289195604567</v>
      </c>
      <c r="AE277" s="44">
        <f t="shared" si="207"/>
        <v>-93.067509998437231</v>
      </c>
      <c r="AF277" t="str">
        <f t="shared" si="193"/>
        <v>-0.0000333790427773504</v>
      </c>
      <c r="AG277" t="str">
        <f t="shared" si="194"/>
        <v>0.000132488796446083i</v>
      </c>
      <c r="AH277">
        <f t="shared" si="208"/>
        <v>1.3248879644608299E-4</v>
      </c>
      <c r="AI277">
        <f t="shared" si="209"/>
        <v>1.5707963267948966</v>
      </c>
      <c r="AJ277" t="str">
        <f t="shared" si="195"/>
        <v>1+3.0523963942045i</v>
      </c>
      <c r="AK277">
        <f t="shared" si="210"/>
        <v>3.2120279804747396</v>
      </c>
      <c r="AL277">
        <f t="shared" si="211"/>
        <v>1.2542042791959802</v>
      </c>
      <c r="AM277" t="str">
        <f t="shared" si="196"/>
        <v>1+22.9777617452617i</v>
      </c>
      <c r="AN277">
        <f t="shared" si="212"/>
        <v>22.9995116213804</v>
      </c>
      <c r="AO277">
        <f t="shared" si="213"/>
        <v>1.5273034319002996</v>
      </c>
      <c r="AP277" s="42" t="str">
        <f t="shared" si="214"/>
        <v>-0.486566693108197+1.73713302626358i</v>
      </c>
      <c r="AQ277">
        <f t="shared" si="215"/>
        <v>5.1246803510611993</v>
      </c>
      <c r="AR277" s="44">
        <f t="shared" si="216"/>
        <v>105.64742883855622</v>
      </c>
      <c r="AS277" s="42" t="str">
        <f t="shared" si="217"/>
        <v>1.83719364719829+0.409985411257351i</v>
      </c>
      <c r="AT277" s="20">
        <f t="shared" si="218"/>
        <v>5.4941632430172671</v>
      </c>
      <c r="AU277" s="44">
        <f t="shared" si="219"/>
        <v>12.57991884011896</v>
      </c>
    </row>
    <row r="278" spans="14:47" x14ac:dyDescent="0.3">
      <c r="N278" s="8">
        <v>60</v>
      </c>
      <c r="O278" s="35">
        <f t="shared" si="187"/>
        <v>3981.0717055349769</v>
      </c>
      <c r="P278" s="34" t="str">
        <f t="shared" si="188"/>
        <v>545.10556621881</v>
      </c>
      <c r="Q278" s="4" t="str">
        <f t="shared" si="189"/>
        <v>1+534.364144298692i</v>
      </c>
      <c r="R278" s="4">
        <f t="shared" si="197"/>
        <v>534.36507998939589</v>
      </c>
      <c r="S278" s="4">
        <f t="shared" si="198"/>
        <v>1.5689249459335242</v>
      </c>
      <c r="T278" s="4" t="str">
        <f t="shared" si="190"/>
        <v>1+0.0125069056235229i</v>
      </c>
      <c r="U278" s="4">
        <f t="shared" si="199"/>
        <v>1.0000782082858699</v>
      </c>
      <c r="V278" s="4">
        <f t="shared" si="200"/>
        <v>1.2506253563453452E-2</v>
      </c>
      <c r="W278" t="str">
        <f t="shared" si="191"/>
        <v>1-0.0129921735617155i</v>
      </c>
      <c r="X278" s="4">
        <f t="shared" si="201"/>
        <v>1.0000843947256941</v>
      </c>
      <c r="Y278" s="4">
        <f t="shared" si="202"/>
        <v>-1.2991442624280519E-2</v>
      </c>
      <c r="Z278" t="str">
        <f t="shared" si="192"/>
        <v>0.998985668356825+0.0562617978155246i</v>
      </c>
      <c r="AA278" s="4">
        <f t="shared" si="203"/>
        <v>1.0005687160189285</v>
      </c>
      <c r="AB278" s="4">
        <f t="shared" si="204"/>
        <v>5.6259492426095008E-2</v>
      </c>
      <c r="AC278" s="48" t="str">
        <f t="shared" si="205"/>
        <v>-0.0559254328726609-1.01815070347345i</v>
      </c>
      <c r="AD278" s="20">
        <f t="shared" si="206"/>
        <v>0.16932483167954024</v>
      </c>
      <c r="AE278" s="44">
        <f t="shared" si="207"/>
        <v>-93.14400853379658</v>
      </c>
      <c r="AF278" t="str">
        <f t="shared" si="193"/>
        <v>-0.0000333790427773504</v>
      </c>
      <c r="AG278" t="str">
        <f t="shared" si="194"/>
        <v>0.000135574856958988i</v>
      </c>
      <c r="AH278">
        <f t="shared" si="208"/>
        <v>1.35574856958988E-4</v>
      </c>
      <c r="AI278">
        <f t="shared" si="209"/>
        <v>1.5707963267948966</v>
      </c>
      <c r="AJ278" t="str">
        <f t="shared" si="195"/>
        <v>1+3.1234958398525i</v>
      </c>
      <c r="AK278">
        <f t="shared" si="210"/>
        <v>3.2796686206956753</v>
      </c>
      <c r="AL278">
        <f t="shared" si="211"/>
        <v>1.2609536024279682</v>
      </c>
      <c r="AM278" t="str">
        <f t="shared" si="196"/>
        <v>1+23.512982572223i</v>
      </c>
      <c r="AN278">
        <f t="shared" si="212"/>
        <v>23.534237813059985</v>
      </c>
      <c r="AO278">
        <f t="shared" si="213"/>
        <v>1.528292245255835</v>
      </c>
      <c r="AP278" s="42" t="str">
        <f t="shared" si="214"/>
        <v>-0.466703531708891+1.70395032358074i</v>
      </c>
      <c r="AQ278">
        <f t="shared" si="215"/>
        <v>4.9432979256511222</v>
      </c>
      <c r="AR278" s="44">
        <f t="shared" si="216"/>
        <v>105.31737593479207</v>
      </c>
      <c r="AS278" s="42" t="str">
        <f t="shared" si="217"/>
        <v>1.76097881767156+0.379880369683188i</v>
      </c>
      <c r="AT278" s="20">
        <f t="shared" si="218"/>
        <v>5.1126227573306515</v>
      </c>
      <c r="AU278" s="44">
        <f t="shared" si="219"/>
        <v>12.173367400995534</v>
      </c>
    </row>
    <row r="279" spans="14:47" x14ac:dyDescent="0.3">
      <c r="N279" s="8">
        <v>61</v>
      </c>
      <c r="O279" s="35">
        <f t="shared" si="187"/>
        <v>4073.8027780411317</v>
      </c>
      <c r="P279" s="34" t="str">
        <f t="shared" si="188"/>
        <v>545.10556621881</v>
      </c>
      <c r="Q279" s="4" t="str">
        <f t="shared" si="189"/>
        <v>1+546.811084186954i</v>
      </c>
      <c r="R279" s="4">
        <f t="shared" si="197"/>
        <v>546.81199857877311</v>
      </c>
      <c r="S279" s="4">
        <f t="shared" si="198"/>
        <v>1.5689675436664954</v>
      </c>
      <c r="T279" s="4" t="str">
        <f t="shared" si="190"/>
        <v>1+0.0127982288796677i</v>
      </c>
      <c r="U279" s="4">
        <f t="shared" si="199"/>
        <v>1.0000818939779164</v>
      </c>
      <c r="V279" s="4">
        <f t="shared" si="200"/>
        <v>1.2797530187805151E-2</v>
      </c>
      <c r="W279" t="str">
        <f t="shared" si="191"/>
        <v>1-0.0132948001601988i</v>
      </c>
      <c r="X279" s="4">
        <f t="shared" si="201"/>
        <v>1.0000883719508489</v>
      </c>
      <c r="Y279" s="4">
        <f t="shared" si="202"/>
        <v>-1.3294016950364095E-2</v>
      </c>
      <c r="Z279" t="str">
        <f t="shared" si="192"/>
        <v>0.99893786437924+0.057572303437743i</v>
      </c>
      <c r="AA279" s="4">
        <f t="shared" si="203"/>
        <v>1.0005955361751744</v>
      </c>
      <c r="AB279" s="4">
        <f t="shared" si="204"/>
        <v>5.7569832663827203E-2</v>
      </c>
      <c r="AC279" s="48" t="str">
        <f t="shared" si="205"/>
        <v>-0.0560086756589307-0.994880313286736i</v>
      </c>
      <c r="AD279" s="20">
        <f t="shared" si="206"/>
        <v>-3.0840751469949038E-2</v>
      </c>
      <c r="AE279" s="44">
        <f t="shared" si="207"/>
        <v>-93.222173480088316</v>
      </c>
      <c r="AF279" t="str">
        <f t="shared" si="193"/>
        <v>-0.0000333790427773504</v>
      </c>
      <c r="AG279" t="str">
        <f t="shared" si="194"/>
        <v>0.000138732801055598i</v>
      </c>
      <c r="AH279">
        <f t="shared" si="208"/>
        <v>1.3873280105559799E-4</v>
      </c>
      <c r="AI279">
        <f t="shared" si="209"/>
        <v>1.5707963267948966</v>
      </c>
      <c r="AJ279" t="str">
        <f t="shared" si="195"/>
        <v>1+3.19625140433915i</v>
      </c>
      <c r="AK279">
        <f t="shared" si="210"/>
        <v>3.3490331499912012</v>
      </c>
      <c r="AL279">
        <f t="shared" si="211"/>
        <v>1.2675775971782759</v>
      </c>
      <c r="AM279" t="str">
        <f t="shared" si="196"/>
        <v>1+24.0606702937753i</v>
      </c>
      <c r="AN279">
        <f t="shared" si="212"/>
        <v>24.081442128447399</v>
      </c>
      <c r="AO279">
        <f t="shared" si="213"/>
        <v>1.5292586308411329</v>
      </c>
      <c r="AP279" s="42" t="str">
        <f t="shared" si="214"/>
        <v>-0.447571190461267+1.67114954756564i</v>
      </c>
      <c r="AQ279">
        <f t="shared" si="215"/>
        <v>4.7611553626016248</v>
      </c>
      <c r="AR279" s="44">
        <f t="shared" si="216"/>
        <v>104.99321880750256</v>
      </c>
      <c r="AS279" s="42" t="str">
        <f t="shared" si="217"/>
        <v>1.68766165507192+0.35168089319705i</v>
      </c>
      <c r="AT279" s="20">
        <f t="shared" si="218"/>
        <v>4.7303146111316874</v>
      </c>
      <c r="AU279" s="44">
        <f t="shared" si="219"/>
        <v>11.771045327414228</v>
      </c>
    </row>
    <row r="280" spans="14:47" x14ac:dyDescent="0.3">
      <c r="N280" s="8">
        <v>62</v>
      </c>
      <c r="O280" s="35">
        <f t="shared" si="187"/>
        <v>4168.6938347033583</v>
      </c>
      <c r="P280" s="34" t="str">
        <f t="shared" si="188"/>
        <v>545.10556621881</v>
      </c>
      <c r="Q280" s="4" t="str">
        <f t="shared" si="189"/>
        <v>1+559.547950549952i</v>
      </c>
      <c r="R280" s="4">
        <f t="shared" si="197"/>
        <v>559.54884412770571</v>
      </c>
      <c r="S280" s="4">
        <f t="shared" si="198"/>
        <v>1.5690091717630965</v>
      </c>
      <c r="T280" s="4" t="str">
        <f t="shared" si="190"/>
        <v>1+0.0130963379261691i</v>
      </c>
      <c r="U280" s="4">
        <f t="shared" si="199"/>
        <v>1.0000857533567191</v>
      </c>
      <c r="V280" s="4">
        <f t="shared" si="200"/>
        <v>1.3095589267817011E-2</v>
      </c>
      <c r="W280" t="str">
        <f t="shared" si="191"/>
        <v>1-0.0136044758377045i</v>
      </c>
      <c r="X280" s="4">
        <f t="shared" si="201"/>
        <v>1.0000925365998981</v>
      </c>
      <c r="Y280" s="4">
        <f t="shared" si="202"/>
        <v>-1.3603636617440394E-2</v>
      </c>
      <c r="Z280" t="str">
        <f t="shared" si="192"/>
        <v>0.9988878074696+0.0589133346573037i</v>
      </c>
      <c r="AA280" s="4">
        <f t="shared" si="203"/>
        <v>1.0006236220037323</v>
      </c>
      <c r="AB280" s="4">
        <f t="shared" si="204"/>
        <v>5.8910686609193214E-2</v>
      </c>
      <c r="AC280" s="48" t="str">
        <f t="shared" si="205"/>
        <v>-0.0560879245760927-0.972137412765926i</v>
      </c>
      <c r="AD280" s="20">
        <f t="shared" si="206"/>
        <v>-0.23101420980101539</v>
      </c>
      <c r="AE280" s="44">
        <f t="shared" si="207"/>
        <v>-93.302046239193146</v>
      </c>
      <c r="AF280" t="str">
        <f t="shared" si="193"/>
        <v>-0.0000333790427773504</v>
      </c>
      <c r="AG280" t="str">
        <f t="shared" si="194"/>
        <v>0.000141964303119673i</v>
      </c>
      <c r="AH280">
        <f t="shared" si="208"/>
        <v>1.4196430311967301E-4</v>
      </c>
      <c r="AI280">
        <f t="shared" si="209"/>
        <v>1.5707963267948966</v>
      </c>
      <c r="AJ280" t="str">
        <f t="shared" si="195"/>
        <v>1+3.27070166362778i</v>
      </c>
      <c r="AK280">
        <f t="shared" si="210"/>
        <v>3.4201592612709617</v>
      </c>
      <c r="AL280">
        <f t="shared" si="211"/>
        <v>1.2740774496068756</v>
      </c>
      <c r="AM280" t="str">
        <f t="shared" si="196"/>
        <v>1+24.6211153011981i</v>
      </c>
      <c r="AN280">
        <f t="shared" si="212"/>
        <v>24.641414705225248</v>
      </c>
      <c r="AO280">
        <f t="shared" si="213"/>
        <v>1.5302030938224396</v>
      </c>
      <c r="AP280" s="42" t="str">
        <f t="shared" si="214"/>
        <v>-0.429149249407082+1.63874195220136i</v>
      </c>
      <c r="AQ280">
        <f t="shared" si="215"/>
        <v>4.5782806269812895</v>
      </c>
      <c r="AR280" s="44">
        <f t="shared" si="216"/>
        <v>104.67491843862119</v>
      </c>
      <c r="AS280" s="42" t="str">
        <f t="shared" si="217"/>
        <v>1.61715245233664+0.325278405994291i</v>
      </c>
      <c r="AT280" s="20">
        <f t="shared" si="218"/>
        <v>4.3472664171802542</v>
      </c>
      <c r="AU280" s="44">
        <f t="shared" si="219"/>
        <v>11.37287219942808</v>
      </c>
    </row>
    <row r="281" spans="14:47" x14ac:dyDescent="0.3">
      <c r="N281" s="8">
        <v>63</v>
      </c>
      <c r="O281" s="35">
        <f t="shared" si="187"/>
        <v>4265.7951880159299</v>
      </c>
      <c r="P281" s="34" t="str">
        <f t="shared" si="188"/>
        <v>545.10556621881</v>
      </c>
      <c r="Q281" s="4" t="str">
        <f t="shared" si="189"/>
        <v>1+572.581496642824i</v>
      </c>
      <c r="R281" s="4">
        <f t="shared" si="197"/>
        <v>572.58236988029626</v>
      </c>
      <c r="S281" s="4">
        <f t="shared" si="198"/>
        <v>1.5690498522945178</v>
      </c>
      <c r="T281" s="4" t="str">
        <f t="shared" si="190"/>
        <v>1+0.0134013908243895i</v>
      </c>
      <c r="U281" s="4">
        <f t="shared" si="199"/>
        <v>1.0000897946064784</v>
      </c>
      <c r="V281" s="4">
        <f t="shared" si="200"/>
        <v>1.3400588626402254E-2</v>
      </c>
      <c r="W281" t="str">
        <f t="shared" si="191"/>
        <v>1-0.0139213647883758i</v>
      </c>
      <c r="X281" s="4">
        <f t="shared" si="201"/>
        <v>1.0000968975042224</v>
      </c>
      <c r="Y281" s="4">
        <f t="shared" si="202"/>
        <v>-1.3920465552366961E-2</v>
      </c>
      <c r="Z281" t="str">
        <f t="shared" si="192"/>
        <v>0.99883539145049+0.0602856025067098i</v>
      </c>
      <c r="AA281" s="4">
        <f t="shared" si="203"/>
        <v>1.0006530333155699</v>
      </c>
      <c r="AB281" s="4">
        <f t="shared" si="204"/>
        <v>6.0282764436853896E-2</v>
      </c>
      <c r="AC281" s="48" t="str">
        <f t="shared" si="205"/>
        <v>-0.0561633477219691-0.949909944634134i</v>
      </c>
      <c r="AD281" s="20">
        <f t="shared" si="206"/>
        <v>-0.4311959124308371</v>
      </c>
      <c r="AE281" s="44">
        <f t="shared" si="207"/>
        <v>-93.383669115438153</v>
      </c>
      <c r="AF281" t="str">
        <f t="shared" si="193"/>
        <v>-0.0000333790427773504</v>
      </c>
      <c r="AG281" t="str">
        <f t="shared" si="194"/>
        <v>0.000145271076536383i</v>
      </c>
      <c r="AH281">
        <f t="shared" si="208"/>
        <v>1.4527107653638301E-4</v>
      </c>
      <c r="AI281">
        <f t="shared" si="209"/>
        <v>1.5707963267948966</v>
      </c>
      <c r="AJ281" t="str">
        <f t="shared" si="195"/>
        <v>1+3.34688609223131i</v>
      </c>
      <c r="AK281">
        <f t="shared" si="210"/>
        <v>3.4930855292092935</v>
      </c>
      <c r="AL281">
        <f t="shared" si="211"/>
        <v>1.2804544083734866</v>
      </c>
      <c r="AM281" t="str">
        <f t="shared" si="196"/>
        <v>1+25.1946147498524i</v>
      </c>
      <c r="AN281">
        <f t="shared" si="212"/>
        <v>25.21445245079655</v>
      </c>
      <c r="AO281">
        <f t="shared" si="213"/>
        <v>1.5311261282229209</v>
      </c>
      <c r="AP281" s="42" t="str">
        <f t="shared" si="214"/>
        <v>-0.411417326196492+1.60673766729451i</v>
      </c>
      <c r="AQ281">
        <f t="shared" si="215"/>
        <v>4.3947009041660943</v>
      </c>
      <c r="AR281" s="44">
        <f t="shared" si="216"/>
        <v>104.36243159065836</v>
      </c>
      <c r="AS281" s="42" t="str">
        <f t="shared" si="217"/>
        <v>1.54936266293132+0.300569643242586i</v>
      </c>
      <c r="AT281" s="20">
        <f t="shared" si="218"/>
        <v>3.963504991735245</v>
      </c>
      <c r="AU281" s="44">
        <f t="shared" si="219"/>
        <v>10.97876247522022</v>
      </c>
    </row>
    <row r="282" spans="14:47" x14ac:dyDescent="0.3">
      <c r="N282" s="8">
        <v>64</v>
      </c>
      <c r="O282" s="35">
        <f t="shared" si="187"/>
        <v>4365.1583224016631</v>
      </c>
      <c r="P282" s="34" t="str">
        <f t="shared" si="188"/>
        <v>545.10556621881</v>
      </c>
      <c r="Q282" s="4" t="str">
        <f t="shared" si="189"/>
        <v>1+585.918633024227i</v>
      </c>
      <c r="R282" s="4">
        <f t="shared" si="197"/>
        <v>585.91948638441681</v>
      </c>
      <c r="S282" s="4">
        <f t="shared" si="198"/>
        <v>1.5690896068295765</v>
      </c>
      <c r="T282" s="4" t="str">
        <f t="shared" si="190"/>
        <v>1+0.0137135493174134i</v>
      </c>
      <c r="U282" s="4">
        <f t="shared" si="199"/>
        <v>1.0000940262969682</v>
      </c>
      <c r="V282" s="4">
        <f t="shared" si="200"/>
        <v>1.3712689751148092E-2</v>
      </c>
      <c r="W282" t="str">
        <f t="shared" si="191"/>
        <v>1-0.014245635030929i</v>
      </c>
      <c r="X282" s="4">
        <f t="shared" si="201"/>
        <v>1.0001014639112547</v>
      </c>
      <c r="Y282" s="4">
        <f t="shared" si="202"/>
        <v>-1.4244671487465152E-2</v>
      </c>
      <c r="Z282" t="str">
        <f t="shared" si="192"/>
        <v>0.998780505140504+0.0616898345805391i</v>
      </c>
      <c r="AA282" s="4">
        <f t="shared" si="203"/>
        <v>1.0006838327560281</v>
      </c>
      <c r="AB282" s="4">
        <f t="shared" si="204"/>
        <v>6.1686792821279327E-2</v>
      </c>
      <c r="AC282" s="48" t="str">
        <f t="shared" si="205"/>
        <v>-0.0562351050800705-0.928186124866742i</v>
      </c>
      <c r="AD282" s="20">
        <f t="shared" si="206"/>
        <v>-0.63138624607808258</v>
      </c>
      <c r="AE282" s="44">
        <f t="shared" si="207"/>
        <v>-93.467085337802672</v>
      </c>
      <c r="AF282" t="str">
        <f t="shared" si="193"/>
        <v>-0.0000333790427773504</v>
      </c>
      <c r="AG282" t="str">
        <f t="shared" si="194"/>
        <v>0.000148654874600761i</v>
      </c>
      <c r="AH282">
        <f t="shared" si="208"/>
        <v>1.48654874600761E-4</v>
      </c>
      <c r="AI282">
        <f t="shared" si="209"/>
        <v>1.5707963267948966</v>
      </c>
      <c r="AJ282" t="str">
        <f t="shared" si="195"/>
        <v>1+3.42484508414221i</v>
      </c>
      <c r="AK282">
        <f t="shared" si="210"/>
        <v>3.5678514333381464</v>
      </c>
      <c r="AL282">
        <f t="shared" si="211"/>
        <v>1.2867097792733297</v>
      </c>
      <c r="AM282" t="str">
        <f t="shared" si="196"/>
        <v>1+25.7814727167373i</v>
      </c>
      <c r="AN282">
        <f t="shared" si="212"/>
        <v>25.800859199721817</v>
      </c>
      <c r="AO282">
        <f t="shared" si="213"/>
        <v>1.5320282171526995</v>
      </c>
      <c r="AP282" s="42" t="str">
        <f t="shared" si="214"/>
        <v>-0.394355128199488+1.57514574177604i</v>
      </c>
      <c r="AQ282">
        <f t="shared" si="215"/>
        <v>4.2104426009132796</v>
      </c>
      <c r="AR282" s="44">
        <f t="shared" si="216"/>
        <v>104.05571112723015</v>
      </c>
      <c r="AS282" s="42" t="str">
        <f t="shared" si="217"/>
        <v>1.48420502423262+0.277456471959609i</v>
      </c>
      <c r="AT282" s="20">
        <f t="shared" si="218"/>
        <v>3.579056354835223</v>
      </c>
      <c r="AU282" s="44">
        <f t="shared" si="219"/>
        <v>10.58862578942747</v>
      </c>
    </row>
    <row r="283" spans="14:47" x14ac:dyDescent="0.3">
      <c r="N283" s="8">
        <v>65</v>
      </c>
      <c r="O283" s="35">
        <f t="shared" si="187"/>
        <v>4466.8359215096343</v>
      </c>
      <c r="P283" s="34" t="str">
        <f t="shared" si="188"/>
        <v>545.10556621881</v>
      </c>
      <c r="Q283" s="4" t="str">
        <f t="shared" si="189"/>
        <v>1+599.56643122041i</v>
      </c>
      <c r="R283" s="4">
        <f t="shared" si="197"/>
        <v>599.5672651557777</v>
      </c>
      <c r="S283" s="4">
        <f t="shared" si="198"/>
        <v>1.5691284564461505</v>
      </c>
      <c r="T283" s="4" t="str">
        <f t="shared" si="190"/>
        <v>1+0.0140329789158056i</v>
      </c>
      <c r="U283" s="4">
        <f t="shared" si="199"/>
        <v>1.0000984574016958</v>
      </c>
      <c r="V283" s="4">
        <f t="shared" si="200"/>
        <v>1.4032057878855348E-2</v>
      </c>
      <c r="W283" t="str">
        <f t="shared" si="191"/>
        <v>1-0.0145774584977389i</v>
      </c>
      <c r="X283" s="4">
        <f t="shared" si="201"/>
        <v>1.000106245504073</v>
      </c>
      <c r="Y283" s="4">
        <f t="shared" si="202"/>
        <v>-1.4576426048239667E-2</v>
      </c>
      <c r="Z283" t="str">
        <f t="shared" si="192"/>
        <v>0.99872303211842+0.0631267754212246i</v>
      </c>
      <c r="AA283" s="4">
        <f t="shared" si="203"/>
        <v>1.0007160859399093</v>
      </c>
      <c r="AB283" s="4">
        <f t="shared" si="204"/>
        <v>6.3123515317964576E-2</v>
      </c>
      <c r="AC283" s="48" t="str">
        <f t="shared" si="205"/>
        <v>-0.056303348858951-0.906954436449435i</v>
      </c>
      <c r="AD283" s="20">
        <f t="shared" si="206"/>
        <v>-0.83158561589424851</v>
      </c>
      <c r="AE283" s="44">
        <f t="shared" si="207"/>
        <v>-93.552339082597584</v>
      </c>
      <c r="AF283" t="str">
        <f t="shared" si="193"/>
        <v>-0.0000333790427773504</v>
      </c>
      <c r="AG283" t="str">
        <f t="shared" si="194"/>
        <v>0.000152117491447333i</v>
      </c>
      <c r="AH283">
        <f t="shared" si="208"/>
        <v>1.52117491447333E-4</v>
      </c>
      <c r="AI283">
        <f t="shared" si="209"/>
        <v>1.5707963267948966</v>
      </c>
      <c r="AJ283" t="str">
        <f t="shared" si="195"/>
        <v>1+3.50461997424991i</v>
      </c>
      <c r="AK283">
        <f t="shared" si="210"/>
        <v>3.6444973815207273</v>
      </c>
      <c r="AL283">
        <f t="shared" si="211"/>
        <v>1.2928449200807273</v>
      </c>
      <c r="AM283" t="str">
        <f t="shared" si="196"/>
        <v>1+26.3820003617147i</v>
      </c>
      <c r="AN283">
        <f t="shared" si="212"/>
        <v>26.40094587482643</v>
      </c>
      <c r="AO283">
        <f t="shared" si="213"/>
        <v>1.5329098330352131</v>
      </c>
      <c r="AP283" s="42" t="str">
        <f t="shared" si="214"/>
        <v>-0.37794249999592+1.54397418792629i</v>
      </c>
      <c r="AQ283">
        <f t="shared" si="215"/>
        <v>4.0255313484827449</v>
      </c>
      <c r="AR283" s="44">
        <f t="shared" si="216"/>
        <v>103.75470632146748</v>
      </c>
      <c r="AS283" s="42" t="str">
        <f t="shared" si="217"/>
        <v>1.42159366792906+0.255845709762061i</v>
      </c>
      <c r="AT283" s="20">
        <f t="shared" si="218"/>
        <v>3.1939457325885168</v>
      </c>
      <c r="AU283" s="44">
        <f t="shared" si="219"/>
        <v>10.202367238869885</v>
      </c>
    </row>
    <row r="284" spans="14:47" x14ac:dyDescent="0.3">
      <c r="N284" s="8">
        <v>66</v>
      </c>
      <c r="O284" s="35">
        <f t="shared" ref="O284:O318" si="220">10^(3+(N284/100))</f>
        <v>4570.8818961487532</v>
      </c>
      <c r="P284" s="34" t="str">
        <f t="shared" si="188"/>
        <v>545.10556621881</v>
      </c>
      <c r="Q284" s="4" t="str">
        <f t="shared" si="189"/>
        <v>1+613.532127474627i</v>
      </c>
      <c r="R284" s="4">
        <f t="shared" si="197"/>
        <v>613.53294242733364</v>
      </c>
      <c r="S284" s="4">
        <f t="shared" si="198"/>
        <v>1.5691664217423515</v>
      </c>
      <c r="T284" s="4" t="str">
        <f t="shared" si="190"/>
        <v>1+0.0143598489853675i</v>
      </c>
      <c r="U284" s="4">
        <f t="shared" si="199"/>
        <v>1.0001030973169129</v>
      </c>
      <c r="V284" s="4">
        <f t="shared" si="200"/>
        <v>1.43588620819891E-2</v>
      </c>
      <c r="W284" t="str">
        <f t="shared" si="191"/>
        <v>1-0.0149170111259997i</v>
      </c>
      <c r="X284" s="4">
        <f t="shared" si="201"/>
        <v>1.0001112524219158</v>
      </c>
      <c r="Y284" s="4">
        <f t="shared" si="202"/>
        <v>-1.4915904843076016E-2</v>
      </c>
      <c r="Z284" t="str">
        <f t="shared" si="192"/>
        <v>0.998662850476253+0.06459718691382i</v>
      </c>
      <c r="AA284" s="4">
        <f t="shared" si="203"/>
        <v>1.0007498615930626</v>
      </c>
      <c r="AB284" s="4">
        <f t="shared" si="204"/>
        <v>6.4593692753290938E-2</v>
      </c>
      <c r="AC284" s="48" t="str">
        <f t="shared" si="205"/>
        <v>-0.0563682238150784-0.886203623277684i</v>
      </c>
      <c r="AD284" s="20">
        <f t="shared" si="206"/>
        <v>-1.0317944463349544</v>
      </c>
      <c r="AE284" s="44">
        <f t="shared" si="207"/>
        <v>-93.639475496629046</v>
      </c>
      <c r="AF284" t="str">
        <f t="shared" si="193"/>
        <v>-0.0000333790427773504</v>
      </c>
      <c r="AG284" t="str">
        <f t="shared" si="194"/>
        <v>0.000155660763001384i</v>
      </c>
      <c r="AH284">
        <f t="shared" si="208"/>
        <v>1.5566076300138401E-4</v>
      </c>
      <c r="AI284">
        <f t="shared" si="209"/>
        <v>1.5707963267948966</v>
      </c>
      <c r="AJ284" t="str">
        <f t="shared" si="195"/>
        <v>1+3.58625306025709i</v>
      </c>
      <c r="AK284">
        <f t="shared" si="210"/>
        <v>3.7230647338185436</v>
      </c>
      <c r="AL284">
        <f t="shared" si="211"/>
        <v>1.2988612356038571</v>
      </c>
      <c r="AM284" t="str">
        <f t="shared" si="196"/>
        <v>1+26.996516092491i</v>
      </c>
      <c r="AN284">
        <f t="shared" si="212"/>
        <v>27.015030652067111</v>
      </c>
      <c r="AO284">
        <f t="shared" si="213"/>
        <v>1.5337714378298815</v>
      </c>
      <c r="AP284" s="42" t="str">
        <f t="shared" si="214"/>
        <v>-0.362159466421647+1.51323002619285i</v>
      </c>
      <c r="AQ284">
        <f t="shared" si="215"/>
        <v>3.8399920076246601</v>
      </c>
      <c r="AR284" s="44">
        <f t="shared" si="216"/>
        <v>103.45936315211588</v>
      </c>
      <c r="AS284" s="42" t="str">
        <f t="shared" si="217"/>
        <v>1.36144421792469+0.235648942547041i</v>
      </c>
      <c r="AT284" s="20">
        <f t="shared" si="218"/>
        <v>2.8081975612896866</v>
      </c>
      <c r="AU284" s="44">
        <f t="shared" si="219"/>
        <v>9.8198876554868662</v>
      </c>
    </row>
    <row r="285" spans="14:47" x14ac:dyDescent="0.3">
      <c r="N285" s="8">
        <v>67</v>
      </c>
      <c r="O285" s="35">
        <f t="shared" si="220"/>
        <v>4677.3514128719844</v>
      </c>
      <c r="P285" s="34" t="str">
        <f t="shared" si="188"/>
        <v>545.10556621881</v>
      </c>
      <c r="Q285" s="4" t="str">
        <f t="shared" si="189"/>
        <v>1+627.823126583887i</v>
      </c>
      <c r="R285" s="4">
        <f t="shared" si="197"/>
        <v>627.82392298602906</v>
      </c>
      <c r="S285" s="4">
        <f t="shared" si="198"/>
        <v>1.5692035228474437</v>
      </c>
      <c r="T285" s="4" t="str">
        <f t="shared" si="190"/>
        <v>1+0.0146943328369364i</v>
      </c>
      <c r="U285" s="4">
        <f t="shared" si="199"/>
        <v>1.0001079558815251</v>
      </c>
      <c r="V285" s="4">
        <f t="shared" si="200"/>
        <v>1.4693275357079028E-2</v>
      </c>
      <c r="W285" t="str">
        <f t="shared" si="191"/>
        <v>1-0.0152644729510095i</v>
      </c>
      <c r="X285" s="4">
        <f t="shared" si="201"/>
        <v>1.0001164952816606</v>
      </c>
      <c r="Y285" s="4">
        <f t="shared" si="202"/>
        <v>-1.5263287554957022E-2</v>
      </c>
      <c r="Z285" t="str">
        <f t="shared" si="192"/>
        <v>0.998599832560672+0.066101848689962i</v>
      </c>
      <c r="AA285" s="4">
        <f t="shared" si="203"/>
        <v>1.0007852317008044</v>
      </c>
      <c r="AB285" s="4">
        <f t="shared" si="204"/>
        <v>6.6098103623218024E-2</v>
      </c>
      <c r="AC285" s="48" t="str">
        <f t="shared" si="205"/>
        <v>-0.0564298675599051-0.865922684194449i</v>
      </c>
      <c r="AD285" s="20">
        <f t="shared" si="206"/>
        <v>-1.2320131820733398</v>
      </c>
      <c r="AE285" s="44">
        <f t="shared" si="207"/>
        <v>-93.728540720857325</v>
      </c>
      <c r="AF285" t="str">
        <f t="shared" si="193"/>
        <v>-0.0000333790427773504</v>
      </c>
      <c r="AG285" t="str">
        <f t="shared" si="194"/>
        <v>0.000159286567952391i</v>
      </c>
      <c r="AH285">
        <f t="shared" si="208"/>
        <v>1.59286567952391E-4</v>
      </c>
      <c r="AI285">
        <f t="shared" si="209"/>
        <v>1.5707963267948966</v>
      </c>
      <c r="AJ285" t="str">
        <f t="shared" si="195"/>
        <v>1+3.66978762510649i</v>
      </c>
      <c r="AK285">
        <f t="shared" si="210"/>
        <v>3.8035958267650805</v>
      </c>
      <c r="AL285">
        <f t="shared" si="211"/>
        <v>1.3047601729525296</v>
      </c>
      <c r="AM285" t="str">
        <f t="shared" si="196"/>
        <v>1+27.6253457334406i</v>
      </c>
      <c r="AN285">
        <f t="shared" si="212"/>
        <v>27.64343912924231</v>
      </c>
      <c r="AO285">
        <f t="shared" si="213"/>
        <v>1.5346134832510629</v>
      </c>
      <c r="AP285" s="42" t="str">
        <f t="shared" si="214"/>
        <v>-0.346986271360841+1.48291933030046i</v>
      </c>
      <c r="AQ285">
        <f t="shared" si="215"/>
        <v>3.6538486752550963</v>
      </c>
      <c r="AR285" s="44">
        <f t="shared" si="216"/>
        <v>103.16962458721682</v>
      </c>
      <c r="AS285" s="42" t="str">
        <f t="shared" si="217"/>
        <v>1.30367387627561+0.216782342064525i</v>
      </c>
      <c r="AT285" s="20">
        <f t="shared" si="218"/>
        <v>2.4218354931817796</v>
      </c>
      <c r="AU285" s="44">
        <f t="shared" si="219"/>
        <v>9.4410838663594738</v>
      </c>
    </row>
    <row r="286" spans="14:47" x14ac:dyDescent="0.3">
      <c r="N286" s="8">
        <v>68</v>
      </c>
      <c r="O286" s="35">
        <f t="shared" si="220"/>
        <v>4786.3009232263848</v>
      </c>
      <c r="P286" s="34" t="str">
        <f t="shared" si="188"/>
        <v>545.10556621881</v>
      </c>
      <c r="Q286" s="4" t="str">
        <f t="shared" si="189"/>
        <v>1+642.447005825085i</v>
      </c>
      <c r="R286" s="4">
        <f t="shared" si="197"/>
        <v>642.44778409892319</v>
      </c>
      <c r="S286" s="4">
        <f t="shared" si="198"/>
        <v>1.5692397794325155</v>
      </c>
      <c r="T286" s="4" t="str">
        <f t="shared" si="190"/>
        <v>1+0.015036607818278i</v>
      </c>
      <c r="U286" s="4">
        <f t="shared" si="199"/>
        <v>1.0001130433979355</v>
      </c>
      <c r="V286" s="4">
        <f t="shared" si="200"/>
        <v>1.5035474715113063E-2</v>
      </c>
      <c r="W286" t="str">
        <f t="shared" si="191"/>
        <v>1-0.0156200282016272i</v>
      </c>
      <c r="X286" s="4">
        <f t="shared" si="201"/>
        <v>1.0001219852003154</v>
      </c>
      <c r="Y286" s="4">
        <f t="shared" si="202"/>
        <v>-1.5618758035239723E-2</v>
      </c>
      <c r="Z286" t="str">
        <f t="shared" si="192"/>
        <v>0.998533844702229+0.0676415585412409i</v>
      </c>
      <c r="AA286" s="4">
        <f t="shared" si="203"/>
        <v>1.0008222716635073</v>
      </c>
      <c r="AB286" s="4">
        <f t="shared" si="204"/>
        <v>6.7637544500990215E-2</v>
      </c>
      <c r="AC286" s="48" t="str">
        <f t="shared" si="205"/>
        <v>-0.0564884108517862-0.846100867162935i</v>
      </c>
      <c r="AD286" s="20">
        <f t="shared" si="206"/>
        <v>-1.4322422889579438</v>
      </c>
      <c r="AE286" s="44">
        <f t="shared" si="207"/>
        <v>-93.819581914562008</v>
      </c>
      <c r="AF286" t="str">
        <f t="shared" si="193"/>
        <v>-0.0000333790427773504</v>
      </c>
      <c r="AG286" t="str">
        <f t="shared" si="194"/>
        <v>0.000162996828750134i</v>
      </c>
      <c r="AH286">
        <f t="shared" si="208"/>
        <v>1.62996828750134E-4</v>
      </c>
      <c r="AI286">
        <f t="shared" si="209"/>
        <v>1.5707963267948966</v>
      </c>
      <c r="AJ286" t="str">
        <f t="shared" si="195"/>
        <v>1+3.7552679599301i</v>
      </c>
      <c r="AK286">
        <f t="shared" si="210"/>
        <v>3.8861339980599707</v>
      </c>
      <c r="AL286">
        <f t="shared" si="211"/>
        <v>1.310543217019539</v>
      </c>
      <c r="AM286" t="str">
        <f t="shared" si="196"/>
        <v>1+28.2688226983628i</v>
      </c>
      <c r="AN286">
        <f t="shared" si="212"/>
        <v>28.28650449863807</v>
      </c>
      <c r="AO286">
        <f t="shared" si="213"/>
        <v>1.5354364109833047</v>
      </c>
      <c r="AP286" s="42" t="str">
        <f t="shared" si="214"/>
        <v>-0.332403412484301+1.45304727238318i</v>
      </c>
      <c r="AQ286">
        <f t="shared" si="215"/>
        <v>3.4671246926529791</v>
      </c>
      <c r="AR286" s="44">
        <f t="shared" si="216"/>
        <v>102.88543085534077</v>
      </c>
      <c r="AS286" s="42" t="str">
        <f t="shared" si="217"/>
        <v>1.2482014977251+0.199166484241437i</v>
      </c>
      <c r="AT286" s="20">
        <f t="shared" si="218"/>
        <v>2.0348824036950672</v>
      </c>
      <c r="AU286" s="44">
        <f t="shared" si="219"/>
        <v>9.0658489407787091</v>
      </c>
    </row>
    <row r="287" spans="14:47" x14ac:dyDescent="0.3">
      <c r="N287" s="8">
        <v>69</v>
      </c>
      <c r="O287" s="35">
        <f t="shared" si="220"/>
        <v>4897.7881936844633</v>
      </c>
      <c r="P287" s="34" t="str">
        <f t="shared" si="188"/>
        <v>545.10556621881</v>
      </c>
      <c r="Q287" s="4" t="str">
        <f t="shared" si="189"/>
        <v>1+657.411518972563i</v>
      </c>
      <c r="R287" s="4">
        <f t="shared" si="197"/>
        <v>657.41227953074667</v>
      </c>
      <c r="S287" s="4">
        <f t="shared" si="198"/>
        <v>1.5692752107209069</v>
      </c>
      <c r="T287" s="4" t="str">
        <f t="shared" si="190"/>
        <v>1+0.015386855408118i</v>
      </c>
      <c r="U287" s="4">
        <f t="shared" si="199"/>
        <v>1.0001183706538692</v>
      </c>
      <c r="V287" s="4">
        <f t="shared" si="200"/>
        <v>1.5385641273962984E-2</v>
      </c>
      <c r="W287" t="str">
        <f t="shared" si="191"/>
        <v>1-0.0159838653979529i</v>
      </c>
      <c r="X287" s="4">
        <f t="shared" si="201"/>
        <v>1.0001277338185657</v>
      </c>
      <c r="Y287" s="4">
        <f t="shared" si="202"/>
        <v>-1.5982504399535746E-2</v>
      </c>
      <c r="Z287" t="str">
        <f t="shared" si="192"/>
        <v>0.998464746931828+0.0692171328422003i</v>
      </c>
      <c r="AA287" s="4">
        <f t="shared" si="203"/>
        <v>1.0008610604597095</v>
      </c>
      <c r="AB287" s="4">
        <f t="shared" si="204"/>
        <v>6.9212830454047927E-2</v>
      </c>
      <c r="AC287" s="48" t="str">
        <f t="shared" si="205"/>
        <v>-0.0565439778733723-0.826727663571431i</v>
      </c>
      <c r="AD287" s="20">
        <f t="shared" si="206"/>
        <v>-1.6324822550163118</v>
      </c>
      <c r="AE287" s="44">
        <f t="shared" si="207"/>
        <v>-93.912647280024672</v>
      </c>
      <c r="AF287" t="str">
        <f t="shared" si="193"/>
        <v>-0.0000333790427773504</v>
      </c>
      <c r="AG287" t="str">
        <f t="shared" si="194"/>
        <v>0.000166793512623998i</v>
      </c>
      <c r="AH287">
        <f t="shared" si="208"/>
        <v>1.6679351262399801E-4</v>
      </c>
      <c r="AI287">
        <f t="shared" si="209"/>
        <v>1.5707963267948966</v>
      </c>
      <c r="AJ287" t="str">
        <f t="shared" si="195"/>
        <v>1+3.84273938753292i</v>
      </c>
      <c r="AK287">
        <f t="shared" si="210"/>
        <v>3.9707236116981095</v>
      </c>
      <c r="AL287">
        <f t="shared" si="211"/>
        <v>1.3162118861749843</v>
      </c>
      <c r="AM287" t="str">
        <f t="shared" si="196"/>
        <v>1+28.9272881672618i</v>
      </c>
      <c r="AN287">
        <f t="shared" si="212"/>
        <v>28.944567723699112</v>
      </c>
      <c r="AO287">
        <f t="shared" si="213"/>
        <v>1.5362406528928776</v>
      </c>
      <c r="AP287" s="42" t="str">
        <f t="shared" si="214"/>
        <v>-0.318391672139987+1.4236181678979i</v>
      </c>
      <c r="AQ287">
        <f t="shared" si="215"/>
        <v>3.279842655017982</v>
      </c>
      <c r="AR287" s="44">
        <f t="shared" si="216"/>
        <v>102.60671970440383</v>
      </c>
      <c r="AS287" s="42" t="str">
        <f t="shared" si="217"/>
        <v>1.19494765342862+0.182726169023143i</v>
      </c>
      <c r="AT287" s="20">
        <f t="shared" si="218"/>
        <v>1.6473604000016588</v>
      </c>
      <c r="AU287" s="44">
        <f t="shared" si="219"/>
        <v>8.6940724243791898</v>
      </c>
    </row>
    <row r="288" spans="14:47" x14ac:dyDescent="0.3">
      <c r="N288" s="8">
        <v>70</v>
      </c>
      <c r="O288" s="35">
        <f t="shared" si="220"/>
        <v>5011.8723362727324</v>
      </c>
      <c r="P288" s="34" t="str">
        <f t="shared" si="188"/>
        <v>545.10556621881</v>
      </c>
      <c r="Q288" s="4" t="str">
        <f t="shared" si="189"/>
        <v>1+672.724600409271i</v>
      </c>
      <c r="R288" s="4">
        <f t="shared" si="197"/>
        <v>672.72534365505624</v>
      </c>
      <c r="S288" s="4">
        <f t="shared" si="198"/>
        <v>1.5693098354983996</v>
      </c>
      <c r="T288" s="4" t="str">
        <f t="shared" si="190"/>
        <v>1+0.0157452613123643i</v>
      </c>
      <c r="U288" s="4">
        <f t="shared" si="199"/>
        <v>1.0001239489452269</v>
      </c>
      <c r="V288" s="4">
        <f t="shared" si="200"/>
        <v>1.5743960352885944E-2</v>
      </c>
      <c r="W288" t="str">
        <f t="shared" si="191"/>
        <v>1-0.016356177451284i</v>
      </c>
      <c r="X288" s="4">
        <f t="shared" si="201"/>
        <v>1.0001337533254329</v>
      </c>
      <c r="Y288" s="4">
        <f t="shared" si="202"/>
        <v>-1.6354719125738836E-2</v>
      </c>
      <c r="Z288" t="str">
        <f t="shared" si="192"/>
        <v>0.998392392683834+0.0708294069831898i</v>
      </c>
      <c r="AA288" s="4">
        <f t="shared" si="203"/>
        <v>1.0009016808171227</v>
      </c>
      <c r="AB288" s="4">
        <f t="shared" si="204"/>
        <v>7.082479547033517E-2</v>
      </c>
      <c r="AC288" s="48" t="str">
        <f t="shared" si="205"/>
        <v>-0.0565966864950585-0.807792802667133i</v>
      </c>
      <c r="AD288" s="20">
        <f t="shared" si="206"/>
        <v>-1.8327335915076626</v>
      </c>
      <c r="AE288" s="44">
        <f t="shared" si="207"/>
        <v>-94.007786087740342</v>
      </c>
      <c r="AF288" t="str">
        <f t="shared" si="193"/>
        <v>-0.0000333790427773504</v>
      </c>
      <c r="AG288" t="str">
        <f t="shared" si="194"/>
        <v>0.000170678632626029i</v>
      </c>
      <c r="AH288">
        <f t="shared" si="208"/>
        <v>1.7067863262602899E-4</v>
      </c>
      <c r="AI288">
        <f t="shared" si="209"/>
        <v>1.5707963267948966</v>
      </c>
      <c r="AJ288" t="str">
        <f t="shared" si="195"/>
        <v>1+3.93224828642369i</v>
      </c>
      <c r="AK288">
        <f t="shared" si="210"/>
        <v>4.057410083548624</v>
      </c>
      <c r="AL288">
        <f t="shared" si="211"/>
        <v>1.3217677281719058</v>
      </c>
      <c r="AM288" t="str">
        <f t="shared" si="196"/>
        <v>1+29.601091267245i</v>
      </c>
      <c r="AN288">
        <f t="shared" si="212"/>
        <v>29.617977719820242</v>
      </c>
      <c r="AO288">
        <f t="shared" si="213"/>
        <v>1.5370266312356078</v>
      </c>
      <c r="AP288" s="42" t="str">
        <f t="shared" si="214"/>
        <v>-0.304932144606177+1.39463552010602i</v>
      </c>
      <c r="AQ288">
        <f t="shared" si="215"/>
        <v>3.0920244222380604</v>
      </c>
      <c r="AR288" s="44">
        <f t="shared" si="216"/>
        <v>102.33342664816585</v>
      </c>
      <c r="AS288" s="42" t="str">
        <f t="shared" si="217"/>
        <v>1.14383468447612+0.16739024240841i</v>
      </c>
      <c r="AT288" s="20">
        <f t="shared" si="218"/>
        <v>1.2592908307304109</v>
      </c>
      <c r="AU288" s="44">
        <f t="shared" si="219"/>
        <v>8.3256405604255121</v>
      </c>
    </row>
    <row r="289" spans="14:47" x14ac:dyDescent="0.3">
      <c r="N289" s="8">
        <v>71</v>
      </c>
      <c r="O289" s="35">
        <f t="shared" si="220"/>
        <v>5128.6138399136489</v>
      </c>
      <c r="P289" s="34" t="str">
        <f t="shared" si="188"/>
        <v>545.10556621881</v>
      </c>
      <c r="Q289" s="4" t="str">
        <f t="shared" si="189"/>
        <v>1+688.394369333676i</v>
      </c>
      <c r="R289" s="4">
        <f t="shared" si="197"/>
        <v>688.39509566113952</v>
      </c>
      <c r="S289" s="4">
        <f t="shared" si="198"/>
        <v>1.569343672123177</v>
      </c>
      <c r="T289" s="4" t="str">
        <f t="shared" si="190"/>
        <v>1+0.0161120155625716i</v>
      </c>
      <c r="U289" s="4">
        <f t="shared" si="199"/>
        <v>1.0001297901000092</v>
      </c>
      <c r="V289" s="4">
        <f t="shared" si="200"/>
        <v>1.6110621569145469E-2</v>
      </c>
      <c r="W289" t="str">
        <f t="shared" si="191"/>
        <v>1-0.0167371617663994i</v>
      </c>
      <c r="X289" s="4">
        <f t="shared" si="201"/>
        <v>1.0001400564840881</v>
      </c>
      <c r="Y289" s="4">
        <f t="shared" si="202"/>
        <v>-1.6735599154242688E-2</v>
      </c>
      <c r="Z289" t="str">
        <f t="shared" si="192"/>
        <v>0.998316628485187+0.0724792358132993i</v>
      </c>
      <c r="AA289" s="4">
        <f t="shared" si="203"/>
        <v>1.0009442193919251</v>
      </c>
      <c r="AB289" s="4">
        <f t="shared" si="204"/>
        <v>7.2474292894196449E-2</v>
      </c>
      <c r="AC289" s="48" t="str">
        <f t="shared" si="205"/>
        <v>-0.0566466485250509-0.789286246116104i</v>
      </c>
      <c r="AD289" s="20">
        <f t="shared" si="206"/>
        <v>-2.0329968340261892</v>
      </c>
      <c r="AE289" s="44">
        <f t="shared" si="207"/>
        <v>-94.105048702169285</v>
      </c>
      <c r="AF289" t="str">
        <f t="shared" si="193"/>
        <v>-0.0000333790427773504</v>
      </c>
      <c r="AG289" t="str">
        <f t="shared" si="194"/>
        <v>0.000174654248698277i</v>
      </c>
      <c r="AH289">
        <f t="shared" si="208"/>
        <v>1.74654248698277E-4</v>
      </c>
      <c r="AI289">
        <f t="shared" si="209"/>
        <v>1.5707963267948966</v>
      </c>
      <c r="AJ289" t="str">
        <f t="shared" si="195"/>
        <v>1+4.02384211540535i</v>
      </c>
      <c r="AK289">
        <f t="shared" si="210"/>
        <v>4.1462399073992096</v>
      </c>
      <c r="AL289">
        <f t="shared" si="211"/>
        <v>1.3272123162606801</v>
      </c>
      <c r="AM289" t="str">
        <f t="shared" si="196"/>
        <v>1+30.2905892576348i</v>
      </c>
      <c r="AN289">
        <f t="shared" si="212"/>
        <v>30.307091539353308</v>
      </c>
      <c r="AO289">
        <f t="shared" si="213"/>
        <v>1.5377947588610166</v>
      </c>
      <c r="AP289" s="42" t="str">
        <f t="shared" si="214"/>
        <v>-0.292006259919176+1.36610206393641i</v>
      </c>
      <c r="AQ289">
        <f t="shared" si="215"/>
        <v>2.9036911307238942</v>
      </c>
      <c r="AR289" s="44">
        <f t="shared" si="216"/>
        <v>102.06548520055517</v>
      </c>
      <c r="AS289" s="42" t="str">
        <f t="shared" si="217"/>
        <v>1.09478674582859+0.153091421268857i</v>
      </c>
      <c r="AT289" s="20">
        <f t="shared" si="218"/>
        <v>0.87069429669772513</v>
      </c>
      <c r="AU289" s="44">
        <f t="shared" si="219"/>
        <v>7.9604364983858522</v>
      </c>
    </row>
    <row r="290" spans="14:47" x14ac:dyDescent="0.3">
      <c r="N290" s="8">
        <v>72</v>
      </c>
      <c r="O290" s="35">
        <f t="shared" si="220"/>
        <v>5248.0746024977261</v>
      </c>
      <c r="P290" s="34" t="str">
        <f t="shared" si="188"/>
        <v>545.10556621881</v>
      </c>
      <c r="Q290" s="4" t="str">
        <f t="shared" si="189"/>
        <v>1+704.429134064681i</v>
      </c>
      <c r="R290" s="4">
        <f t="shared" si="197"/>
        <v>704.42984385892987</v>
      </c>
      <c r="S290" s="4">
        <f t="shared" si="198"/>
        <v>1.569376738535555</v>
      </c>
      <c r="T290" s="4" t="str">
        <f t="shared" si="190"/>
        <v>1+0.0164873126166981i</v>
      </c>
      <c r="U290" s="4">
        <f t="shared" si="199"/>
        <v>1.0001359065033715</v>
      </c>
      <c r="V290" s="4">
        <f t="shared" si="200"/>
        <v>1.6485818936792847E-2</v>
      </c>
      <c r="W290" t="str">
        <f t="shared" si="191"/>
        <v>1-0.0171270203462259i</v>
      </c>
      <c r="X290" s="4">
        <f t="shared" si="201"/>
        <v>1.0001466566588821</v>
      </c>
      <c r="Y290" s="4">
        <f t="shared" si="202"/>
        <v>-1.7125345990393438E-2</v>
      </c>
      <c r="Z290" t="str">
        <f t="shared" si="192"/>
        <v>0.998237293629864+0.0741674940936136i</v>
      </c>
      <c r="AA290" s="4">
        <f t="shared" si="203"/>
        <v>1.0009887669567534</v>
      </c>
      <c r="AB290" s="4">
        <f t="shared" si="204"/>
        <v>7.4162195872064129E-2</v>
      </c>
      <c r="AC290" s="48" t="str">
        <f t="shared" si="205"/>
        <v>-0.0566939699465869-0.771198182686472i</v>
      </c>
      <c r="AD290" s="20">
        <f t="shared" si="206"/>
        <v>-2.2332725436579679</v>
      </c>
      <c r="AE290" s="44">
        <f t="shared" si="207"/>
        <v>-94.204486608040966</v>
      </c>
      <c r="AF290" t="str">
        <f t="shared" si="193"/>
        <v>-0.0000333790427773504</v>
      </c>
      <c r="AG290" t="str">
        <f t="shared" si="194"/>
        <v>0.000178722468765007i</v>
      </c>
      <c r="AH290">
        <f t="shared" si="208"/>
        <v>1.7872246876500701E-4</v>
      </c>
      <c r="AI290">
        <f t="shared" si="209"/>
        <v>1.5707963267948966</v>
      </c>
      <c r="AJ290" t="str">
        <f t="shared" si="195"/>
        <v>1+4.11756943873846i</v>
      </c>
      <c r="AK290">
        <f t="shared" si="210"/>
        <v>4.2372606814819589</v>
      </c>
      <c r="AL290">
        <f t="shared" si="211"/>
        <v>1.3325472455088281</v>
      </c>
      <c r="AM290" t="str">
        <f t="shared" si="196"/>
        <v>1+30.9961477193924i</v>
      </c>
      <c r="AN290">
        <f t="shared" si="212"/>
        <v>31.012274560928205</v>
      </c>
      <c r="AO290">
        <f t="shared" si="213"/>
        <v>1.5385454394127809</v>
      </c>
      <c r="AP290" s="42" t="str">
        <f t="shared" si="214"/>
        <v>-0.279595804487221+1.33801980906712i</v>
      </c>
      <c r="AQ290">
        <f t="shared" si="215"/>
        <v>2.7148632061748708</v>
      </c>
      <c r="AR290" s="44">
        <f t="shared" si="216"/>
        <v>101.80282709801406</v>
      </c>
      <c r="AS290" s="42" t="str">
        <f t="shared" si="217"/>
        <v>1.04772984128785+0.139766121464118i</v>
      </c>
      <c r="AT290" s="20">
        <f t="shared" si="218"/>
        <v>0.48159066251687421</v>
      </c>
      <c r="AU290" s="44">
        <f t="shared" si="219"/>
        <v>7.5983404899731255</v>
      </c>
    </row>
    <row r="291" spans="14:47" x14ac:dyDescent="0.3">
      <c r="N291" s="8">
        <v>73</v>
      </c>
      <c r="O291" s="35">
        <f t="shared" si="220"/>
        <v>5370.3179637025269</v>
      </c>
      <c r="P291" s="34" t="str">
        <f t="shared" si="188"/>
        <v>545.10556621881</v>
      </c>
      <c r="Q291" s="4" t="str">
        <f t="shared" si="189"/>
        <v>1+720.837396446786i</v>
      </c>
      <c r="R291" s="4">
        <f t="shared" si="197"/>
        <v>720.83809008416097</v>
      </c>
      <c r="S291" s="4">
        <f t="shared" si="198"/>
        <v>1.5694090522674942</v>
      </c>
      <c r="T291" s="4" t="str">
        <f t="shared" si="190"/>
        <v>1+0.0168713514622091i</v>
      </c>
      <c r="U291" s="4">
        <f t="shared" si="199"/>
        <v>1.0001423111238528</v>
      </c>
      <c r="V291" s="4">
        <f t="shared" si="200"/>
        <v>1.6869750967654373E-2</v>
      </c>
      <c r="W291" t="str">
        <f t="shared" si="191"/>
        <v>1-0.0175259598989428i</v>
      </c>
      <c r="X291" s="4">
        <f t="shared" si="201"/>
        <v>1.0001535678436484</v>
      </c>
      <c r="Y291" s="4">
        <f t="shared" si="202"/>
        <v>-1.7524165809222215E-2</v>
      </c>
      <c r="Z291" t="str">
        <f t="shared" si="192"/>
        <v>0.998154219837999+0.0758950769610189i</v>
      </c>
      <c r="AA291" s="4">
        <f t="shared" si="203"/>
        <v>1.0010354185978254</v>
      </c>
      <c r="AB291" s="4">
        <f t="shared" si="204"/>
        <v>7.5889397808126188E-2</v>
      </c>
      <c r="AC291" s="48" t="str">
        <f t="shared" si="205"/>
        <v>-0.0567387511428033-0.753519023052115i</v>
      </c>
      <c r="AD291" s="20">
        <f t="shared" si="206"/>
        <v>-2.4335613081936023</v>
      </c>
      <c r="AE291" s="44">
        <f t="shared" si="207"/>
        <v>-94.306152437221371</v>
      </c>
      <c r="AF291" t="str">
        <f t="shared" si="193"/>
        <v>-0.0000333790427773504</v>
      </c>
      <c r="AG291" t="str">
        <f t="shared" si="194"/>
        <v>0.000182885449850347i</v>
      </c>
      <c r="AH291">
        <f t="shared" si="208"/>
        <v>1.82885449850347E-4</v>
      </c>
      <c r="AI291">
        <f t="shared" si="209"/>
        <v>1.5707963267948966</v>
      </c>
      <c r="AJ291" t="str">
        <f t="shared" si="195"/>
        <v>1+4.21347995189046i</v>
      </c>
      <c r="AK291">
        <f t="shared" si="210"/>
        <v>4.3305211354966087</v>
      </c>
      <c r="AL291">
        <f t="shared" si="211"/>
        <v>1.3377741293221583</v>
      </c>
      <c r="AM291" t="str">
        <f t="shared" si="196"/>
        <v>1+31.7181407489533i</v>
      </c>
      <c r="AN291">
        <f t="shared" si="212"/>
        <v>31.733900683187557</v>
      </c>
      <c r="AO291">
        <f t="shared" si="213"/>
        <v>1.5392790675255348</v>
      </c>
      <c r="AP291" s="42" t="str">
        <f t="shared" si="214"/>
        <v>-0.267682938700211+1.31039008208672i</v>
      </c>
      <c r="AQ291">
        <f t="shared" si="215"/>
        <v>2.525560377152293</v>
      </c>
      <c r="AR291" s="44">
        <f t="shared" si="216"/>
        <v>101.54538251009794</v>
      </c>
      <c r="AS291" s="42" t="str">
        <f t="shared" si="217"/>
        <v>1.00259185011525+0.127354289689586i</v>
      </c>
      <c r="AT291" s="20">
        <f t="shared" si="218"/>
        <v>9.1999068958676808E-2</v>
      </c>
      <c r="AU291" s="44">
        <f t="shared" si="219"/>
        <v>7.2392300728765653</v>
      </c>
    </row>
    <row r="292" spans="14:47" x14ac:dyDescent="0.3">
      <c r="N292" s="8">
        <v>74</v>
      </c>
      <c r="O292" s="35">
        <f t="shared" si="220"/>
        <v>5495.4087385762541</v>
      </c>
      <c r="P292" s="34" t="str">
        <f t="shared" si="188"/>
        <v>545.10556621881</v>
      </c>
      <c r="Q292" s="4" t="str">
        <f t="shared" si="189"/>
        <v>1+737.627856357901i</v>
      </c>
      <c r="R292" s="4">
        <f t="shared" si="197"/>
        <v>737.62853420617637</v>
      </c>
      <c r="S292" s="4">
        <f t="shared" si="198"/>
        <v>1.5694406304518924</v>
      </c>
      <c r="T292" s="4" t="str">
        <f t="shared" si="190"/>
        <v>1+0.0172643357215843i</v>
      </c>
      <c r="U292" s="4">
        <f t="shared" si="199"/>
        <v>1.0001490175408401</v>
      </c>
      <c r="V292" s="4">
        <f t="shared" si="200"/>
        <v>1.7262620774571094E-2</v>
      </c>
      <c r="W292" t="str">
        <f t="shared" si="191"/>
        <v>1-0.0179341919475817i</v>
      </c>
      <c r="X292" s="4">
        <f t="shared" si="201"/>
        <v>1.000160804691332</v>
      </c>
      <c r="Y292" s="4">
        <f t="shared" si="202"/>
        <v>-1.7932269562503524E-2</v>
      </c>
      <c r="Z292" t="str">
        <f t="shared" si="192"/>
        <v>0.998067230898943+0.0776629004028193i</v>
      </c>
      <c r="AA292" s="4">
        <f t="shared" si="203"/>
        <v>1.0010842739216623</v>
      </c>
      <c r="AB292" s="4">
        <f t="shared" si="204"/>
        <v>7.7656812830187757E-2</v>
      </c>
      <c r="AC292" s="48" t="str">
        <f t="shared" si="205"/>
        <v>-0.0567810871097373-0.736239394714034i</v>
      </c>
      <c r="AD292" s="20">
        <f t="shared" si="206"/>
        <v>-2.6338637434002061</v>
      </c>
      <c r="AE292" s="44">
        <f t="shared" si="207"/>
        <v>-94.410099996156248</v>
      </c>
      <c r="AF292" t="str">
        <f t="shared" si="193"/>
        <v>-0.0000333790427773504</v>
      </c>
      <c r="AG292" t="str">
        <f t="shared" si="194"/>
        <v>0.000187145399221974i</v>
      </c>
      <c r="AH292">
        <f t="shared" si="208"/>
        <v>1.87145399221974E-4</v>
      </c>
      <c r="AI292">
        <f t="shared" si="209"/>
        <v>1.5707963267948966</v>
      </c>
      <c r="AJ292" t="str">
        <f t="shared" si="195"/>
        <v>1+4.31162450788496i</v>
      </c>
      <c r="AK292">
        <f t="shared" si="210"/>
        <v>4.4260711581485248</v>
      </c>
      <c r="AL292">
        <f t="shared" si="211"/>
        <v>1.3428945961626471</v>
      </c>
      <c r="AM292" t="str">
        <f t="shared" si="196"/>
        <v>1+32.4569511565786i</v>
      </c>
      <c r="AN292">
        <f t="shared" si="212"/>
        <v>32.47235252303917</v>
      </c>
      <c r="AO292">
        <f t="shared" si="213"/>
        <v>1.5399960290180394</v>
      </c>
      <c r="AP292" s="42" t="str">
        <f t="shared" si="214"/>
        <v>-0.256250211741206+1.28321356761689i</v>
      </c>
      <c r="AQ292">
        <f t="shared" si="215"/>
        <v>2.3358016893404439</v>
      </c>
      <c r="AR292" s="44">
        <f t="shared" si="216"/>
        <v>101.29308023859515</v>
      </c>
      <c r="AS292" s="42" t="str">
        <f t="shared" si="217"/>
        <v>0.959302545905861+0.115799239424437i</v>
      </c>
      <c r="AT292" s="20">
        <f t="shared" si="218"/>
        <v>-0.29806205405976727</v>
      </c>
      <c r="AU292" s="44">
        <f t="shared" si="219"/>
        <v>6.8829802424388831</v>
      </c>
    </row>
    <row r="293" spans="14:47" x14ac:dyDescent="0.3">
      <c r="N293" s="8">
        <v>75</v>
      </c>
      <c r="O293" s="35">
        <f t="shared" si="220"/>
        <v>5623.4132519034993</v>
      </c>
      <c r="P293" s="34" t="str">
        <f t="shared" si="188"/>
        <v>545.10556621881</v>
      </c>
      <c r="Q293" s="4" t="str">
        <f t="shared" si="189"/>
        <v>1+754.809416322114i</v>
      </c>
      <c r="R293" s="4">
        <f t="shared" si="197"/>
        <v>754.81007874069246</v>
      </c>
      <c r="S293" s="4">
        <f t="shared" si="198"/>
        <v>1.5694714898316693</v>
      </c>
      <c r="T293" s="4" t="str">
        <f t="shared" si="190"/>
        <v>1+0.0176664737602795i</v>
      </c>
      <c r="U293" s="4">
        <f t="shared" si="199"/>
        <v>1.0001560399733247</v>
      </c>
      <c r="V293" s="4">
        <f t="shared" si="200"/>
        <v>1.7664636176931071E-2</v>
      </c>
      <c r="W293" t="str">
        <f t="shared" si="191"/>
        <v>1-0.0183519329421783i</v>
      </c>
      <c r="X293" s="4">
        <f t="shared" si="201"/>
        <v>1.0001683825450165</v>
      </c>
      <c r="Y293" s="4">
        <f t="shared" si="202"/>
        <v>-1.8349873088184119E-2</v>
      </c>
      <c r="Z293" t="str">
        <f t="shared" si="192"/>
        <v>0.997976142297492+0.0794719017424031i</v>
      </c>
      <c r="AA293" s="4">
        <f t="shared" si="203"/>
        <v>1.0011354372718699</v>
      </c>
      <c r="AB293" s="4">
        <f t="shared" si="204"/>
        <v>7.9465376265919166E-2</v>
      </c>
      <c r="AC293" s="48" t="str">
        <f t="shared" si="205"/>
        <v>-0.0568210676579116-0.719350137036854i</v>
      </c>
      <c r="AD293" s="20">
        <f t="shared" si="206"/>
        <v>-2.8341804943544102</v>
      </c>
      <c r="AE293" s="44">
        <f t="shared" si="207"/>
        <v>-94.516384293901751</v>
      </c>
      <c r="AF293" t="str">
        <f t="shared" si="193"/>
        <v>-0.0000333790427773504</v>
      </c>
      <c r="AG293" t="str">
        <f t="shared" si="194"/>
        <v>0.00019150457556143i</v>
      </c>
      <c r="AH293">
        <f t="shared" si="208"/>
        <v>1.9150457556143001E-4</v>
      </c>
      <c r="AI293">
        <f t="shared" si="209"/>
        <v>1.5707963267948966</v>
      </c>
      <c r="AJ293" t="str">
        <f t="shared" si="195"/>
        <v>1+4.41205514426464i</v>
      </c>
      <c r="AK293">
        <f t="shared" si="210"/>
        <v>4.5239618252182536</v>
      </c>
      <c r="AL293">
        <f t="shared" si="211"/>
        <v>1.3479102864579064</v>
      </c>
      <c r="AM293" t="str">
        <f t="shared" si="196"/>
        <v>1+33.2129706693255i</v>
      </c>
      <c r="AN293">
        <f t="shared" si="212"/>
        <v>33.228021618529681</v>
      </c>
      <c r="AO293">
        <f t="shared" si="213"/>
        <v>1.5406967010827421</v>
      </c>
      <c r="AP293" s="42" t="str">
        <f t="shared" si="214"/>
        <v>-0.245280573800955+1.25649034829815i</v>
      </c>
      <c r="AQ293">
        <f t="shared" si="215"/>
        <v>2.1456055203880879</v>
      </c>
      <c r="AR293" s="44">
        <f t="shared" si="216"/>
        <v>101.04584790546224</v>
      </c>
      <c r="AS293" s="42" t="str">
        <f t="shared" si="217"/>
        <v>0.917793608312874+0.105047491284033i</v>
      </c>
      <c r="AT293" s="20">
        <f t="shared" si="218"/>
        <v>-0.68857497396632339</v>
      </c>
      <c r="AU293" s="44">
        <f t="shared" si="219"/>
        <v>6.5294636115604865</v>
      </c>
    </row>
    <row r="294" spans="14:47" x14ac:dyDescent="0.3">
      <c r="N294" s="8">
        <v>76</v>
      </c>
      <c r="O294" s="35">
        <f t="shared" si="220"/>
        <v>5754.399373371567</v>
      </c>
      <c r="P294" s="34" t="str">
        <f t="shared" si="188"/>
        <v>545.10556621881</v>
      </c>
      <c r="Q294" s="4" t="str">
        <f t="shared" si="189"/>
        <v>1+772.391186229945i</v>
      </c>
      <c r="R294" s="4">
        <f t="shared" si="197"/>
        <v>772.39183357004856</v>
      </c>
      <c r="S294" s="4">
        <f t="shared" si="198"/>
        <v>1.5695016467686409</v>
      </c>
      <c r="T294" s="4" t="str">
        <f t="shared" si="190"/>
        <v>1+0.0180779787972058i</v>
      </c>
      <c r="U294" s="4">
        <f t="shared" si="199"/>
        <v>1.0001633933100091</v>
      </c>
      <c r="V294" s="4">
        <f t="shared" si="200"/>
        <v>1.8076009808545589E-2</v>
      </c>
      <c r="W294" t="str">
        <f t="shared" si="191"/>
        <v>1-0.0187794043745373i</v>
      </c>
      <c r="X294" s="4">
        <f t="shared" si="201"/>
        <v>1.0001763174704059</v>
      </c>
      <c r="Y294" s="4">
        <f t="shared" si="202"/>
        <v>-1.8777197222230591E-2</v>
      </c>
      <c r="Z294" t="str">
        <f t="shared" si="192"/>
        <v>0.997880760822511+0.0813230401362255i</v>
      </c>
      <c r="AA294" s="4">
        <f t="shared" si="203"/>
        <v>1.0011890179565053</v>
      </c>
      <c r="AB294" s="4">
        <f t="shared" si="204"/>
        <v>8.1316045129703515E-2</v>
      </c>
      <c r="AC294" s="48" t="str">
        <f t="shared" si="205"/>
        <v>-0.0568587776029282-0.702842296397732i</v>
      </c>
      <c r="AD294" s="20">
        <f t="shared" si="206"/>
        <v>-3.0345122368408335</v>
      </c>
      <c r="AE294" s="44">
        <f t="shared" si="207"/>
        <v>-94.625061570754852</v>
      </c>
      <c r="AF294" t="str">
        <f t="shared" si="193"/>
        <v>-0.0000333790427773504</v>
      </c>
      <c r="AG294" t="str">
        <f t="shared" si="194"/>
        <v>0.000195965290161711i</v>
      </c>
      <c r="AH294">
        <f t="shared" si="208"/>
        <v>1.95965290161711E-4</v>
      </c>
      <c r="AI294">
        <f t="shared" si="209"/>
        <v>1.5707963267948966</v>
      </c>
      <c r="AJ294" t="str">
        <f t="shared" si="195"/>
        <v>1+4.51482511068224i</v>
      </c>
      <c r="AK294">
        <f t="shared" si="210"/>
        <v>4.6242454281803544</v>
      </c>
      <c r="AL294">
        <f t="shared" si="211"/>
        <v>1.3528228496967174</v>
      </c>
      <c r="AM294" t="str">
        <f t="shared" si="196"/>
        <v>1+33.986600138747i</v>
      </c>
      <c r="AN294">
        <f t="shared" si="212"/>
        <v>34.001308636449238</v>
      </c>
      <c r="AO294">
        <f t="shared" si="213"/>
        <v>1.5413814524717613</v>
      </c>
      <c r="AP294" s="42" t="str">
        <f t="shared" si="214"/>
        <v>-0.234757385890743+1.23021994355804i</v>
      </c>
      <c r="AQ294">
        <f t="shared" si="215"/>
        <v>1.9549895952271488</v>
      </c>
      <c r="AR294" s="44">
        <f t="shared" si="216"/>
        <v>100.80361212989382</v>
      </c>
      <c r="AS294" s="42" t="str">
        <f t="shared" si="217"/>
        <v>0.877998628199628+0.0950486180223249i</v>
      </c>
      <c r="AT294" s="20">
        <f t="shared" si="218"/>
        <v>-1.0795226416136829</v>
      </c>
      <c r="AU294" s="44">
        <f t="shared" si="219"/>
        <v>6.1785505591389756</v>
      </c>
    </row>
    <row r="295" spans="14:47" x14ac:dyDescent="0.3">
      <c r="N295" s="8">
        <v>77</v>
      </c>
      <c r="O295" s="35">
        <f t="shared" si="220"/>
        <v>5888.4365535558973</v>
      </c>
      <c r="P295" s="34" t="str">
        <f t="shared" si="188"/>
        <v>545.10556621881</v>
      </c>
      <c r="Q295" s="4" t="str">
        <f t="shared" si="189"/>
        <v>1+790.382488168523i</v>
      </c>
      <c r="R295" s="4">
        <f t="shared" si="197"/>
        <v>790.38312077337878</v>
      </c>
      <c r="S295" s="4">
        <f t="shared" si="198"/>
        <v>1.5695311172521953</v>
      </c>
      <c r="T295" s="4" t="str">
        <f t="shared" si="190"/>
        <v>1+0.0184990690177808i</v>
      </c>
      <c r="U295" s="4">
        <f t="shared" si="199"/>
        <v>1.0001710931408307</v>
      </c>
      <c r="V295" s="4">
        <f t="shared" si="200"/>
        <v>1.8496959227911572E-2</v>
      </c>
      <c r="W295" t="str">
        <f t="shared" si="191"/>
        <v>1-0.0192168328956706i</v>
      </c>
      <c r="X295" s="4">
        <f t="shared" si="201"/>
        <v>1.0001846262898366</v>
      </c>
      <c r="Y295" s="4">
        <f t="shared" si="202"/>
        <v>-1.921446791294194E-2</v>
      </c>
      <c r="Z295" t="str">
        <f t="shared" si="192"/>
        <v>0.997780884157104+0.0832172970823663i</v>
      </c>
      <c r="AA295" s="4">
        <f t="shared" si="203"/>
        <v>1.0012451304865493</v>
      </c>
      <c r="AB295" s="4">
        <f t="shared" si="204"/>
        <v>8.3209798620287351E-2</v>
      </c>
      <c r="AC295" s="48" t="str">
        <f t="shared" si="205"/>
        <v>-0.0568942969454832-0.686707121445229i</v>
      </c>
      <c r="AD295" s="20">
        <f t="shared" si="206"/>
        <v>-3.234859678818029</v>
      </c>
      <c r="AE295" s="44">
        <f t="shared" si="207"/>
        <v>-94.736189327495708</v>
      </c>
      <c r="AF295" t="str">
        <f t="shared" si="193"/>
        <v>-0.0000333790427773504</v>
      </c>
      <c r="AG295" t="str">
        <f t="shared" si="194"/>
        <v>0.000200529908152744i</v>
      </c>
      <c r="AH295">
        <f t="shared" si="208"/>
        <v>2.00529908152744E-4</v>
      </c>
      <c r="AI295">
        <f t="shared" si="209"/>
        <v>1.5707963267948966</v>
      </c>
      <c r="AJ295" t="str">
        <f t="shared" si="195"/>
        <v>1+4.61998889713433i</v>
      </c>
      <c r="AK295">
        <f t="shared" si="210"/>
        <v>4.7269755033895064</v>
      </c>
      <c r="AL295">
        <f t="shared" si="211"/>
        <v>1.3576339417047707</v>
      </c>
      <c r="AM295" t="str">
        <f t="shared" si="196"/>
        <v>1+34.778249753428i</v>
      </c>
      <c r="AN295">
        <f t="shared" si="212"/>
        <v>34.79262358477461</v>
      </c>
      <c r="AO295">
        <f t="shared" si="213"/>
        <v>1.5420506436793231</v>
      </c>
      <c r="AP295" s="42" t="str">
        <f t="shared" si="214"/>
        <v>-0.224664427442263+1.20440134709801i</v>
      </c>
      <c r="AQ295">
        <f t="shared" si="215"/>
        <v>1.7639710017761252</v>
      </c>
      <c r="AR295" s="44">
        <f t="shared" si="216"/>
        <v>100.56629869486372</v>
      </c>
      <c r="AS295" s="42" t="str">
        <f t="shared" si="217"/>
        <v>0.839853106778418+0.0857550943766828i</v>
      </c>
      <c r="AT295" s="20">
        <f t="shared" si="218"/>
        <v>-1.4708886770418985</v>
      </c>
      <c r="AU295" s="44">
        <f t="shared" si="219"/>
        <v>5.8301093673679993</v>
      </c>
    </row>
    <row r="296" spans="14:47" x14ac:dyDescent="0.3">
      <c r="N296" s="8">
        <v>78</v>
      </c>
      <c r="O296" s="35">
        <f t="shared" si="220"/>
        <v>6025.595860743585</v>
      </c>
      <c r="P296" s="34" t="str">
        <f t="shared" si="188"/>
        <v>545.10556621881</v>
      </c>
      <c r="Q296" s="4" t="str">
        <f t="shared" si="189"/>
        <v>1+808.792861364275i</v>
      </c>
      <c r="R296" s="4">
        <f t="shared" si="197"/>
        <v>808.79347956929735</v>
      </c>
      <c r="S296" s="4">
        <f t="shared" si="198"/>
        <v>1.5695599169077676</v>
      </c>
      <c r="T296" s="4" t="str">
        <f t="shared" si="190"/>
        <v>1+0.0189299676896131i</v>
      </c>
      <c r="U296" s="4">
        <f t="shared" si="199"/>
        <v>1.0001791557899664</v>
      </c>
      <c r="V296" s="4">
        <f t="shared" si="200"/>
        <v>1.8927707030908094E-2</v>
      </c>
      <c r="W296" t="str">
        <f t="shared" si="191"/>
        <v>1-0.01966445043597i</v>
      </c>
      <c r="X296" s="4">
        <f t="shared" si="201"/>
        <v>1.0001933266178837</v>
      </c>
      <c r="Y296" s="4">
        <f t="shared" si="202"/>
        <v>-1.9661916337773522E-2</v>
      </c>
      <c r="Z296" t="str">
        <f t="shared" si="192"/>
        <v>0.997676300449471+0.0851556769409311i</v>
      </c>
      <c r="AA296" s="4">
        <f t="shared" si="203"/>
        <v>1.0013038948260469</v>
      </c>
      <c r="AB296" s="4">
        <f t="shared" si="204"/>
        <v>8.5147638629441441E-2</v>
      </c>
      <c r="AC296" s="48" t="str">
        <f t="shared" si="205"/>
        <v>-0.056927701041178-0.670936058465622i</v>
      </c>
      <c r="AD296" s="20">
        <f t="shared" si="206"/>
        <v>-3.4352235619557723</v>
      </c>
      <c r="AE296" s="44">
        <f t="shared" si="207"/>
        <v>-94.849826355253967</v>
      </c>
      <c r="AF296" t="str">
        <f t="shared" si="193"/>
        <v>-0.0000333790427773504</v>
      </c>
      <c r="AG296" t="str">
        <f t="shared" si="194"/>
        <v>0.000205200849755406i</v>
      </c>
      <c r="AH296">
        <f t="shared" si="208"/>
        <v>2.0520084975540599E-4</v>
      </c>
      <c r="AI296">
        <f t="shared" si="209"/>
        <v>1.5707963267948966</v>
      </c>
      <c r="AJ296" t="str">
        <f t="shared" si="195"/>
        <v>1+4.72760226285245i</v>
      </c>
      <c r="AK296">
        <f t="shared" si="210"/>
        <v>4.8322068618517982</v>
      </c>
      <c r="AL296">
        <f t="shared" si="211"/>
        <v>1.3623452220944823</v>
      </c>
      <c r="AM296" t="str">
        <f t="shared" si="196"/>
        <v>1+35.5883392564727i</v>
      </c>
      <c r="AN296">
        <f t="shared" si="212"/>
        <v>35.602386030065396</v>
      </c>
      <c r="AO296">
        <f t="shared" si="213"/>
        <v>1.5427046271206903</v>
      </c>
      <c r="AP296" s="42" t="str">
        <f t="shared" si="214"/>
        <v>-0.214985901875891+1.17903306304995i</v>
      </c>
      <c r="AQ296">
        <f t="shared" si="215"/>
        <v>1.5725662069418223</v>
      </c>
      <c r="AR296" s="44">
        <f t="shared" si="216"/>
        <v>100.33383270349229</v>
      </c>
      <c r="AS296" s="42" t="str">
        <f t="shared" si="217"/>
        <v>0.803294449273441+0.0771221518993153i</v>
      </c>
      <c r="AT296" s="20">
        <f t="shared" si="218"/>
        <v>-1.8626573550139542</v>
      </c>
      <c r="AU296" s="44">
        <f t="shared" si="219"/>
        <v>5.4840063482383306</v>
      </c>
    </row>
    <row r="297" spans="14:47" x14ac:dyDescent="0.3">
      <c r="N297" s="8">
        <v>79</v>
      </c>
      <c r="O297" s="35">
        <f t="shared" si="220"/>
        <v>6165.9500186148289</v>
      </c>
      <c r="P297" s="34" t="str">
        <f t="shared" si="188"/>
        <v>545.10556621881</v>
      </c>
      <c r="Q297" s="4" t="str">
        <f t="shared" si="189"/>
        <v>1+827.632067240763i</v>
      </c>
      <c r="R297" s="4">
        <f t="shared" si="197"/>
        <v>827.63267137373145</v>
      </c>
      <c r="S297" s="4">
        <f t="shared" si="198"/>
        <v>1.5695880610051256</v>
      </c>
      <c r="T297" s="4" t="str">
        <f t="shared" si="190"/>
        <v>1+0.0193709032808822i</v>
      </c>
      <c r="U297" s="4">
        <f t="shared" si="199"/>
        <v>1.0001875983503881</v>
      </c>
      <c r="V297" s="4">
        <f t="shared" si="200"/>
        <v>1.9368480965975047E-2</v>
      </c>
      <c r="W297" t="str">
        <f t="shared" si="191"/>
        <v>1-0.0201224943281804i</v>
      </c>
      <c r="X297" s="4">
        <f t="shared" si="201"/>
        <v>1.0002024368986449</v>
      </c>
      <c r="Y297" s="4">
        <f t="shared" si="202"/>
        <v>-2.0119779022722446E-2</v>
      </c>
      <c r="Z297" t="str">
        <f t="shared" si="192"/>
        <v>0.997566787863548+0.0871392074665786i</v>
      </c>
      <c r="AA297" s="4">
        <f t="shared" si="203"/>
        <v>1.0013654366545215</v>
      </c>
      <c r="AB297" s="4">
        <f t="shared" si="204"/>
        <v>8.7130590261847468E-2</v>
      </c>
      <c r="AC297" s="48" t="str">
        <f t="shared" si="205"/>
        <v>-0.0569590607604914-0.655520746854184i</v>
      </c>
      <c r="AD297" s="20">
        <f t="shared" si="206"/>
        <v>-3.6356046632478378</v>
      </c>
      <c r="AE297" s="44">
        <f t="shared" si="207"/>
        <v>-94.966032766011608</v>
      </c>
      <c r="AF297" t="str">
        <f t="shared" si="193"/>
        <v>-0.0000333790427773504</v>
      </c>
      <c r="AG297" t="str">
        <f t="shared" si="194"/>
        <v>0.000209980591564763i</v>
      </c>
      <c r="AH297">
        <f t="shared" si="208"/>
        <v>2.0998059156476299E-4</v>
      </c>
      <c r="AI297">
        <f t="shared" si="209"/>
        <v>1.5707963267948966</v>
      </c>
      <c r="AJ297" t="str">
        <f t="shared" si="195"/>
        <v>1+4.83772226586755i</v>
      </c>
      <c r="AK297">
        <f t="shared" si="210"/>
        <v>4.9399956196003512</v>
      </c>
      <c r="AL297">
        <f t="shared" si="211"/>
        <v>1.3669583518826036</v>
      </c>
      <c r="AM297" t="str">
        <f t="shared" si="196"/>
        <v>1+36.4172981680586i</v>
      </c>
      <c r="AN297">
        <f t="shared" si="212"/>
        <v>36.431025319928679</v>
      </c>
      <c r="AO297">
        <f t="shared" si="213"/>
        <v>1.5433437473076197</v>
      </c>
      <c r="AP297" s="42" t="str">
        <f t="shared" si="214"/>
        <v>-0.205706440310795+1.1541131407668i</v>
      </c>
      <c r="AQ297">
        <f t="shared" si="215"/>
        <v>1.3807910728401813</v>
      </c>
      <c r="AR297" s="44">
        <f t="shared" si="216"/>
        <v>100.10613872559962</v>
      </c>
      <c r="AS297" s="42" t="str">
        <f t="shared" si="217"/>
        <v>0.768261953622168+0.0691076388758302i</v>
      </c>
      <c r="AT297" s="20">
        <f t="shared" si="218"/>
        <v>-2.2548135904076521</v>
      </c>
      <c r="AU297" s="44">
        <f t="shared" si="219"/>
        <v>5.1401059595880136</v>
      </c>
    </row>
    <row r="298" spans="14:47" x14ac:dyDescent="0.3">
      <c r="N298" s="8">
        <v>80</v>
      </c>
      <c r="O298" s="35">
        <f t="shared" si="220"/>
        <v>6309.5734448019384</v>
      </c>
      <c r="P298" s="34" t="str">
        <f t="shared" si="188"/>
        <v>545.10556621881</v>
      </c>
      <c r="Q298" s="4" t="str">
        <f t="shared" si="189"/>
        <v>1+846.910094594306i</v>
      </c>
      <c r="R298" s="4">
        <f t="shared" si="197"/>
        <v>846.91068497553874</v>
      </c>
      <c r="S298" s="4">
        <f t="shared" si="198"/>
        <v>1.5696155644664636</v>
      </c>
      <c r="T298" s="4" t="str">
        <f t="shared" si="190"/>
        <v>1+0.019822109581475i</v>
      </c>
      <c r="U298" s="4">
        <f t="shared" si="199"/>
        <v>1.0001964387200446</v>
      </c>
      <c r="V298" s="4">
        <f t="shared" si="200"/>
        <v>1.9819514051819823E-2</v>
      </c>
      <c r="W298" t="str">
        <f t="shared" si="191"/>
        <v>1-0.0205912074332362i</v>
      </c>
      <c r="X298" s="4">
        <f t="shared" si="201"/>
        <v>1.0002119764447728</v>
      </c>
      <c r="Y298" s="4">
        <f t="shared" si="202"/>
        <v>-2.0588297964320056E-2</v>
      </c>
      <c r="Z298" t="str">
        <f t="shared" si="192"/>
        <v>0.997452114108458+0.0891689403534486i</v>
      </c>
      <c r="AA298" s="4">
        <f t="shared" si="203"/>
        <v>1.0014298876422598</v>
      </c>
      <c r="AB298" s="4">
        <f t="shared" si="204"/>
        <v>8.9159702366415114E-2</v>
      </c>
      <c r="AC298" s="48" t="str">
        <f t="shared" si="205"/>
        <v>-0.0569884426392578-0.640453014689179i</v>
      </c>
      <c r="AD298" s="20">
        <f t="shared" si="206"/>
        <v>-3.8360037967025207</v>
      </c>
      <c r="AE298" s="44">
        <f t="shared" si="207"/>
        <v>-95.084870023754718</v>
      </c>
      <c r="AF298" t="str">
        <f t="shared" si="193"/>
        <v>-0.0000333790427773504</v>
      </c>
      <c r="AG298" t="str">
        <f t="shared" si="194"/>
        <v>0.000214871667863189i</v>
      </c>
      <c r="AH298">
        <f t="shared" si="208"/>
        <v>2.1487166786318901E-4</v>
      </c>
      <c r="AI298">
        <f t="shared" si="209"/>
        <v>1.5707963267948966</v>
      </c>
      <c r="AJ298" t="str">
        <f t="shared" si="195"/>
        <v>1+4.95040729326283i</v>
      </c>
      <c r="AK298">
        <f t="shared" si="210"/>
        <v>5.0503992286936903</v>
      </c>
      <c r="AL298">
        <f t="shared" si="211"/>
        <v>1.3714749912691651</v>
      </c>
      <c r="AM298" t="str">
        <f t="shared" si="196"/>
        <v>1+37.2655660131731i</v>
      </c>
      <c r="AN298">
        <f t="shared" si="212"/>
        <v>37.278980810668124</v>
      </c>
      <c r="AO298">
        <f t="shared" si="213"/>
        <v>1.5439683410203833</v>
      </c>
      <c r="AP298" s="42" t="str">
        <f t="shared" si="214"/>
        <v>-0.196811103582281+1.12963920822373i</v>
      </c>
      <c r="AQ298">
        <f t="shared" si="215"/>
        <v>1.1886608731640036</v>
      </c>
      <c r="AR298" s="44">
        <f t="shared" si="216"/>
        <v>99.883140934818798</v>
      </c>
      <c r="AS298" s="42" t="str">
        <f t="shared" si="217"/>
        <v>0.734696794705253+0.0616718853926615i</v>
      </c>
      <c r="AT298" s="20">
        <f t="shared" si="218"/>
        <v>-2.6473429235385182</v>
      </c>
      <c r="AU298" s="44">
        <f t="shared" si="219"/>
        <v>4.7982709110640744</v>
      </c>
    </row>
    <row r="299" spans="14:47" x14ac:dyDescent="0.3">
      <c r="N299" s="8">
        <v>81</v>
      </c>
      <c r="O299" s="35">
        <f t="shared" si="220"/>
        <v>6456.5422903465615</v>
      </c>
      <c r="P299" s="34" t="str">
        <f t="shared" si="188"/>
        <v>545.10556621881</v>
      </c>
      <c r="Q299" s="4" t="str">
        <f t="shared" si="189"/>
        <v>1+866.637164890186i</v>
      </c>
      <c r="R299" s="4">
        <f t="shared" si="197"/>
        <v>866.63774183271039</v>
      </c>
      <c r="S299" s="4">
        <f t="shared" si="198"/>
        <v>1.569642441874314</v>
      </c>
      <c r="T299" s="4" t="str">
        <f t="shared" si="190"/>
        <v>1+0.0202838258269446i</v>
      </c>
      <c r="U299" s="4">
        <f t="shared" si="199"/>
        <v>1.0002056956397409</v>
      </c>
      <c r="V299" s="4">
        <f t="shared" si="200"/>
        <v>2.0281044697701478E-2</v>
      </c>
      <c r="W299" t="str">
        <f t="shared" si="191"/>
        <v>1-0.02107083826903i</v>
      </c>
      <c r="X299" s="4">
        <f t="shared" si="201"/>
        <v>1.0002219654783431</v>
      </c>
      <c r="Y299" s="4">
        <f t="shared" si="202"/>
        <v>-2.1067720754282412E-2</v>
      </c>
      <c r="Z299" t="str">
        <f t="shared" si="192"/>
        <v>0.99733203594579+0.0912459517927847i</v>
      </c>
      <c r="AA299" s="4">
        <f t="shared" si="203"/>
        <v>1.0014973857391472</v>
      </c>
      <c r="AB299" s="4">
        <f t="shared" si="204"/>
        <v>9.1236048079245E-2</v>
      </c>
      <c r="AC299" s="48" t="str">
        <f t="shared" si="205"/>
        <v>-0.057015909019963-0.625724874406122i</v>
      </c>
      <c r="AD299" s="20">
        <f t="shared" si="206"/>
        <v>-4.0364218151166149</v>
      </c>
      <c r="AE299" s="44">
        <f t="shared" si="207"/>
        <v>-95.206400976286318</v>
      </c>
      <c r="AF299" t="str">
        <f t="shared" si="193"/>
        <v>-0.0000333790427773504</v>
      </c>
      <c r="AG299" t="str">
        <f t="shared" si="194"/>
        <v>0.000219876671964079i</v>
      </c>
      <c r="AH299">
        <f t="shared" si="208"/>
        <v>2.19876671964079E-4</v>
      </c>
      <c r="AI299">
        <f t="shared" si="209"/>
        <v>1.5707963267948966</v>
      </c>
      <c r="AJ299" t="str">
        <f t="shared" si="195"/>
        <v>1+5.0657170921314i</v>
      </c>
      <c r="AK299">
        <f t="shared" si="210"/>
        <v>5.1634765088564318</v>
      </c>
      <c r="AL299">
        <f t="shared" si="211"/>
        <v>1.3758967975712473</v>
      </c>
      <c r="AM299" t="str">
        <f t="shared" si="196"/>
        <v>1+38.1335925546559i</v>
      </c>
      <c r="AN299">
        <f t="shared" si="212"/>
        <v>38.146702100240695</v>
      </c>
      <c r="AO299">
        <f t="shared" si="213"/>
        <v>1.5445787374764004</v>
      </c>
      <c r="AP299" s="42" t="str">
        <f t="shared" si="214"/>
        <v>-0.18828538272328+1.10560850401714i</v>
      </c>
      <c r="AQ299">
        <f t="shared" si="215"/>
        <v>0.99619030963171107</v>
      </c>
      <c r="AR299" s="44">
        <f t="shared" si="216"/>
        <v>99.664763236644646</v>
      </c>
      <c r="AS299" s="42" t="str">
        <f t="shared" si="217"/>
        <v>0.702542004569605+0.0547775735802944i</v>
      </c>
      <c r="AT299" s="20">
        <f t="shared" si="218"/>
        <v>-3.0402315054849032</v>
      </c>
      <c r="AU299" s="44">
        <f t="shared" si="219"/>
        <v>4.4583622603583288</v>
      </c>
    </row>
    <row r="300" spans="14:47" x14ac:dyDescent="0.3">
      <c r="N300" s="8">
        <v>82</v>
      </c>
      <c r="O300" s="35">
        <f t="shared" si="220"/>
        <v>6606.9344800759654</v>
      </c>
      <c r="P300" s="34" t="str">
        <f t="shared" si="188"/>
        <v>545.10556621881</v>
      </c>
      <c r="Q300" s="4" t="str">
        <f t="shared" si="189"/>
        <v>1+886.823737682186i</v>
      </c>
      <c r="R300" s="4">
        <f t="shared" si="197"/>
        <v>886.82430149190361</v>
      </c>
      <c r="S300" s="4">
        <f t="shared" si="198"/>
        <v>1.5696687074792794</v>
      </c>
      <c r="T300" s="4" t="str">
        <f t="shared" si="190"/>
        <v>1+0.0207562968253557i</v>
      </c>
      <c r="U300" s="4">
        <f t="shared" si="199"/>
        <v>1.000215388732798</v>
      </c>
      <c r="V300" s="4">
        <f t="shared" si="200"/>
        <v>2.075331682633923E-2</v>
      </c>
      <c r="W300" t="str">
        <f t="shared" si="191"/>
        <v>1-0.0215616411421795i</v>
      </c>
      <c r="X300" s="4">
        <f t="shared" si="201"/>
        <v>1.0002324251736414</v>
      </c>
      <c r="Y300" s="4">
        <f t="shared" si="202"/>
        <v>-2.1558300706865024E-2</v>
      </c>
      <c r="Z300" t="str">
        <f t="shared" si="192"/>
        <v>0.997206298673663+0.0933713430435439i</v>
      </c>
      <c r="AA300" s="4">
        <f t="shared" si="203"/>
        <v>1.001568075477739</v>
      </c>
      <c r="AB300" s="4">
        <f t="shared" si="204"/>
        <v>9.3360725378445322E-2</v>
      </c>
      <c r="AC300" s="48" t="str">
        <f t="shared" si="205"/>
        <v>-0.0570415181841672-0.611328518570172i</v>
      </c>
      <c r="AD300" s="20">
        <f t="shared" si="206"/>
        <v>-4.2368596119353166</v>
      </c>
      <c r="AE300" s="44">
        <f t="shared" si="207"/>
        <v>-95.330689887712737</v>
      </c>
      <c r="AF300" t="str">
        <f t="shared" si="193"/>
        <v>-0.0000333790427773504</v>
      </c>
      <c r="AG300" t="str">
        <f t="shared" si="194"/>
        <v>0.000224998257586856i</v>
      </c>
      <c r="AH300">
        <f t="shared" si="208"/>
        <v>2.24998257586856E-4</v>
      </c>
      <c r="AI300">
        <f t="shared" si="209"/>
        <v>1.5707963267948966</v>
      </c>
      <c r="AJ300" t="str">
        <f t="shared" si="195"/>
        <v>1+5.1837128012549i</v>
      </c>
      <c r="AK300">
        <f t="shared" si="210"/>
        <v>5.2792876797816124</v>
      </c>
      <c r="AL300">
        <f t="shared" si="211"/>
        <v>1.3802254233050193</v>
      </c>
      <c r="AM300" t="str">
        <f t="shared" si="196"/>
        <v>1+39.0218380316689i</v>
      </c>
      <c r="AN300">
        <f t="shared" si="212"/>
        <v>39.034649266642596</v>
      </c>
      <c r="AO300">
        <f t="shared" si="213"/>
        <v>1.545175258495519</v>
      </c>
      <c r="AP300" s="42" t="str">
        <f t="shared" si="214"/>
        <v>-0.180115198058338+1.08201790795828i</v>
      </c>
      <c r="AQ300">
        <f t="shared" si="215"/>
        <v>0.80339352845778589</v>
      </c>
      <c r="AR300" s="44">
        <f t="shared" si="216"/>
        <v>99.450929387794105</v>
      </c>
      <c r="AS300" s="42" t="str">
        <f t="shared" si="217"/>
        <v>0.671742449083822+0.0483896130285801i</v>
      </c>
      <c r="AT300" s="20">
        <f t="shared" si="218"/>
        <v>-3.4334660834775259</v>
      </c>
      <c r="AU300" s="44">
        <f t="shared" si="219"/>
        <v>4.1202395000813761</v>
      </c>
    </row>
    <row r="301" spans="14:47" x14ac:dyDescent="0.3">
      <c r="N301" s="8">
        <v>83</v>
      </c>
      <c r="O301" s="35">
        <f t="shared" si="220"/>
        <v>6760.8297539198229</v>
      </c>
      <c r="P301" s="34" t="str">
        <f t="shared" si="188"/>
        <v>545.10556621881</v>
      </c>
      <c r="Q301" s="4" t="str">
        <f t="shared" si="189"/>
        <v>1+907.480516158407i</v>
      </c>
      <c r="R301" s="4">
        <f t="shared" si="197"/>
        <v>907.48106713425636</v>
      </c>
      <c r="S301" s="4">
        <f t="shared" si="198"/>
        <v>1.569694375207586</v>
      </c>
      <c r="T301" s="4" t="str">
        <f t="shared" si="190"/>
        <v>1+0.0212397730870858i</v>
      </c>
      <c r="U301" s="4">
        <f t="shared" si="199"/>
        <v>1.0002255385465775</v>
      </c>
      <c r="V301" s="4">
        <f t="shared" si="200"/>
        <v>2.1236579999495759E-2</v>
      </c>
      <c r="W301" t="str">
        <f t="shared" si="191"/>
        <v>1-0.0220638762828647i</v>
      </c>
      <c r="X301" s="4">
        <f t="shared" si="201"/>
        <v>1.0002433777019599</v>
      </c>
      <c r="Y301" s="4">
        <f t="shared" si="202"/>
        <v>-2.2060296988973077E-2</v>
      </c>
      <c r="Z301" t="str">
        <f t="shared" si="192"/>
        <v>0.997074635586465+0.0955462410163008i</v>
      </c>
      <c r="AA301" s="4">
        <f t="shared" si="203"/>
        <v>1.0016421082912934</v>
      </c>
      <c r="AB301" s="4">
        <f t="shared" si="204"/>
        <v>9.5534857651019878E-2</v>
      </c>
      <c r="AC301" s="48" t="str">
        <f t="shared" si="205"/>
        <v>-0.0570653244763341-0.597256315744343i</v>
      </c>
      <c r="AD301" s="20">
        <f t="shared" si="206"/>
        <v>-4.4373181232039034</v>
      </c>
      <c r="AE301" s="44">
        <f t="shared" si="207"/>
        <v>-95.457802471616176</v>
      </c>
      <c r="AF301" t="str">
        <f t="shared" si="193"/>
        <v>-0.0000333790427773504</v>
      </c>
      <c r="AG301" t="str">
        <f t="shared" si="194"/>
        <v>0.00023023914026401i</v>
      </c>
      <c r="AH301">
        <f t="shared" si="208"/>
        <v>2.3023914026400999E-4</v>
      </c>
      <c r="AI301">
        <f t="shared" si="209"/>
        <v>1.5707963267948966</v>
      </c>
      <c r="AJ301" t="str">
        <f t="shared" si="195"/>
        <v>1+5.30445698352017i</v>
      </c>
      <c r="AK301">
        <f t="shared" si="210"/>
        <v>5.3978943941147932</v>
      </c>
      <c r="AL301">
        <f t="shared" si="211"/>
        <v>1.3844625144095086</v>
      </c>
      <c r="AM301" t="str">
        <f t="shared" si="196"/>
        <v>1+39.9307734037214i</v>
      </c>
      <c r="AN301">
        <f t="shared" si="212"/>
        <v>39.943293111852263</v>
      </c>
      <c r="AO301">
        <f t="shared" si="213"/>
        <v>1.5457582186619914</v>
      </c>
      <c r="AP301" s="42" t="str">
        <f t="shared" si="214"/>
        <v>-0.172286897049985+1.05886397026663i</v>
      </c>
      <c r="AQ301">
        <f t="shared" si="215"/>
        <v>0.61028413679129823</v>
      </c>
      <c r="AR301" s="44">
        <f t="shared" si="216"/>
        <v>99.241563107257534</v>
      </c>
      <c r="AS301" s="42" t="str">
        <f t="shared" si="217"/>
        <v>0.642244801439053+0.0424750213435343i</v>
      </c>
      <c r="AT301" s="20">
        <f t="shared" si="218"/>
        <v>-3.8270339864126073</v>
      </c>
      <c r="AU301" s="44">
        <f t="shared" si="219"/>
        <v>3.7837606356413591</v>
      </c>
    </row>
    <row r="302" spans="14:47" x14ac:dyDescent="0.3">
      <c r="N302" s="8">
        <v>84</v>
      </c>
      <c r="O302" s="35">
        <f t="shared" si="220"/>
        <v>6918.3097091893687</v>
      </c>
      <c r="P302" s="34" t="str">
        <f t="shared" si="188"/>
        <v>545.10556621881</v>
      </c>
      <c r="Q302" s="4" t="str">
        <f t="shared" si="189"/>
        <v>1+928.618452816219i</v>
      </c>
      <c r="R302" s="4">
        <f t="shared" si="197"/>
        <v>928.61899125033415</v>
      </c>
      <c r="S302" s="4">
        <f t="shared" si="198"/>
        <v>1.5697194586684675</v>
      </c>
      <c r="T302" s="4" t="str">
        <f t="shared" si="190"/>
        <v>1+0.0217345109576483i</v>
      </c>
      <c r="U302" s="4">
        <f t="shared" si="199"/>
        <v>1.0002361665959536</v>
      </c>
      <c r="V302" s="4">
        <f t="shared" si="200"/>
        <v>2.1731089546281432E-2</v>
      </c>
      <c r="W302" t="str">
        <f t="shared" si="191"/>
        <v>1-0.0225778099828049i</v>
      </c>
      <c r="X302" s="4">
        <f t="shared" si="201"/>
        <v>1.000254846278497</v>
      </c>
      <c r="Y302" s="4">
        <f t="shared" si="202"/>
        <v>-2.2573974753074183E-2</v>
      </c>
      <c r="Z302" t="str">
        <f t="shared" si="192"/>
        <v>0.996936767409135+0.0977717988707486i</v>
      </c>
      <c r="AA302" s="4">
        <f t="shared" si="203"/>
        <v>1.0017196428475372</v>
      </c>
      <c r="AB302" s="4">
        <f t="shared" si="204"/>
        <v>9.7759594272029765E-2</v>
      </c>
      <c r="AC302" s="48" t="str">
        <f t="shared" si="205"/>
        <v>-0.0570873784193313-0.583500806451472i</v>
      </c>
      <c r="AD302" s="20">
        <f t="shared" si="206"/>
        <v>-4.637798329614558</v>
      </c>
      <c r="AE302" s="44">
        <f t="shared" si="207"/>
        <v>-95.587805924925277</v>
      </c>
      <c r="AF302" t="str">
        <f t="shared" si="193"/>
        <v>-0.0000333790427773504</v>
      </c>
      <c r="AG302" t="str">
        <f t="shared" si="194"/>
        <v>0.000235602098780907i</v>
      </c>
      <c r="AH302">
        <f t="shared" si="208"/>
        <v>2.35602098780907E-4</v>
      </c>
      <c r="AI302">
        <f t="shared" si="209"/>
        <v>1.5707963267948966</v>
      </c>
      <c r="AJ302" t="str">
        <f t="shared" si="195"/>
        <v>1+5.4280136590909i</v>
      </c>
      <c r="AK302">
        <f t="shared" si="210"/>
        <v>5.5193597711398903</v>
      </c>
      <c r="AL302">
        <f t="shared" si="211"/>
        <v>1.3886097086055906</v>
      </c>
      <c r="AM302" t="str">
        <f t="shared" si="196"/>
        <v>1+40.8608806003788i</v>
      </c>
      <c r="AN302">
        <f t="shared" si="212"/>
        <v>40.873115411458578</v>
      </c>
      <c r="AO302">
        <f t="shared" si="213"/>
        <v>1.5463279254831885</v>
      </c>
      <c r="AP302" s="42" t="str">
        <f t="shared" si="214"/>
        <v>-0.164787251028774+1.03614293937533i</v>
      </c>
      <c r="AQ302">
        <f t="shared" si="215"/>
        <v>0.41687521907317848</v>
      </c>
      <c r="AR302" s="44">
        <f t="shared" si="216"/>
        <v>99.036588179415318</v>
      </c>
      <c r="AS302" s="42" t="str">
        <f t="shared" si="217"/>
        <v>0.613997512882665+0.0370028097915731i</v>
      </c>
      <c r="AT302" s="20">
        <f t="shared" si="218"/>
        <v>-4.220923110541376</v>
      </c>
      <c r="AU302" s="44">
        <f t="shared" si="219"/>
        <v>3.4487822544900366</v>
      </c>
    </row>
    <row r="303" spans="14:47" x14ac:dyDescent="0.3">
      <c r="N303" s="8">
        <v>85</v>
      </c>
      <c r="O303" s="35">
        <f t="shared" si="220"/>
        <v>7079.4578438413828</v>
      </c>
      <c r="P303" s="34" t="str">
        <f t="shared" si="188"/>
        <v>545.10556621881</v>
      </c>
      <c r="Q303" s="4" t="str">
        <f t="shared" si="189"/>
        <v>1+950.248755269432i</v>
      </c>
      <c r="R303" s="4">
        <f t="shared" si="197"/>
        <v>950.24928144729722</v>
      </c>
      <c r="S303" s="4">
        <f t="shared" si="198"/>
        <v>1.5697439711613808</v>
      </c>
      <c r="T303" s="4" t="str">
        <f t="shared" si="190"/>
        <v>1+0.0222407727536107i</v>
      </c>
      <c r="U303" s="4">
        <f t="shared" si="199"/>
        <v>1.0002472954088293</v>
      </c>
      <c r="V303" s="4">
        <f t="shared" si="200"/>
        <v>2.2237106694231158E-2</v>
      </c>
      <c r="W303" t="str">
        <f t="shared" si="191"/>
        <v>1-0.0231037147364507i</v>
      </c>
      <c r="X303" s="4">
        <f t="shared" si="201"/>
        <v>1.0002668552114597</v>
      </c>
      <c r="Y303" s="4">
        <f t="shared" si="202"/>
        <v>-2.3099605272964816E-2</v>
      </c>
      <c r="Z303" t="str">
        <f t="shared" si="192"/>
        <v>0.996792401704785+0.10004919662712i</v>
      </c>
      <c r="AA303" s="4">
        <f t="shared" si="203"/>
        <v>1.0018008453989873</v>
      </c>
      <c r="AB303" s="4">
        <f t="shared" si="204"/>
        <v>0.10003611119624456</v>
      </c>
      <c r="AC303" s="48" t="str">
        <f t="shared" si="205"/>
        <v>-0.0571077268218504-0.570054699227782i</v>
      </c>
      <c r="AD303" s="20">
        <f t="shared" si="206"/>
        <v>-4.8383012586539786</v>
      </c>
      <c r="AE303" s="44">
        <f t="shared" si="207"/>
        <v>-95.720768962496408</v>
      </c>
      <c r="AF303" t="str">
        <f t="shared" si="193"/>
        <v>-0.0000333790427773504</v>
      </c>
      <c r="AG303" t="str">
        <f t="shared" si="194"/>
        <v>0.00024108997664914i</v>
      </c>
      <c r="AH303">
        <f t="shared" si="208"/>
        <v>2.4108997664914E-4</v>
      </c>
      <c r="AI303">
        <f t="shared" si="209"/>
        <v>1.5707963267948966</v>
      </c>
      <c r="AJ303" t="str">
        <f t="shared" si="195"/>
        <v>1+5.55444833935193i</v>
      </c>
      <c r="AK303">
        <f t="shared" si="210"/>
        <v>5.6437484311873281</v>
      </c>
      <c r="AL303">
        <f t="shared" si="211"/>
        <v>1.3926686338837755</v>
      </c>
      <c r="AM303" t="str">
        <f t="shared" si="196"/>
        <v>1+41.8126527767882i</v>
      </c>
      <c r="AN303">
        <f t="shared" si="212"/>
        <v>41.824609170107664</v>
      </c>
      <c r="AO303">
        <f t="shared" si="213"/>
        <v>1.5468846795451019</v>
      </c>
      <c r="AP303" s="42" t="str">
        <f t="shared" si="214"/>
        <v>-0.157603450929966+1.01385078836754i</v>
      </c>
      <c r="AQ303">
        <f t="shared" si="215"/>
        <v>0.2231793532704438</v>
      </c>
      <c r="AR303" s="44">
        <f t="shared" si="216"/>
        <v>98.835928549590804</v>
      </c>
      <c r="AS303" s="42" t="str">
        <f t="shared" si="217"/>
        <v>0.586950781046597+0.0319438739569311i</v>
      </c>
      <c r="AT303" s="20">
        <f t="shared" si="218"/>
        <v>-4.6151219053835373</v>
      </c>
      <c r="AU303" s="44">
        <f t="shared" si="219"/>
        <v>3.1151595870944093</v>
      </c>
    </row>
    <row r="304" spans="14:47" x14ac:dyDescent="0.3">
      <c r="N304" s="8">
        <v>86</v>
      </c>
      <c r="O304" s="35">
        <f t="shared" si="220"/>
        <v>7244.3596007499036</v>
      </c>
      <c r="P304" s="34" t="str">
        <f t="shared" si="188"/>
        <v>545.10556621881</v>
      </c>
      <c r="Q304" s="4" t="str">
        <f t="shared" si="189"/>
        <v>1+972.382892190721i</v>
      </c>
      <c r="R304" s="4">
        <f t="shared" si="197"/>
        <v>972.3834063913223</v>
      </c>
      <c r="S304" s="4">
        <f t="shared" si="198"/>
        <v>1.5697679256830561</v>
      </c>
      <c r="T304" s="4" t="str">
        <f t="shared" si="190"/>
        <v>1+0.0227588269016786i</v>
      </c>
      <c r="U304" s="4">
        <f t="shared" si="199"/>
        <v>1.0002589485737883</v>
      </c>
      <c r="V304" s="4">
        <f t="shared" si="200"/>
        <v>2.2754898703201656E-2</v>
      </c>
      <c r="W304" t="str">
        <f t="shared" si="191"/>
        <v>1-0.0236418693854637i</v>
      </c>
      <c r="X304" s="4">
        <f t="shared" si="201"/>
        <v>1.0002794299534703</v>
      </c>
      <c r="Y304" s="4">
        <f t="shared" si="202"/>
        <v>-2.3637466082437462E-2</v>
      </c>
      <c r="Z304" t="str">
        <f t="shared" si="192"/>
        <v>0.996641232254401+0.102379641791852i</v>
      </c>
      <c r="AA304" s="4">
        <f t="shared" si="203"/>
        <v>1.0018858901506693</v>
      </c>
      <c r="AB304" s="4">
        <f t="shared" si="204"/>
        <v>0.10236561156249108</v>
      </c>
      <c r="AC304" s="48" t="str">
        <f t="shared" si="205"/>
        <v>-0.057126412877977-0.556910866766016i</v>
      </c>
      <c r="AD304" s="20">
        <f t="shared" si="206"/>
        <v>-5.0388279868565933</v>
      </c>
      <c r="AE304" s="44">
        <f t="shared" si="207"/>
        <v>-95.856761852417421</v>
      </c>
      <c r="AF304" t="str">
        <f t="shared" si="193"/>
        <v>-0.0000333790427773504</v>
      </c>
      <c r="AG304" t="str">
        <f t="shared" si="194"/>
        <v>0.000246705683614196i</v>
      </c>
      <c r="AH304">
        <f t="shared" si="208"/>
        <v>2.4670568361419602E-4</v>
      </c>
      <c r="AI304">
        <f t="shared" si="209"/>
        <v>1.5707963267948966</v>
      </c>
      <c r="AJ304" t="str">
        <f t="shared" si="195"/>
        <v>1+5.68382806164431i</v>
      </c>
      <c r="AK304">
        <f t="shared" si="210"/>
        <v>5.7711265307854163</v>
      </c>
      <c r="AL304">
        <f t="shared" si="211"/>
        <v>1.3966409071144663</v>
      </c>
      <c r="AM304" t="str">
        <f t="shared" si="196"/>
        <v>1+42.7865945751559i</v>
      </c>
      <c r="AN304">
        <f t="shared" si="212"/>
        <v>42.798278882903226</v>
      </c>
      <c r="AO304">
        <f t="shared" si="213"/>
        <v>1.5474287746646744</v>
      </c>
      <c r="AP304" s="42" t="str">
        <f t="shared" si="214"/>
        <v>-0.150723102151569+0.991983240067607i</v>
      </c>
      <c r="AQ304">
        <f t="shared" si="215"/>
        <v>2.920862694712608E-2</v>
      </c>
      <c r="AR304" s="44">
        <f t="shared" si="216"/>
        <v>98.639508412404567</v>
      </c>
      <c r="AS304" s="42" t="str">
        <f t="shared" si="217"/>
        <v>0.561056516207172+0.0272708893207576i</v>
      </c>
      <c r="AT304" s="20">
        <f t="shared" si="218"/>
        <v>-5.0096193599094638</v>
      </c>
      <c r="AU304" s="44">
        <f t="shared" si="219"/>
        <v>2.7827465599871548</v>
      </c>
    </row>
    <row r="305" spans="14:47" x14ac:dyDescent="0.3">
      <c r="N305" s="8">
        <v>87</v>
      </c>
      <c r="O305" s="35">
        <f t="shared" si="220"/>
        <v>7413.1024130091773</v>
      </c>
      <c r="P305" s="34" t="str">
        <f t="shared" si="188"/>
        <v>545.10556621881</v>
      </c>
      <c r="Q305" s="4" t="str">
        <f t="shared" si="189"/>
        <v>1+995.032599392456i</v>
      </c>
      <c r="R305" s="4">
        <f t="shared" si="197"/>
        <v>995.03310188842852</v>
      </c>
      <c r="S305" s="4">
        <f t="shared" si="198"/>
        <v>1.5697913349343877</v>
      </c>
      <c r="T305" s="4" t="str">
        <f t="shared" si="190"/>
        <v>1+0.0232889480810184i</v>
      </c>
      <c r="U305" s="4">
        <f t="shared" si="199"/>
        <v>1.0002711507899846</v>
      </c>
      <c r="V305" s="4">
        <f t="shared" si="200"/>
        <v>2.3284739002137376E-2</v>
      </c>
      <c r="W305" t="str">
        <f t="shared" si="191"/>
        <v>1-0.0241925592665618i</v>
      </c>
      <c r="X305" s="4">
        <f t="shared" si="201"/>
        <v>1.0002925971553853</v>
      </c>
      <c r="Y305" s="4">
        <f t="shared" si="202"/>
        <v>-2.4187841116898753E-2</v>
      </c>
      <c r="Z305" t="str">
        <f t="shared" si="192"/>
        <v>0.996482938407311+0.104764369997815i</v>
      </c>
      <c r="AA305" s="4">
        <f t="shared" si="203"/>
        <v>1.001974959646152</v>
      </c>
      <c r="AB305" s="4">
        <f t="shared" si="204"/>
        <v>0.10474932631089276</v>
      </c>
      <c r="AC305" s="48" t="str">
        <f t="shared" si="205"/>
        <v>-0.0571434762591212-0.544062342146153i</v>
      </c>
      <c r="AD305" s="20">
        <f t="shared" si="206"/>
        <v>-5.2393796421685099</v>
      </c>
      <c r="AE305" s="44">
        <f t="shared" si="207"/>
        <v>-95.995856452045842</v>
      </c>
      <c r="AF305" t="str">
        <f t="shared" si="193"/>
        <v>-0.0000333790427773504</v>
      </c>
      <c r="AG305" t="str">
        <f t="shared" si="194"/>
        <v>0.000252452197198239i</v>
      </c>
      <c r="AH305">
        <f t="shared" si="208"/>
        <v>2.5245219719823898E-4</v>
      </c>
      <c r="AI305">
        <f t="shared" si="209"/>
        <v>1.5707963267948966</v>
      </c>
      <c r="AJ305" t="str">
        <f t="shared" si="195"/>
        <v>1+5.81622142480932i</v>
      </c>
      <c r="AK305">
        <f t="shared" si="210"/>
        <v>5.9015617985759459</v>
      </c>
      <c r="AL305">
        <f t="shared" si="211"/>
        <v>1.400528132774479</v>
      </c>
      <c r="AM305" t="str">
        <f t="shared" si="196"/>
        <v>1+43.7832223923147i</v>
      </c>
      <c r="AN305">
        <f t="shared" si="212"/>
        <v>43.794640802898336</v>
      </c>
      <c r="AO305">
        <f t="shared" si="213"/>
        <v>1.5479604980390127</v>
      </c>
      <c r="AP305" s="42" t="str">
        <f t="shared" si="214"/>
        <v>-0.144134218640552+0.970535790815981i</v>
      </c>
      <c r="AQ305">
        <f t="shared" si="215"/>
        <v>-0.16502534685958326</v>
      </c>
      <c r="AR305" s="44">
        <f t="shared" si="216"/>
        <v>98.447252293288969</v>
      </c>
      <c r="AS305" s="42" t="str">
        <f t="shared" si="217"/>
        <v>0.536268305789025+0.022958211655864i</v>
      </c>
      <c r="AT305" s="20">
        <f t="shared" si="218"/>
        <v>-5.4044049890280901</v>
      </c>
      <c r="AU305" s="44">
        <f t="shared" si="219"/>
        <v>2.4513958412431176</v>
      </c>
    </row>
    <row r="306" spans="14:47" x14ac:dyDescent="0.3">
      <c r="N306" s="8">
        <v>88</v>
      </c>
      <c r="O306" s="35">
        <f t="shared" si="220"/>
        <v>7585.7757502918394</v>
      </c>
      <c r="P306" s="34" t="str">
        <f t="shared" si="188"/>
        <v>545.10556621881</v>
      </c>
      <c r="Q306" s="4" t="str">
        <f t="shared" si="189"/>
        <v>1+1018.2098860492i</v>
      </c>
      <c r="R306" s="4">
        <f t="shared" si="197"/>
        <v>1018.2103771069734</v>
      </c>
      <c r="S306" s="4">
        <f t="shared" si="198"/>
        <v>1.569814211327168</v>
      </c>
      <c r="T306" s="4" t="str">
        <f t="shared" si="190"/>
        <v>1+0.0238314173688965i</v>
      </c>
      <c r="U306" s="4">
        <f t="shared" si="199"/>
        <v>1.0002839279193736</v>
      </c>
      <c r="V306" s="4">
        <f t="shared" si="200"/>
        <v>2.3826907328756575E-2</v>
      </c>
      <c r="W306" t="str">
        <f t="shared" si="191"/>
        <v>1-0.0247560763628096i</v>
      </c>
      <c r="X306" s="4">
        <f t="shared" si="201"/>
        <v>1.0003063847226414</v>
      </c>
      <c r="Y306" s="4">
        <f t="shared" si="202"/>
        <v>-2.4751020857988613E-2</v>
      </c>
      <c r="Z306" t="str">
        <f t="shared" si="192"/>
        <v>0.996317184401042+0.107204645659473i</v>
      </c>
      <c r="AA306" s="4">
        <f t="shared" si="203"/>
        <v>1.0020682451728491</v>
      </c>
      <c r="AB306" s="4">
        <f t="shared" si="204"/>
        <v>0.10718851481322908</v>
      </c>
      <c r="AC306" s="48" t="str">
        <f t="shared" si="205"/>
        <v>-0.0571589531985195-0.531502315151727i</v>
      </c>
      <c r="AD306" s="20">
        <f t="shared" si="206"/>
        <v>-5.439957406428368</v>
      </c>
      <c r="AE306" s="44">
        <f t="shared" si="207"/>
        <v>-96.138126244794137</v>
      </c>
      <c r="AF306" t="str">
        <f t="shared" si="193"/>
        <v>-0.0000333790427773504</v>
      </c>
      <c r="AG306" t="str">
        <f t="shared" si="194"/>
        <v>0.000258332564278837i</v>
      </c>
      <c r="AH306">
        <f t="shared" si="208"/>
        <v>2.5833256427883699E-4</v>
      </c>
      <c r="AI306">
        <f t="shared" si="209"/>
        <v>1.5707963267948966</v>
      </c>
      <c r="AJ306" t="str">
        <f t="shared" si="195"/>
        <v>1+5.95169862556056i</v>
      </c>
      <c r="AK306">
        <f t="shared" si="210"/>
        <v>6.035123572015693</v>
      </c>
      <c r="AL306">
        <f t="shared" si="211"/>
        <v>1.4043319017837721</v>
      </c>
      <c r="AM306" t="str">
        <f t="shared" si="196"/>
        <v>1+44.8030646535254i</v>
      </c>
      <c r="AN306">
        <f t="shared" si="212"/>
        <v>44.81422321482296</v>
      </c>
      <c r="AO306">
        <f t="shared" si="213"/>
        <v>1.5484801303915268</v>
      </c>
      <c r="AP306" s="42" t="str">
        <f t="shared" si="214"/>
        <v>-0.137825216306193+0.949503732959974i</v>
      </c>
      <c r="AQ306">
        <f t="shared" si="215"/>
        <v>-0.35951141399084541</v>
      </c>
      <c r="AR306" s="44">
        <f t="shared" si="216"/>
        <v>98.259085123511269</v>
      </c>
      <c r="AS306" s="42" t="str">
        <f t="shared" si="217"/>
        <v>0.512541377401855+0.0189817821189504i</v>
      </c>
      <c r="AT306" s="20">
        <f t="shared" si="218"/>
        <v>-5.79946882041921</v>
      </c>
      <c r="AU306" s="44">
        <f t="shared" si="219"/>
        <v>2.1209588787171274</v>
      </c>
    </row>
    <row r="307" spans="14:47" x14ac:dyDescent="0.3">
      <c r="N307" s="8">
        <v>89</v>
      </c>
      <c r="O307" s="35">
        <f t="shared" si="220"/>
        <v>7762.4711662869322</v>
      </c>
      <c r="P307" s="34" t="str">
        <f t="shared" si="188"/>
        <v>545.10556621881</v>
      </c>
      <c r="Q307" s="4" t="str">
        <f t="shared" si="189"/>
        <v>1+1041.92704106514i</v>
      </c>
      <c r="R307" s="4">
        <f t="shared" si="197"/>
        <v>1041.9275209450789</v>
      </c>
      <c r="S307" s="4">
        <f t="shared" si="198"/>
        <v>1.5698365669906675</v>
      </c>
      <c r="T307" s="4" t="str">
        <f t="shared" si="190"/>
        <v>1+0.0243865223897096i</v>
      </c>
      <c r="U307" s="4">
        <f t="shared" si="199"/>
        <v>1.0002973070413934</v>
      </c>
      <c r="V307" s="4">
        <f t="shared" si="200"/>
        <v>2.4381689872203891E-2</v>
      </c>
      <c r="W307" t="str">
        <f t="shared" si="191"/>
        <v>1-0.0253327194584303i</v>
      </c>
      <c r="X307" s="4">
        <f t="shared" si="201"/>
        <v>1.0003208218742423</v>
      </c>
      <c r="Y307" s="4">
        <f t="shared" si="202"/>
        <v>-2.5327302481245234E-2</v>
      </c>
      <c r="Z307" t="str">
        <f t="shared" si="192"/>
        <v>0.996143618649124+0.10970176264328i</v>
      </c>
      <c r="AA307" s="4">
        <f t="shared" si="203"/>
        <v>1.0021659471875972</v>
      </c>
      <c r="AB307" s="4">
        <f t="shared" si="204"/>
        <v>0.1096844655165706</v>
      </c>
      <c r="AC307" s="48" t="str">
        <f t="shared" si="205"/>
        <v>-0.0571728765684657-0.519224128669851i</v>
      </c>
      <c r="AD307" s="20">
        <f t="shared" si="206"/>
        <v>-5.6405625179709427</v>
      </c>
      <c r="AE307" s="44">
        <f t="shared" si="207"/>
        <v>-96.283646377671488</v>
      </c>
      <c r="AF307" t="str">
        <f t="shared" si="193"/>
        <v>-0.0000333790427773504</v>
      </c>
      <c r="AG307" t="str">
        <f t="shared" si="194"/>
        <v>0.000264349902704452i</v>
      </c>
      <c r="AH307">
        <f t="shared" si="208"/>
        <v>2.6434990270445203E-4</v>
      </c>
      <c r="AI307">
        <f t="shared" si="209"/>
        <v>1.5707963267948966</v>
      </c>
      <c r="AJ307" t="str">
        <f t="shared" si="195"/>
        <v>1+6.09033149570312i</v>
      </c>
      <c r="AK307">
        <f t="shared" si="210"/>
        <v>6.1718828348854284</v>
      </c>
      <c r="AL307">
        <f t="shared" si="211"/>
        <v>1.4080537904464745</v>
      </c>
      <c r="AM307" t="str">
        <f t="shared" si="196"/>
        <v>1+45.8466620926542i</v>
      </c>
      <c r="AN307">
        <f t="shared" si="212"/>
        <v>45.857566715189058</v>
      </c>
      <c r="AO307">
        <f t="shared" si="213"/>
        <v>1.5489879461150449</v>
      </c>
      <c r="AP307" s="42" t="str">
        <f t="shared" si="214"/>
        <v>-0.131784905852273+0.928882176096278i</v>
      </c>
      <c r="AQ307">
        <f t="shared" si="215"/>
        <v>-0.55423886376820364</v>
      </c>
      <c r="AR307" s="44">
        <f t="shared" si="216"/>
        <v>98.074932309048847</v>
      </c>
      <c r="AS307" s="42" t="str">
        <f t="shared" si="217"/>
        <v>0.489832560676424+0.0153190369123845i</v>
      </c>
      <c r="AT307" s="20">
        <f t="shared" si="218"/>
        <v>-6.1948013817391434</v>
      </c>
      <c r="AU307" s="44">
        <f t="shared" si="219"/>
        <v>1.791285931377369</v>
      </c>
    </row>
    <row r="308" spans="14:47" x14ac:dyDescent="0.3">
      <c r="N308" s="8">
        <v>90</v>
      </c>
      <c r="O308" s="35">
        <f t="shared" si="220"/>
        <v>7943.2823472428154</v>
      </c>
      <c r="P308" s="34" t="str">
        <f t="shared" si="188"/>
        <v>545.10556621881</v>
      </c>
      <c r="Q308" s="4" t="str">
        <f t="shared" si="189"/>
        <v>1+1066.19663958977i</v>
      </c>
      <c r="R308" s="4">
        <f t="shared" si="197"/>
        <v>1066.1971085463128</v>
      </c>
      <c r="S308" s="4">
        <f t="shared" si="198"/>
        <v>1.5698584137780653</v>
      </c>
      <c r="T308" s="4" t="str">
        <f t="shared" si="190"/>
        <v>1+0.0249545574674875i</v>
      </c>
      <c r="U308" s="4">
        <f t="shared" si="199"/>
        <v>1.0003113165102142</v>
      </c>
      <c r="V308" s="4">
        <f t="shared" si="200"/>
        <v>2.4949379418720618E-2</v>
      </c>
      <c r="W308" t="str">
        <f t="shared" si="191"/>
        <v>1-0.0259227942972259i</v>
      </c>
      <c r="X308" s="4">
        <f t="shared" si="201"/>
        <v>1.0003359392045137</v>
      </c>
      <c r="Y308" s="4">
        <f t="shared" si="202"/>
        <v>-2.5916990006868756E-2</v>
      </c>
      <c r="Z308" t="str">
        <f t="shared" si="192"/>
        <v>0.995961872995327+0.112257044953715i</v>
      </c>
      <c r="AA308" s="4">
        <f t="shared" si="203"/>
        <v>1.0022682757635804</v>
      </c>
      <c r="AB308" s="4">
        <f t="shared" si="204"/>
        <v>0.11223849660042949</v>
      </c>
      <c r="AC308" s="48" t="str">
        <f t="shared" si="205"/>
        <v>-0.05718527595048-0.507221275173181i</v>
      </c>
      <c r="AD308" s="20">
        <f t="shared" si="206"/>
        <v>-5.8411962743584054</v>
      </c>
      <c r="AE308" s="44">
        <f t="shared" si="207"/>
        <v>-96.432493699596307</v>
      </c>
      <c r="AF308" t="str">
        <f t="shared" si="193"/>
        <v>-0.0000333790427773504</v>
      </c>
      <c r="AG308" t="str">
        <f t="shared" si="194"/>
        <v>0.000270507402947565i</v>
      </c>
      <c r="AH308">
        <f t="shared" si="208"/>
        <v>2.7050740294756498E-4</v>
      </c>
      <c r="AI308">
        <f t="shared" si="209"/>
        <v>1.5707963267948966</v>
      </c>
      <c r="AJ308" t="str">
        <f t="shared" si="195"/>
        <v>1+6.23219354021975i</v>
      </c>
      <c r="AK308">
        <f t="shared" si="210"/>
        <v>6.311912255628779</v>
      </c>
      <c r="AL308">
        <f t="shared" si="211"/>
        <v>1.4116953594904857</v>
      </c>
      <c r="AM308" t="str">
        <f t="shared" si="196"/>
        <v>1+46.9145680388766i</v>
      </c>
      <c r="AN308">
        <f t="shared" si="212"/>
        <v>46.925224498923626</v>
      </c>
      <c r="AO308">
        <f t="shared" si="213"/>
        <v>1.5494842134119535</v>
      </c>
      <c r="AP308" s="42" t="str">
        <f t="shared" si="214"/>
        <v>-0.126002485112519+0.90866606710299i</v>
      </c>
      <c r="AQ308">
        <f t="shared" si="215"/>
        <v>-0.74919741387130001</v>
      </c>
      <c r="AR308" s="44">
        <f t="shared" si="216"/>
        <v>97.894719793644725</v>
      </c>
      <c r="AS308" s="42" t="str">
        <f t="shared" si="217"/>
        <v>0.468100248144184+0.0119488213796398i</v>
      </c>
      <c r="AT308" s="20">
        <f t="shared" si="218"/>
        <v>-6.5903936882296961</v>
      </c>
      <c r="AU308" s="44">
        <f t="shared" si="219"/>
        <v>1.4622260940484217</v>
      </c>
    </row>
    <row r="309" spans="14:47" x14ac:dyDescent="0.3">
      <c r="N309" s="8">
        <v>91</v>
      </c>
      <c r="O309" s="35">
        <f t="shared" si="220"/>
        <v>8128.3051616410066</v>
      </c>
      <c r="P309" s="34" t="str">
        <f t="shared" si="188"/>
        <v>545.10556621881</v>
      </c>
      <c r="Q309" s="4" t="str">
        <f t="shared" si="189"/>
        <v>1+1091.03154968551i</v>
      </c>
      <c r="R309" s="4">
        <f t="shared" si="197"/>
        <v>1091.0320079673031</v>
      </c>
      <c r="S309" s="4">
        <f t="shared" si="198"/>
        <v>1.5698797632727339</v>
      </c>
      <c r="T309" s="4" t="str">
        <f t="shared" si="190"/>
        <v>1+0.0255358237819474i</v>
      </c>
      <c r="U309" s="4">
        <f t="shared" si="199"/>
        <v>1.0003259860146705</v>
      </c>
      <c r="V309" s="4">
        <f t="shared" si="200"/>
        <v>2.5530275500379285E-2</v>
      </c>
      <c r="W309" t="str">
        <f t="shared" si="191"/>
        <v>1-0.0265266137446869i</v>
      </c>
      <c r="X309" s="4">
        <f t="shared" si="201"/>
        <v>1.0003517687477541</v>
      </c>
      <c r="Y309" s="4">
        <f t="shared" si="202"/>
        <v>-2.6520394453628693E-2</v>
      </c>
      <c r="Z309" t="str">
        <f t="shared" si="192"/>
        <v>0.995771561932751+0.114871847435282i</v>
      </c>
      <c r="AA309" s="4">
        <f t="shared" si="203"/>
        <v>1.0023754510597243</v>
      </c>
      <c r="AB309" s="4">
        <f t="shared" si="204"/>
        <v>0.11485195664757454</v>
      </c>
      <c r="AC309" s="48" t="str">
        <f t="shared" si="205"/>
        <v>-0.0571961776985109-0.495487393281773i</v>
      </c>
      <c r="AD309" s="20">
        <f t="shared" si="206"/>
        <v>-6.0418600352497789</v>
      </c>
      <c r="AE309" s="44">
        <f t="shared" si="207"/>
        <v>-96.584746800486997</v>
      </c>
      <c r="AF309" t="str">
        <f t="shared" si="193"/>
        <v>-0.0000333790427773504</v>
      </c>
      <c r="AG309" t="str">
        <f t="shared" si="194"/>
        <v>0.00027680832979631i</v>
      </c>
      <c r="AH309">
        <f t="shared" si="208"/>
        <v>2.7680832979631002E-4</v>
      </c>
      <c r="AI309">
        <f t="shared" si="209"/>
        <v>1.5707963267948966</v>
      </c>
      <c r="AJ309" t="str">
        <f t="shared" si="195"/>
        <v>1+6.37735997624428i</v>
      </c>
      <c r="AK309">
        <f t="shared" si="210"/>
        <v>6.4552862265435174</v>
      </c>
      <c r="AL309">
        <f t="shared" si="211"/>
        <v>1.4152581532000996</v>
      </c>
      <c r="AM309" t="str">
        <f t="shared" si="196"/>
        <v>1+48.0073487100612i</v>
      </c>
      <c r="AN309">
        <f t="shared" si="212"/>
        <v>48.017762652683167</v>
      </c>
      <c r="AO309">
        <f t="shared" si="213"/>
        <v>1.5499691944314118</v>
      </c>
      <c r="AP309" s="42" t="str">
        <f t="shared" si="214"/>
        <v>-0.12046753096708+0.888850209001355i</v>
      </c>
      <c r="AQ309">
        <f t="shared" si="215"/>
        <v>-0.94437719550852384</v>
      </c>
      <c r="AR309" s="44">
        <f t="shared" si="216"/>
        <v>97.718374116367059</v>
      </c>
      <c r="AS309" s="42" t="str">
        <f t="shared" si="217"/>
        <v>0.447304355384134+0.00885130839256967i</v>
      </c>
      <c r="AT309" s="20">
        <f t="shared" si="218"/>
        <v>-6.986237230758312</v>
      </c>
      <c r="AU309" s="44">
        <f t="shared" si="219"/>
        <v>1.1336273158800554</v>
      </c>
    </row>
    <row r="310" spans="14:47" x14ac:dyDescent="0.3">
      <c r="N310" s="8">
        <v>92</v>
      </c>
      <c r="O310" s="35">
        <f t="shared" si="220"/>
        <v>8317.6377110267094</v>
      </c>
      <c r="P310" s="34" t="str">
        <f t="shared" si="188"/>
        <v>545.10556621881</v>
      </c>
      <c r="Q310" s="4" t="str">
        <f t="shared" si="189"/>
        <v>1+1116.44493915039i</v>
      </c>
      <c r="R310" s="4">
        <f t="shared" si="197"/>
        <v>1116.4453870004199</v>
      </c>
      <c r="S310" s="4">
        <f t="shared" si="198"/>
        <v>1.56990062679438</v>
      </c>
      <c r="T310" s="4" t="str">
        <f t="shared" si="190"/>
        <v>1+0.026130629528183i</v>
      </c>
      <c r="U310" s="4">
        <f t="shared" si="199"/>
        <v>1.0003413466410049</v>
      </c>
      <c r="V310" s="4">
        <f t="shared" si="200"/>
        <v>2.6124684546931221E-2</v>
      </c>
      <c r="W310" t="str">
        <f t="shared" si="191"/>
        <v>1-0.0271444979538764i</v>
      </c>
      <c r="X310" s="4">
        <f t="shared" si="201"/>
        <v>1.0003683440459159</v>
      </c>
      <c r="Y310" s="4">
        <f t="shared" si="202"/>
        <v>-2.7137833995961112E-2</v>
      </c>
      <c r="Z310" t="str">
        <f t="shared" si="192"/>
        <v>0.995572281786119+0.117547556490868i</v>
      </c>
      <c r="AA310" s="4">
        <f t="shared" si="203"/>
        <v>1.0024877038137643</v>
      </c>
      <c r="AB310" s="4">
        <f t="shared" si="204"/>
        <v>0.11752622532871068</v>
      </c>
      <c r="AC310" s="48" t="str">
        <f t="shared" si="205"/>
        <v>-0.0572056049953829-0.484016264403459i</v>
      </c>
      <c r="AD310" s="20">
        <f t="shared" si="206"/>
        <v>-6.2425552254091032</v>
      </c>
      <c r="AE310" s="44">
        <f t="shared" si="207"/>
        <v>-96.740486051144572</v>
      </c>
      <c r="AF310" t="str">
        <f t="shared" si="193"/>
        <v>-0.0000333790427773504</v>
      </c>
      <c r="AG310" t="str">
        <f t="shared" si="194"/>
        <v>0.000283256024085503i</v>
      </c>
      <c r="AH310">
        <f t="shared" si="208"/>
        <v>2.8325602408550297E-4</v>
      </c>
      <c r="AI310">
        <f t="shared" si="209"/>
        <v>1.5707963267948966</v>
      </c>
      <c r="AJ310" t="str">
        <f t="shared" si="195"/>
        <v>1+6.52590777294251i</v>
      </c>
      <c r="AK310">
        <f t="shared" si="210"/>
        <v>6.602080903847777</v>
      </c>
      <c r="AL310">
        <f t="shared" si="211"/>
        <v>1.4187436986362807</v>
      </c>
      <c r="AM310" t="str">
        <f t="shared" si="196"/>
        <v>1+49.1255835129841i</v>
      </c>
      <c r="AN310">
        <f t="shared" si="212"/>
        <v>49.135760455000337</v>
      </c>
      <c r="AO310">
        <f t="shared" si="213"/>
        <v>1.550443145403686</v>
      </c>
      <c r="AP310" s="42" t="str">
        <f t="shared" si="214"/>
        <v>-0.115169990911234+0.869429278688561i</v>
      </c>
      <c r="AQ310">
        <f t="shared" si="215"/>
        <v>-1.139768738897714</v>
      </c>
      <c r="AR310" s="44">
        <f t="shared" si="216"/>
        <v>97.545822463980159</v>
      </c>
      <c r="AS310" s="42" t="str">
        <f t="shared" si="217"/>
        <v>0.427406280641221+0.00600792088415731i</v>
      </c>
      <c r="AT310" s="20">
        <f t="shared" si="218"/>
        <v>-7.3823239643068188</v>
      </c>
      <c r="AU310" s="44">
        <f t="shared" si="219"/>
        <v>0.80533641283559587</v>
      </c>
    </row>
    <row r="311" spans="14:47" x14ac:dyDescent="0.3">
      <c r="N311" s="8">
        <v>93</v>
      </c>
      <c r="O311" s="35">
        <f t="shared" si="220"/>
        <v>8511.3803820237772</v>
      </c>
      <c r="P311" s="34" t="str">
        <f t="shared" si="188"/>
        <v>545.10556621881</v>
      </c>
      <c r="Q311" s="4" t="str">
        <f t="shared" si="189"/>
        <v>1+1142.45028249991i</v>
      </c>
      <c r="R311" s="4">
        <f t="shared" si="197"/>
        <v>1142.4507201556328</v>
      </c>
      <c r="S311" s="4">
        <f t="shared" si="198"/>
        <v>1.5699210154050462</v>
      </c>
      <c r="T311" s="4" t="str">
        <f t="shared" si="190"/>
        <v>1+0.0267392900800742i</v>
      </c>
      <c r="U311" s="4">
        <f t="shared" si="199"/>
        <v>1.0003574309385552</v>
      </c>
      <c r="V311" s="4">
        <f t="shared" si="200"/>
        <v>2.6732920040815737E-2</v>
      </c>
      <c r="W311" t="str">
        <f t="shared" si="191"/>
        <v>1-0.027776774535181i</v>
      </c>
      <c r="X311" s="4">
        <f t="shared" si="201"/>
        <v>1.0003857002194594</v>
      </c>
      <c r="Y311" s="4">
        <f t="shared" si="202"/>
        <v>-2.7769634124306442E-2</v>
      </c>
      <c r="Z311" t="str">
        <f t="shared" si="192"/>
        <v>0.99536360985552+0.120285590816831i</v>
      </c>
      <c r="AA311" s="4">
        <f t="shared" si="203"/>
        <v>1.0026052758602291</v>
      </c>
      <c r="AB311" s="4">
        <f t="shared" si="204"/>
        <v>0.12026271410118722</v>
      </c>
      <c r="AC311" s="48" t="str">
        <f t="shared" si="205"/>
        <v>-0.0572135779025369-0.472801809450573i</v>
      </c>
      <c r="AD311" s="20">
        <f t="shared" si="206"/>
        <v>-6.4432833378674568</v>
      </c>
      <c r="AE311" s="44">
        <f t="shared" si="207"/>
        <v>-96.899793643934089</v>
      </c>
      <c r="AF311" t="str">
        <f t="shared" si="193"/>
        <v>-0.0000333790427773504</v>
      </c>
      <c r="AG311" t="str">
        <f t="shared" si="194"/>
        <v>0.000289853904468004i</v>
      </c>
      <c r="AH311">
        <f t="shared" si="208"/>
        <v>2.8985390446800398E-4</v>
      </c>
      <c r="AI311">
        <f t="shared" si="209"/>
        <v>1.5707963267948966</v>
      </c>
      <c r="AJ311" t="str">
        <f t="shared" si="195"/>
        <v>1+6.67791569232259i</v>
      </c>
      <c r="AK311">
        <f t="shared" si="210"/>
        <v>6.7523742486453084</v>
      </c>
      <c r="AL311">
        <f t="shared" si="211"/>
        <v>1.4221535049394469</v>
      </c>
      <c r="AM311" t="str">
        <f t="shared" si="196"/>
        <v>1+50.2698653505396i</v>
      </c>
      <c r="AN311">
        <f t="shared" si="212"/>
        <v>50.279810683428217</v>
      </c>
      <c r="AO311">
        <f t="shared" si="213"/>
        <v>1.5509063167716601</v>
      </c>
      <c r="AP311" s="42" t="str">
        <f t="shared" si="214"/>
        <v>-0.110100174341497+0.850397843584045i</v>
      </c>
      <c r="AQ311">
        <f t="shared" si="215"/>
        <v>-1.3353629590702591</v>
      </c>
      <c r="AR311" s="44">
        <f t="shared" si="216"/>
        <v>97.376992718427815</v>
      </c>
      <c r="AS311" s="42" t="str">
        <f t="shared" si="217"/>
        <v>0.408368864101172+0.00340125837743818i</v>
      </c>
      <c r="AT311" s="20">
        <f t="shared" si="218"/>
        <v>-7.7786462969377137</v>
      </c>
      <c r="AU311" s="44">
        <f t="shared" si="219"/>
        <v>0.47719907449371174</v>
      </c>
    </row>
    <row r="312" spans="14:47" x14ac:dyDescent="0.3">
      <c r="N312" s="8">
        <v>94</v>
      </c>
      <c r="O312" s="35">
        <f t="shared" si="220"/>
        <v>8709.6358995608189</v>
      </c>
      <c r="P312" s="34" t="str">
        <f t="shared" si="188"/>
        <v>545.10556621881</v>
      </c>
      <c r="Q312" s="4" t="str">
        <f t="shared" si="189"/>
        <v>1+1169.06136811132i</v>
      </c>
      <c r="R312" s="4">
        <f t="shared" si="197"/>
        <v>1169.061795804786</v>
      </c>
      <c r="S312" s="4">
        <f t="shared" si="198"/>
        <v>1.569940939914976</v>
      </c>
      <c r="T312" s="4" t="str">
        <f t="shared" si="190"/>
        <v>1+0.0273621281575022i</v>
      </c>
      <c r="U312" s="4">
        <f t="shared" si="199"/>
        <v>1.0003742729885188</v>
      </c>
      <c r="V312" s="4">
        <f t="shared" si="200"/>
        <v>2.7355302675376007E-2</v>
      </c>
      <c r="W312" t="str">
        <f t="shared" si="191"/>
        <v>1-0.0284237787300132i</v>
      </c>
      <c r="X312" s="4">
        <f t="shared" si="201"/>
        <v>1.0004038740415258</v>
      </c>
      <c r="Y312" s="4">
        <f t="shared" si="202"/>
        <v>-2.8416127808728105E-2</v>
      </c>
      <c r="Z312" t="str">
        <f t="shared" si="192"/>
        <v>0.995145103519813+0.123087402155214i</v>
      </c>
      <c r="AA312" s="4">
        <f t="shared" si="203"/>
        <v>1.0027284206747005</v>
      </c>
      <c r="AB312" s="4">
        <f t="shared" si="204"/>
        <v>0.12306286692189845</v>
      </c>
      <c r="AC312" s="48" t="str">
        <f t="shared" si="205"/>
        <v>-0.0572201134032469-0.461838085631774i</v>
      </c>
      <c r="AD312" s="20">
        <f t="shared" si="206"/>
        <v>-6.644045937239337</v>
      </c>
      <c r="AE312" s="44">
        <f t="shared" si="207"/>
        <v>-97.062753634277044</v>
      </c>
      <c r="AF312" t="str">
        <f t="shared" si="193"/>
        <v>-0.0000333790427773504</v>
      </c>
      <c r="AG312" t="str">
        <f t="shared" si="194"/>
        <v>0.000296605469227324i</v>
      </c>
      <c r="AH312">
        <f t="shared" si="208"/>
        <v>2.9660546922732401E-4</v>
      </c>
      <c r="AI312">
        <f t="shared" si="209"/>
        <v>1.5707963267948966</v>
      </c>
      <c r="AJ312" t="str">
        <f t="shared" si="195"/>
        <v>1+6.83346433099538i</v>
      </c>
      <c r="AK312">
        <f t="shared" si="210"/>
        <v>6.906246068812357</v>
      </c>
      <c r="AL312">
        <f t="shared" si="211"/>
        <v>1.4254890627097623</v>
      </c>
      <c r="AM312" t="str">
        <f t="shared" si="196"/>
        <v>1+51.4408009361043i</v>
      </c>
      <c r="AN312">
        <f t="shared" si="212"/>
        <v>51.450519928839483</v>
      </c>
      <c r="AO312">
        <f t="shared" si="213"/>
        <v>1.5513589533195637</v>
      </c>
      <c r="AP312" s="42" t="str">
        <f t="shared" si="214"/>
        <v>-0.105248743618502+0.831750377232489i</v>
      </c>
      <c r="AQ312">
        <f t="shared" si="215"/>
        <v>-1.5311511420083748</v>
      </c>
      <c r="AR312" s="44">
        <f t="shared" si="216"/>
        <v>97.211813499714978</v>
      </c>
      <c r="AS312" s="42" t="str">
        <f t="shared" si="217"/>
        <v>0.390156346989958+0.00101502735948195i</v>
      </c>
      <c r="AT312" s="20">
        <f t="shared" si="218"/>
        <v>-8.175197079247722</v>
      </c>
      <c r="AU312" s="44">
        <f t="shared" si="219"/>
        <v>0.14905986543792804</v>
      </c>
    </row>
    <row r="313" spans="14:47" x14ac:dyDescent="0.3">
      <c r="N313" s="8">
        <v>95</v>
      </c>
      <c r="O313" s="35">
        <f t="shared" si="220"/>
        <v>8912.5093813374679</v>
      </c>
      <c r="P313" s="34" t="str">
        <f t="shared" si="188"/>
        <v>545.10556621881</v>
      </c>
      <c r="Q313" s="4" t="str">
        <f t="shared" si="189"/>
        <v>1+1196.29230553447i</v>
      </c>
      <c r="R313" s="4">
        <f t="shared" si="197"/>
        <v>1196.2927234924475</v>
      </c>
      <c r="S313" s="4">
        <f t="shared" si="198"/>
        <v>1.5699604108883451</v>
      </c>
      <c r="T313" s="4" t="str">
        <f t="shared" si="190"/>
        <v>1+0.0279994739974599i</v>
      </c>
      <c r="U313" s="4">
        <f t="shared" si="199"/>
        <v>1.0003919084759405</v>
      </c>
      <c r="V313" s="4">
        <f t="shared" si="200"/>
        <v>2.7992160516328978E-2</v>
      </c>
      <c r="W313" t="str">
        <f t="shared" si="191"/>
        <v>1-0.0290858535885613i</v>
      </c>
      <c r="X313" s="4">
        <f t="shared" si="201"/>
        <v>1.0004229040155843</v>
      </c>
      <c r="Y313" s="4">
        <f t="shared" si="202"/>
        <v>-2.9077655665860267E-2</v>
      </c>
      <c r="Z313" t="str">
        <f t="shared" si="192"/>
        <v>0.994916299297765+0.125954476063473i</v>
      </c>
      <c r="AA313" s="4">
        <f t="shared" si="203"/>
        <v>1.0028574039457374</v>
      </c>
      <c r="AB313" s="4">
        <f t="shared" si="204"/>
        <v>0.1259281609745197</v>
      </c>
      <c r="AC313" s="48" t="str">
        <f t="shared" si="205"/>
        <v>-0.0572252254393554-0.451119283317021i</v>
      </c>
      <c r="AD313" s="20">
        <f t="shared" si="206"/>
        <v>-6.8448446632073132</v>
      </c>
      <c r="AE313" s="44">
        <f t="shared" si="207"/>
        <v>-97.229451982960839</v>
      </c>
      <c r="AF313" t="str">
        <f t="shared" si="193"/>
        <v>-0.0000333790427773504</v>
      </c>
      <c r="AG313" t="str">
        <f t="shared" si="194"/>
        <v>0.000303514298132465i</v>
      </c>
      <c r="AH313">
        <f t="shared" si="208"/>
        <v>3.0351429813246501E-4</v>
      </c>
      <c r="AI313">
        <f t="shared" si="209"/>
        <v>1.5707963267948966</v>
      </c>
      <c r="AJ313" t="str">
        <f t="shared" si="195"/>
        <v>1+6.99263616290806i</v>
      </c>
      <c r="AK313">
        <f t="shared" si="210"/>
        <v>7.0637780618313286</v>
      </c>
      <c r="AL313">
        <f t="shared" si="211"/>
        <v>1.4287518434601993</v>
      </c>
      <c r="AM313" t="str">
        <f t="shared" si="196"/>
        <v>1+52.6390111152247i</v>
      </c>
      <c r="AN313">
        <f t="shared" si="212"/>
        <v>52.648508917050528</v>
      </c>
      <c r="AO313">
        <f t="shared" si="213"/>
        <v>1.5518012942989714</v>
      </c>
      <c r="AP313" s="42" t="str">
        <f t="shared" si="214"/>
        <v>-0.100606704960563+0.813481273906647i</v>
      </c>
      <c r="AQ313">
        <f t="shared" si="215"/>
        <v>-1.7271249311262513</v>
      </c>
      <c r="AR313" s="44">
        <f t="shared" si="216"/>
        <v>97.050214204464154</v>
      </c>
      <c r="AS313" s="42" t="str">
        <f t="shared" si="217"/>
        <v>0.372734330648663-0.00116602465130573i</v>
      </c>
      <c r="AT313" s="20">
        <f t="shared" si="218"/>
        <v>-8.5719695943335612</v>
      </c>
      <c r="AU313" s="44">
        <f t="shared" si="219"/>
        <v>-0.17923777849667988</v>
      </c>
    </row>
    <row r="314" spans="14:47" x14ac:dyDescent="0.3">
      <c r="N314" s="8">
        <v>96</v>
      </c>
      <c r="O314" s="35">
        <f t="shared" si="220"/>
        <v>9120.1083935591087</v>
      </c>
      <c r="P314" s="34" t="str">
        <f t="shared" si="188"/>
        <v>545.10556621881</v>
      </c>
      <c r="Q314" s="4" t="str">
        <f t="shared" si="189"/>
        <v>1+1224.15753297281i</v>
      </c>
      <c r="R314" s="4">
        <f t="shared" si="197"/>
        <v>1224.1579414169059</v>
      </c>
      <c r="S314" s="4">
        <f t="shared" si="198"/>
        <v>1.5699794386488619</v>
      </c>
      <c r="T314" s="4" t="str">
        <f t="shared" si="190"/>
        <v>1+0.0286516655291479i</v>
      </c>
      <c r="U314" s="4">
        <f t="shared" si="199"/>
        <v>1.0004103747650732</v>
      </c>
      <c r="V314" s="4">
        <f t="shared" si="200"/>
        <v>2.8643829166534032E-2</v>
      </c>
      <c r="W314" t="str">
        <f t="shared" si="191"/>
        <v>1-0.0297633501516788i</v>
      </c>
      <c r="X314" s="4">
        <f t="shared" si="201"/>
        <v>1.000442830456719</v>
      </c>
      <c r="Y314" s="4">
        <f t="shared" si="202"/>
        <v>-2.9754566129225748E-2</v>
      </c>
      <c r="Z314" t="str">
        <f t="shared" si="192"/>
        <v>0.994676711864943+0.128888332702146i</v>
      </c>
      <c r="AA314" s="4">
        <f t="shared" si="203"/>
        <v>1.0029925041759755</v>
      </c>
      <c r="AB314" s="4">
        <f t="shared" si="204"/>
        <v>0.12886010741123155</v>
      </c>
      <c r="AC314" s="48" t="str">
        <f t="shared" si="205"/>
        <v>-0.0572289249416561-0.440639722974348i</v>
      </c>
      <c r="AD314" s="20">
        <f t="shared" si="206"/>
        <v>-7.0456812341794475</v>
      </c>
      <c r="AE314" s="44">
        <f t="shared" si="207"/>
        <v>-97.399976599275377</v>
      </c>
      <c r="AF314" t="str">
        <f t="shared" si="193"/>
        <v>-0.0000333790427773504</v>
      </c>
      <c r="AG314" t="str">
        <f t="shared" si="194"/>
        <v>0.000310584054335963i</v>
      </c>
      <c r="AH314">
        <f t="shared" si="208"/>
        <v>3.1058405433596301E-4</v>
      </c>
      <c r="AI314">
        <f t="shared" si="209"/>
        <v>1.5707963267948966</v>
      </c>
      <c r="AJ314" t="str">
        <f t="shared" si="195"/>
        <v>1+7.1555155830728i</v>
      </c>
      <c r="AK314">
        <f t="shared" si="210"/>
        <v>7.2250538585949426</v>
      </c>
      <c r="AL314">
        <f t="shared" si="211"/>
        <v>1.4319432991377847</v>
      </c>
      <c r="AM314" t="str">
        <f t="shared" si="196"/>
        <v>1+53.8651311947982i</v>
      </c>
      <c r="AN314">
        <f t="shared" si="212"/>
        <v>53.874412837940262</v>
      </c>
      <c r="AO314">
        <f t="shared" si="213"/>
        <v>1.5522335735521211</v>
      </c>
      <c r="AP314" s="42" t="str">
        <f t="shared" si="214"/>
        <v>-0.0961653992168205+0.795584862253519i</v>
      </c>
      <c r="AQ314">
        <f t="shared" si="215"/>
        <v>-1.9232763140997442</v>
      </c>
      <c r="AR314" s="44">
        <f t="shared" si="216"/>
        <v>96.892125040411997</v>
      </c>
      <c r="AS314" s="42" t="str">
        <f t="shared" si="217"/>
        <v>0.356069735719739-0.00315617149600707i</v>
      </c>
      <c r="AT314" s="20">
        <f t="shared" si="218"/>
        <v>-8.9689575482791959</v>
      </c>
      <c r="AU314" s="44">
        <f t="shared" si="219"/>
        <v>-0.50785155886337352</v>
      </c>
    </row>
    <row r="315" spans="14:47" x14ac:dyDescent="0.3">
      <c r="N315" s="8">
        <v>97</v>
      </c>
      <c r="O315" s="35">
        <f t="shared" si="220"/>
        <v>9332.5430079699217</v>
      </c>
      <c r="P315" s="34" t="str">
        <f t="shared" si="188"/>
        <v>545.10556621881</v>
      </c>
      <c r="Q315" s="4" t="str">
        <f t="shared" si="189"/>
        <v>1+1252.67182493877i</v>
      </c>
      <c r="R315" s="4">
        <f t="shared" si="197"/>
        <v>1252.6722240855461</v>
      </c>
      <c r="S315" s="4">
        <f t="shared" si="198"/>
        <v>1.5699980332852419</v>
      </c>
      <c r="T315" s="4" t="str">
        <f t="shared" si="190"/>
        <v>1+0.0293190485531491i</v>
      </c>
      <c r="U315" s="4">
        <f t="shared" si="199"/>
        <v>1.0004297109782685</v>
      </c>
      <c r="V315" s="4">
        <f t="shared" si="200"/>
        <v>2.9310651934104575E-2</v>
      </c>
      <c r="W315" t="str">
        <f t="shared" si="191"/>
        <v>1-0.0304566276370112i</v>
      </c>
      <c r="X315" s="4">
        <f t="shared" si="201"/>
        <v>1.0004636955767159</v>
      </c>
      <c r="Y315" s="4">
        <f t="shared" si="202"/>
        <v>-3.0447215622967257E-2</v>
      </c>
      <c r="Z315" t="str">
        <f t="shared" si="192"/>
        <v>0.994425833024281+0.131890527640857i</v>
      </c>
      <c r="AA315" s="4">
        <f t="shared" si="203"/>
        <v>1.0031340133139834</v>
      </c>
      <c r="AB315" s="4">
        <f t="shared" si="204"/>
        <v>0.13186025210902971</v>
      </c>
      <c r="AC315" s="48" t="str">
        <f t="shared" si="205"/>
        <v>-0.0572312198539676-0.430393852176741i</v>
      </c>
      <c r="AD315" s="20">
        <f t="shared" si="206"/>
        <v>-7.2465574511315776</v>
      </c>
      <c r="AE315" s="44">
        <f t="shared" si="207"/>
        <v>-97.574417384982183</v>
      </c>
      <c r="AF315" t="str">
        <f t="shared" si="193"/>
        <v>-0.0000333790427773504</v>
      </c>
      <c r="AG315" t="str">
        <f t="shared" si="194"/>
        <v>0.000317818486316136i</v>
      </c>
      <c r="AH315">
        <f t="shared" si="208"/>
        <v>3.17818486316136E-4</v>
      </c>
      <c r="AI315">
        <f t="shared" si="209"/>
        <v>1.5707963267948966</v>
      </c>
      <c r="AJ315" t="str">
        <f t="shared" si="195"/>
        <v>1+7.32218895231413i</v>
      </c>
      <c r="AK315">
        <f t="shared" si="210"/>
        <v>7.3901590682062519</v>
      </c>
      <c r="AL315">
        <f t="shared" si="211"/>
        <v>1.4350648617086692</v>
      </c>
      <c r="AM315" t="str">
        <f t="shared" si="196"/>
        <v>1+55.1198112799204i</v>
      </c>
      <c r="AN315">
        <f t="shared" si="212"/>
        <v>55.128881682236582</v>
      </c>
      <c r="AO315">
        <f t="shared" si="213"/>
        <v>1.5526560196326005</v>
      </c>
      <c r="AP315" s="42" t="str">
        <f t="shared" si="214"/>
        <v>-0.0919164925640266+0.778055418026892i</v>
      </c>
      <c r="AQ315">
        <f t="shared" si="215"/>
        <v>-2.1195976100496323</v>
      </c>
      <c r="AR315" s="44">
        <f t="shared" si="216"/>
        <v>96.737477057097593</v>
      </c>
      <c r="AS315" s="42" t="str">
        <f t="shared" si="217"/>
        <v>0.340130761565716-0.00496876737446154i</v>
      </c>
      <c r="AT315" s="20">
        <f t="shared" si="218"/>
        <v>-9.3661550611812103</v>
      </c>
      <c r="AU315" s="44">
        <f t="shared" si="219"/>
        <v>-0.83694032788458539</v>
      </c>
    </row>
    <row r="316" spans="14:47" x14ac:dyDescent="0.3">
      <c r="N316" s="8">
        <v>98</v>
      </c>
      <c r="O316" s="35">
        <f t="shared" si="220"/>
        <v>9549.9258602143691</v>
      </c>
      <c r="P316" s="34" t="str">
        <f t="shared" si="188"/>
        <v>545.10556621881</v>
      </c>
      <c r="Q316" s="4" t="str">
        <f t="shared" si="189"/>
        <v>1+1281.85030008739i</v>
      </c>
      <c r="R316" s="4">
        <f t="shared" si="197"/>
        <v>1281.8506901484789</v>
      </c>
      <c r="S316" s="4">
        <f t="shared" si="198"/>
        <v>1.5700162046565562</v>
      </c>
      <c r="T316" s="4" t="str">
        <f t="shared" si="190"/>
        <v>1+0.0300019769247766i</v>
      </c>
      <c r="U316" s="4">
        <f t="shared" si="199"/>
        <v>1.0004499580785613</v>
      </c>
      <c r="V316" s="4">
        <f t="shared" si="200"/>
        <v>2.9992980003905031E-2</v>
      </c>
      <c r="W316" t="str">
        <f t="shared" si="191"/>
        <v>1-0.0311660536294579i</v>
      </c>
      <c r="X316" s="4">
        <f t="shared" si="201"/>
        <v>1.0004855435731363</v>
      </c>
      <c r="Y316" s="4">
        <f t="shared" si="202"/>
        <v>-3.1155968739031255E-2</v>
      </c>
      <c r="Z316" t="str">
        <f t="shared" si="192"/>
        <v>0.994163130628122+0.1349626526831i</v>
      </c>
      <c r="AA316" s="4">
        <f t="shared" si="203"/>
        <v>1.0032822374185479</v>
      </c>
      <c r="AB316" s="4">
        <f t="shared" si="204"/>
        <v>0.13493017644074484</v>
      </c>
      <c r="AC316" s="48" t="str">
        <f t="shared" si="205"/>
        <v>-0.0572321151509717-0.420376242677705i</v>
      </c>
      <c r="AD316" s="20">
        <f t="shared" si="206"/>
        <v>-7.4474752016427113</v>
      </c>
      <c r="AE316" s="44">
        <f t="shared" si="207"/>
        <v>-97.752866279122571</v>
      </c>
      <c r="AF316" t="str">
        <f t="shared" si="193"/>
        <v>-0.0000333790427773504</v>
      </c>
      <c r="AG316" t="str">
        <f t="shared" si="194"/>
        <v>0.000325221429864579i</v>
      </c>
      <c r="AH316">
        <f t="shared" si="208"/>
        <v>3.2522142986457899E-4</v>
      </c>
      <c r="AI316">
        <f t="shared" si="209"/>
        <v>1.5707963267948966</v>
      </c>
      <c r="AJ316" t="str">
        <f t="shared" si="195"/>
        <v>1+7.49274464305861i</v>
      </c>
      <c r="AK316">
        <f t="shared" si="210"/>
        <v>7.5591813237997876</v>
      </c>
      <c r="AL316">
        <f t="shared" si="211"/>
        <v>1.4381179428028525</v>
      </c>
      <c r="AM316" t="str">
        <f t="shared" si="196"/>
        <v>1+56.4037166185802i</v>
      </c>
      <c r="AN316">
        <f t="shared" si="212"/>
        <v>56.412580586152053</v>
      </c>
      <c r="AO316">
        <f t="shared" si="213"/>
        <v>1.5530688559234465</v>
      </c>
      <c r="AP316" s="42" t="str">
        <f t="shared" si="214"/>
        <v>-0.0878519671666175+0.760887175948756i</v>
      </c>
      <c r="AQ316">
        <f t="shared" si="215"/>
        <v>-2.3160814570820487</v>
      </c>
      <c r="AR316" s="44">
        <f t="shared" si="216"/>
        <v>96.58620217298504</v>
      </c>
      <c r="AS316" s="42" t="str">
        <f t="shared" si="217"/>
        <v>0.324886846028107-0.0066163026014491i</v>
      </c>
      <c r="AT316" s="20">
        <f t="shared" si="218"/>
        <v>-9.7635566587247649</v>
      </c>
      <c r="AU316" s="44">
        <f t="shared" si="219"/>
        <v>-1.1666641061375369</v>
      </c>
    </row>
    <row r="317" spans="14:47" x14ac:dyDescent="0.3">
      <c r="N317" s="8">
        <v>99</v>
      </c>
      <c r="O317" s="35">
        <f t="shared" si="220"/>
        <v>9772.3722095581161</v>
      </c>
      <c r="P317" s="34" t="str">
        <f t="shared" si="188"/>
        <v>545.10556621881</v>
      </c>
      <c r="Q317" s="4" t="str">
        <f t="shared" si="189"/>
        <v>1+1311.7084292324i</v>
      </c>
      <c r="R317" s="4">
        <f t="shared" si="197"/>
        <v>1311.7088104146171</v>
      </c>
      <c r="S317" s="4">
        <f t="shared" si="198"/>
        <v>1.570033962397458</v>
      </c>
      <c r="T317" s="4" t="str">
        <f t="shared" si="190"/>
        <v>1+0.0307008127416929i</v>
      </c>
      <c r="U317" s="4">
        <f t="shared" si="199"/>
        <v>1.0004711589561193</v>
      </c>
      <c r="V317" s="4">
        <f t="shared" si="200"/>
        <v>3.0691172612475271E-2</v>
      </c>
      <c r="W317" t="str">
        <f t="shared" si="191"/>
        <v>1-0.0318920042760704i</v>
      </c>
      <c r="X317" s="4">
        <f t="shared" si="201"/>
        <v>1.000508420722557</v>
      </c>
      <c r="Y317" s="4">
        <f t="shared" si="202"/>
        <v>-3.188119841784294E-2</v>
      </c>
      <c r="Z317" t="str">
        <f t="shared" si="192"/>
        <v>0.993888047449463+0.138106336710237i</v>
      </c>
      <c r="AA317" s="4">
        <f t="shared" si="203"/>
        <v>1.0034374973571734</v>
      </c>
      <c r="AB317" s="4">
        <f t="shared" si="204"/>
        <v>0.13807149806085042</v>
      </c>
      <c r="AC317" s="48" t="str">
        <f t="shared" si="205"/>
        <v>-0.0572316128498751-0.410581587554088i</v>
      </c>
      <c r="AD317" s="20">
        <f t="shared" si="206"/>
        <v>-7.6484364641332014</v>
      </c>
      <c r="AE317" s="44">
        <f t="shared" si="207"/>
        <v>-97.93541730367042</v>
      </c>
      <c r="AF317" t="str">
        <f t="shared" si="193"/>
        <v>-0.0000333790427773504</v>
      </c>
      <c r="AG317" t="str">
        <f t="shared" si="194"/>
        <v>0.00033279681011995i</v>
      </c>
      <c r="AH317">
        <f t="shared" si="208"/>
        <v>3.3279681011995002E-4</v>
      </c>
      <c r="AI317">
        <f t="shared" si="209"/>
        <v>1.5707963267948966</v>
      </c>
      <c r="AJ317" t="str">
        <f t="shared" si="195"/>
        <v>1+7.66727308619104i</v>
      </c>
      <c r="AK317">
        <f t="shared" si="210"/>
        <v>7.7322103294096616</v>
      </c>
      <c r="AL317">
        <f t="shared" si="211"/>
        <v>1.4411039334145861</v>
      </c>
      <c r="AM317" t="str">
        <f t="shared" si="196"/>
        <v>1+57.7175279543827i</v>
      </c>
      <c r="AN317">
        <f t="shared" si="212"/>
        <v>57.726190184048598</v>
      </c>
      <c r="AO317">
        <f t="shared" si="213"/>
        <v>1.5534723007527125</v>
      </c>
      <c r="AP317" s="42" t="str">
        <f t="shared" si="214"/>
        <v>-0.08396411183559+0.744074340741559i</v>
      </c>
      <c r="AQ317">
        <f t="shared" si="215"/>
        <v>-2.512720800186675</v>
      </c>
      <c r="AR317" s="44">
        <f t="shared" si="216"/>
        <v>96.438233199250348</v>
      </c>
      <c r="AS317" s="42" t="str">
        <f t="shared" si="217"/>
        <v>0.310308625621789-0.00811045626582142i</v>
      </c>
      <c r="AT317" s="20">
        <f t="shared" si="218"/>
        <v>-10.161157264319872</v>
      </c>
      <c r="AU317" s="44">
        <f t="shared" si="219"/>
        <v>-1.4971841044200607</v>
      </c>
    </row>
    <row r="318" spans="14:47" x14ac:dyDescent="0.3">
      <c r="N318" s="8">
        <v>100</v>
      </c>
      <c r="O318" s="35">
        <f t="shared" si="220"/>
        <v>10000</v>
      </c>
      <c r="P318" s="34" t="str">
        <f t="shared" si="188"/>
        <v>545.10556621881</v>
      </c>
      <c r="Q318" s="4" t="str">
        <f t="shared" si="189"/>
        <v>1+1342.26204354911i</v>
      </c>
      <c r="R318" s="4">
        <f t="shared" si="197"/>
        <v>1342.2624160545631</v>
      </c>
      <c r="S318" s="4">
        <f t="shared" si="198"/>
        <v>1.5700513159232921</v>
      </c>
      <c r="T318" s="4" t="str">
        <f t="shared" si="190"/>
        <v>1+0.0314159265358979i</v>
      </c>
      <c r="U318" s="4">
        <f t="shared" si="199"/>
        <v>1.0004933585187405</v>
      </c>
      <c r="V318" s="4">
        <f t="shared" si="200"/>
        <v>3.1405597226420098E-2</v>
      </c>
      <c r="W318" t="str">
        <f t="shared" si="191"/>
        <v>1-0.0326348644854907i</v>
      </c>
      <c r="X318" s="4">
        <f t="shared" si="201"/>
        <v>1.0005323754781683</v>
      </c>
      <c r="Y318" s="4">
        <f t="shared" si="202"/>
        <v>-3.2623286132509269E-2</v>
      </c>
      <c r="Z318" t="str">
        <f t="shared" si="192"/>
        <v>0.9936+0.141323246545152i</v>
      </c>
      <c r="AA318" s="4">
        <f t="shared" si="203"/>
        <v>1.003600129540676</v>
      </c>
      <c r="AB318" s="4">
        <f t="shared" si="204"/>
        <v>0.14128587170611695</v>
      </c>
      <c r="AC318" s="48" t="str">
        <f t="shared" si="205"/>
        <v>-0.0572297120159105-0.401004698414658i</v>
      </c>
      <c r="AD318" s="20">
        <f t="shared" si="206"/>
        <v>-7.8494433123185541</v>
      </c>
      <c r="AE318" s="44">
        <f t="shared" si="207"/>
        <v>-98.122166610031812</v>
      </c>
      <c r="AF318" t="str">
        <f t="shared" si="193"/>
        <v>-0.0000333790427773504</v>
      </c>
      <c r="AG318" t="str">
        <f t="shared" si="194"/>
        <v>0.000340548643649134i</v>
      </c>
      <c r="AH318">
        <f t="shared" si="208"/>
        <v>3.4054864364913402E-4</v>
      </c>
      <c r="AI318">
        <f t="shared" si="209"/>
        <v>1.5707963267948966</v>
      </c>
      <c r="AJ318" t="str">
        <f t="shared" si="195"/>
        <v>1+7.84586681900211i</v>
      </c>
      <c r="AK318">
        <f t="shared" si="210"/>
        <v>7.9093379079110218</v>
      </c>
      <c r="AL318">
        <f t="shared" si="211"/>
        <v>1.4440242036546771</v>
      </c>
      <c r="AM318" t="str">
        <f t="shared" si="196"/>
        <v>1+59.0619418874883i</v>
      </c>
      <c r="AN318">
        <f t="shared" si="212"/>
        <v>59.070406969319635</v>
      </c>
      <c r="AO318">
        <f t="shared" si="213"/>
        <v>1.5538665675065433</v>
      </c>
      <c r="AP318" s="42" t="str">
        <f t="shared" si="214"/>
        <v>-0.0802455127178457+0.727611097372273i</v>
      </c>
      <c r="AQ318">
        <f t="shared" si="215"/>
        <v>-2.709508879493685</v>
      </c>
      <c r="AR318" s="44">
        <f t="shared" si="216"/>
        <v>96.293503860452333</v>
      </c>
      <c r="AS318" s="42" t="str">
        <f t="shared" si="217"/>
        <v>0.296367896248338-0.00946214593564648i</v>
      </c>
      <c r="AT318" s="20">
        <f t="shared" si="218"/>
        <v>-10.558952191812242</v>
      </c>
      <c r="AU318" s="44">
        <f t="shared" si="219"/>
        <v>-1.8286627495794809</v>
      </c>
    </row>
    <row r="319" spans="14:47" x14ac:dyDescent="0.3">
      <c r="N319" s="8">
        <v>1</v>
      </c>
      <c r="O319" s="35">
        <f>10^(4+(N319/100))</f>
        <v>10232.929922807549</v>
      </c>
      <c r="P319" s="34" t="str">
        <f t="shared" si="188"/>
        <v>545.10556621881</v>
      </c>
      <c r="Q319" s="4" t="str">
        <f t="shared" si="189"/>
        <v>1+1373.52734296825i</v>
      </c>
      <c r="R319" s="4">
        <f t="shared" si="197"/>
        <v>1373.5277069944459</v>
      </c>
      <c r="S319" s="4">
        <f t="shared" si="198"/>
        <v>1.5700682744350853</v>
      </c>
      <c r="T319" s="4" t="str">
        <f t="shared" si="190"/>
        <v>1+0.0321476974701913i</v>
      </c>
      <c r="U319" s="4">
        <f t="shared" si="199"/>
        <v>1.0005166037865814</v>
      </c>
      <c r="V319" s="4">
        <f t="shared" si="200"/>
        <v>3.2136629724305213E-2</v>
      </c>
      <c r="W319" t="str">
        <f t="shared" si="191"/>
        <v>1-0.0333950281320347i</v>
      </c>
      <c r="X319" s="4">
        <f t="shared" si="201"/>
        <v>1.0005574585719401</v>
      </c>
      <c r="Y319" s="4">
        <f t="shared" si="202"/>
        <v>-3.3382622076582893E-2</v>
      </c>
      <c r="Z319" t="str">
        <f t="shared" si="192"/>
        <v>0.993298377292474+0.144615087836019i</v>
      </c>
      <c r="AA319" s="4">
        <f t="shared" si="203"/>
        <v>1.003770486695879</v>
      </c>
      <c r="AB319" s="4">
        <f t="shared" si="204"/>
        <v>0.14457499001114835</v>
      </c>
      <c r="AC319" s="48" t="str">
        <f t="shared" si="205"/>
        <v>-0.057226408761722-0.391640502673194i</v>
      </c>
      <c r="AD319" s="20">
        <f t="shared" si="206"/>
        <v>-8.0504979198876132</v>
      </c>
      <c r="AE319" s="44">
        <f t="shared" si="207"/>
        <v>-98.313212526394196</v>
      </c>
      <c r="AF319" t="str">
        <f t="shared" si="193"/>
        <v>-0.0000333790427773504</v>
      </c>
      <c r="AG319" t="str">
        <f t="shared" si="194"/>
        <v>0.000348481040576874i</v>
      </c>
      <c r="AH319">
        <f t="shared" si="208"/>
        <v>3.4848104057687399E-4</v>
      </c>
      <c r="AI319">
        <f t="shared" si="209"/>
        <v>1.5707963267948966</v>
      </c>
      <c r="AJ319" t="str">
        <f t="shared" si="195"/>
        <v>1+8.02862053425295i</v>
      </c>
      <c r="AK319">
        <f t="shared" si="210"/>
        <v>8.0906580500616965</v>
      </c>
      <c r="AL319">
        <f t="shared" si="211"/>
        <v>1.4468801025510951</v>
      </c>
      <c r="AM319" t="str">
        <f t="shared" si="196"/>
        <v>1+60.4376712439599i</v>
      </c>
      <c r="AN319">
        <f t="shared" si="212"/>
        <v>60.44594366368166</v>
      </c>
      <c r="AO319">
        <f t="shared" si="213"/>
        <v>1.5542518647398107</v>
      </c>
      <c r="AP319" s="42" t="str">
        <f t="shared" si="214"/>
        <v>-0.0766890440441313+0.711491620548494i</v>
      </c>
      <c r="AQ319">
        <f t="shared" si="215"/>
        <v>-2.906439218886756</v>
      </c>
      <c r="AR319" s="44">
        <f t="shared" si="216"/>
        <v>96.151948812295757</v>
      </c>
      <c r="AS319" s="42" t="str">
        <f t="shared" si="217"/>
        <v>0.283037574501393-0.0106815745490778i</v>
      </c>
      <c r="AT319" s="20">
        <f t="shared" si="218"/>
        <v>-10.956937138774363</v>
      </c>
      <c r="AU319" s="44">
        <f t="shared" si="219"/>
        <v>-2.1612637140984448</v>
      </c>
    </row>
    <row r="320" spans="14:47" x14ac:dyDescent="0.3">
      <c r="N320" s="8">
        <v>2</v>
      </c>
      <c r="O320" s="35">
        <f t="shared" ref="O320:O383" si="221">10^(4+(N320/100))</f>
        <v>10471.285480509003</v>
      </c>
      <c r="P320" s="34" t="str">
        <f t="shared" si="188"/>
        <v>545.10556621881</v>
      </c>
      <c r="Q320" s="4" t="str">
        <f t="shared" si="189"/>
        <v>1+1405.52090476542i</v>
      </c>
      <c r="R320" s="4">
        <f t="shared" si="197"/>
        <v>1405.5212605053703</v>
      </c>
      <c r="S320" s="4">
        <f t="shared" si="198"/>
        <v>1.5700848469244266</v>
      </c>
      <c r="T320" s="4" t="str">
        <f t="shared" si="190"/>
        <v>1+0.0328965135392085i</v>
      </c>
      <c r="U320" s="4">
        <f t="shared" si="199"/>
        <v>1.0005409439913167</v>
      </c>
      <c r="V320" s="4">
        <f t="shared" si="200"/>
        <v>3.2884654582090174E-2</v>
      </c>
      <c r="W320" t="str">
        <f t="shared" si="191"/>
        <v>1-0.0341728982645297i</v>
      </c>
      <c r="X320" s="4">
        <f t="shared" si="201"/>
        <v>1.0005837231215577</v>
      </c>
      <c r="Y320" s="4">
        <f t="shared" si="202"/>
        <v>-3.415960535541953E-2</v>
      </c>
      <c r="Z320" t="str">
        <f t="shared" si="192"/>
        <v>0.992982539544684+0.147983605960664i</v>
      </c>
      <c r="AA320" s="4">
        <f t="shared" si="203"/>
        <v>1.0039489386785221</v>
      </c>
      <c r="AB320" s="4">
        <f t="shared" si="204"/>
        <v>0.14794058433882029</v>
      </c>
      <c r="AC320" s="48" t="str">
        <f t="shared" si="205"/>
        <v>-0.0572216962406404-0.382484040884658i</v>
      </c>
      <c r="AD320" s="20">
        <f t="shared" si="206"/>
        <v>-8.2516025654194785</v>
      </c>
      <c r="AE320" s="44">
        <f t="shared" si="207"/>
        <v>-98.508655605925853</v>
      </c>
      <c r="AF320" t="str">
        <f t="shared" si="193"/>
        <v>-0.0000333790427773504</v>
      </c>
      <c r="AG320" t="str">
        <f t="shared" si="194"/>
        <v>0.000356598206765021i</v>
      </c>
      <c r="AH320">
        <f t="shared" si="208"/>
        <v>3.5659820676502097E-4</v>
      </c>
      <c r="AI320">
        <f t="shared" si="209"/>
        <v>1.5707963267948966</v>
      </c>
      <c r="AJ320" t="str">
        <f t="shared" si="195"/>
        <v>1+8.21563113038241i</v>
      </c>
      <c r="AK320">
        <f t="shared" si="210"/>
        <v>8.2762669646712439</v>
      </c>
      <c r="AL320">
        <f t="shared" si="211"/>
        <v>1.4496729578944754</v>
      </c>
      <c r="AM320" t="str">
        <f t="shared" si="196"/>
        <v>1+61.8454454537122i</v>
      </c>
      <c r="AN320">
        <f t="shared" si="212"/>
        <v>61.853529595069119</v>
      </c>
      <c r="AO320">
        <f t="shared" si="213"/>
        <v>1.5546283962843541</v>
      </c>
      <c r="AP320" s="42" t="str">
        <f t="shared" si="214"/>
        <v>-0.0732878589603989+0.695710083505446i</v>
      </c>
      <c r="AQ320">
        <f t="shared" si="215"/>
        <v>-3.1035056149715246</v>
      </c>
      <c r="AR320" s="44">
        <f t="shared" si="216"/>
        <v>96.013503656685359</v>
      </c>
      <c r="AS320" s="42" t="str">
        <f t="shared" si="217"/>
        <v>0.270291659626925-0.0117782746269409i</v>
      </c>
      <c r="AT320" s="20">
        <f t="shared" si="218"/>
        <v>-11.355108180390994</v>
      </c>
      <c r="AU320" s="44">
        <f t="shared" si="219"/>
        <v>-2.4951519492404706</v>
      </c>
    </row>
    <row r="321" spans="14:47" x14ac:dyDescent="0.3">
      <c r="N321" s="8">
        <v>3</v>
      </c>
      <c r="O321" s="35">
        <f t="shared" si="221"/>
        <v>10715.193052376071</v>
      </c>
      <c r="P321" s="34" t="str">
        <f t="shared" si="188"/>
        <v>545.10556621881</v>
      </c>
      <c r="Q321" s="4" t="str">
        <f t="shared" si="189"/>
        <v>1+1438.25969235056i</v>
      </c>
      <c r="R321" s="4">
        <f t="shared" si="197"/>
        <v>1438.2600399928822</v>
      </c>
      <c r="S321" s="4">
        <f t="shared" si="198"/>
        <v>1.5701010421782322</v>
      </c>
      <c r="T321" s="4" t="str">
        <f t="shared" si="190"/>
        <v>1+0.033662771775141i</v>
      </c>
      <c r="U321" s="4">
        <f t="shared" si="199"/>
        <v>1.0005664306799349</v>
      </c>
      <c r="V321" s="4">
        <f t="shared" si="200"/>
        <v>3.3650065062135769E-2</v>
      </c>
      <c r="W321" t="str">
        <f t="shared" si="191"/>
        <v>1-0.0349688873200164i</v>
      </c>
      <c r="X321" s="4">
        <f t="shared" si="201"/>
        <v>1.0006112247423571</v>
      </c>
      <c r="Y321" s="4">
        <f t="shared" si="202"/>
        <v>-3.4954644181156652E-2</v>
      </c>
      <c r="Z321" t="str">
        <f t="shared" si="192"/>
        <v>0.99265181682242+0.151430586951984i</v>
      </c>
      <c r="AA321" s="4">
        <f t="shared" si="203"/>
        <v>1.0041358733286416</v>
      </c>
      <c r="AB321" s="4">
        <f t="shared" si="204"/>
        <v>0.15138442562558133</v>
      </c>
      <c r="AC321" s="48" t="str">
        <f t="shared" si="205"/>
        <v>-0.0572155646338586-0.373530464143251i</v>
      </c>
      <c r="AD321" s="20">
        <f t="shared" si="206"/>
        <v>-8.4527596375501126</v>
      </c>
      <c r="AE321" s="44">
        <f t="shared" si="207"/>
        <v>-98.708598675823481</v>
      </c>
      <c r="AF321" t="str">
        <f t="shared" si="193"/>
        <v>-0.0000333790427773504</v>
      </c>
      <c r="AG321" t="str">
        <f t="shared" si="194"/>
        <v>0.000364904446042529i</v>
      </c>
      <c r="AH321">
        <f t="shared" si="208"/>
        <v>3.6490444604252902E-4</v>
      </c>
      <c r="AI321">
        <f t="shared" si="209"/>
        <v>1.5707963267948966</v>
      </c>
      <c r="AJ321" t="str">
        <f t="shared" si="195"/>
        <v>1+8.40699776288393i</v>
      </c>
      <c r="AK321">
        <f t="shared" si="210"/>
        <v>8.4662631299254691</v>
      </c>
      <c r="AL321">
        <f t="shared" si="211"/>
        <v>1.452404076125281</v>
      </c>
      <c r="AM321" t="str">
        <f t="shared" si="196"/>
        <v>1+63.2860109372653i</v>
      </c>
      <c r="AN321">
        <f t="shared" si="212"/>
        <v>63.293911084334674</v>
      </c>
      <c r="AO321">
        <f t="shared" si="213"/>
        <v>1.5549963613548725</v>
      </c>
      <c r="AP321" s="42" t="str">
        <f t="shared" si="214"/>
        <v>-0.0700353804644006+0.680260666121844i</v>
      </c>
      <c r="AQ321">
        <f t="shared" si="215"/>
        <v>-3.3007021263952363</v>
      </c>
      <c r="AR321" s="44">
        <f t="shared" si="216"/>
        <v>95.878104954257907</v>
      </c>
      <c r="AS321" s="42" t="str">
        <f t="shared" si="217"/>
        <v>0.258105196192507-0.0127611499390493i</v>
      </c>
      <c r="AT321" s="20">
        <f t="shared" si="218"/>
        <v>-11.753461763945358</v>
      </c>
      <c r="AU321" s="44">
        <f t="shared" si="219"/>
        <v>-2.8304937215655572</v>
      </c>
    </row>
    <row r="322" spans="14:47" x14ac:dyDescent="0.3">
      <c r="N322" s="8">
        <v>4</v>
      </c>
      <c r="O322" s="35">
        <f t="shared" si="221"/>
        <v>10964.781961431856</v>
      </c>
      <c r="P322" s="34" t="str">
        <f t="shared" si="188"/>
        <v>545.10556621881</v>
      </c>
      <c r="Q322" s="4" t="str">
        <f t="shared" si="189"/>
        <v>1+1471.7610642622i</v>
      </c>
      <c r="R322" s="4">
        <f t="shared" si="197"/>
        <v>1471.7614039912189</v>
      </c>
      <c r="S322" s="4">
        <f t="shared" si="198"/>
        <v>1.5701168687834064</v>
      </c>
      <c r="T322" s="4" t="str">
        <f t="shared" si="190"/>
        <v>1+0.0344468784582482i</v>
      </c>
      <c r="U322" s="4">
        <f t="shared" si="199"/>
        <v>1.0005931178233824</v>
      </c>
      <c r="V322" s="4">
        <f t="shared" si="200"/>
        <v>3.4433263405814131E-2</v>
      </c>
      <c r="W322" t="str">
        <f t="shared" si="191"/>
        <v>1-0.0357834173424281i</v>
      </c>
      <c r="X322" s="4">
        <f t="shared" si="201"/>
        <v>1.0006400216644857</v>
      </c>
      <c r="Y322" s="4">
        <f t="shared" si="202"/>
        <v>-3.5768156071338243E-2</v>
      </c>
      <c r="Z322" t="str">
        <f t="shared" si="192"/>
        <v>0.992305507618449+0.154957858444927i</v>
      </c>
      <c r="AA322" s="4">
        <f t="shared" si="203"/>
        <v>1.0043316973708167</v>
      </c>
      <c r="AB322" s="4">
        <f t="shared" si="204"/>
        <v>0.15490832524156675</v>
      </c>
      <c r="AC322" s="48" t="str">
        <f t="shared" si="205"/>
        <v>-0.0572080011314897-0.364775031541052i</v>
      </c>
      <c r="AD322" s="20">
        <f t="shared" si="206"/>
        <v>-8.653971640403503</v>
      </c>
      <c r="AE322" s="44">
        <f t="shared" si="207"/>
        <v>-98.913146887204391</v>
      </c>
      <c r="AF322" t="str">
        <f t="shared" si="193"/>
        <v>-0.0000333790427773504</v>
      </c>
      <c r="AG322" t="str">
        <f t="shared" si="194"/>
        <v>0.000373404162487411i</v>
      </c>
      <c r="AH322">
        <f t="shared" si="208"/>
        <v>3.7340416248741098E-4</v>
      </c>
      <c r="AI322">
        <f t="shared" si="209"/>
        <v>1.5707963267948966</v>
      </c>
      <c r="AJ322" t="str">
        <f t="shared" si="195"/>
        <v>1+8.6028218968791i</v>
      </c>
      <c r="AK322">
        <f t="shared" si="210"/>
        <v>8.6607473458947251</v>
      </c>
      <c r="AL322">
        <f t="shared" si="211"/>
        <v>1.4550747422595693</v>
      </c>
      <c r="AM322" t="str">
        <f t="shared" si="196"/>
        <v>1+64.7601315015068i</v>
      </c>
      <c r="AN322">
        <f t="shared" si="212"/>
        <v>64.767851840959295</v>
      </c>
      <c r="AO322">
        <f t="shared" si="213"/>
        <v>1.5553559546525131</v>
      </c>
      <c r="AP322" s="42" t="str">
        <f t="shared" si="214"/>
        <v>-0.0669252924665508+0.665137562401234i</v>
      </c>
      <c r="AQ322">
        <f t="shared" si="215"/>
        <v>-3.4980230635137435</v>
      </c>
      <c r="AR322" s="44">
        <f t="shared" si="216"/>
        <v>95.745690234570688</v>
      </c>
      <c r="AS322" s="42" t="str">
        <f t="shared" si="217"/>
        <v>0.2464542375112-0.0136385147520659i</v>
      </c>
      <c r="AT322" s="20">
        <f t="shared" si="218"/>
        <v>-12.151994703917259</v>
      </c>
      <c r="AU322" s="44">
        <f t="shared" si="219"/>
        <v>-3.1674566526337107</v>
      </c>
    </row>
    <row r="323" spans="14:47" x14ac:dyDescent="0.3">
      <c r="N323" s="8">
        <v>5</v>
      </c>
      <c r="O323" s="35">
        <f t="shared" si="221"/>
        <v>11220.184543019639</v>
      </c>
      <c r="P323" s="34" t="str">
        <f t="shared" si="188"/>
        <v>545.10556621881</v>
      </c>
      <c r="Q323" s="4" t="str">
        <f t="shared" si="189"/>
        <v>1+1506.04278337117i</v>
      </c>
      <c r="R323" s="4">
        <f t="shared" si="197"/>
        <v>1506.0431153670138</v>
      </c>
      <c r="S323" s="4">
        <f t="shared" si="198"/>
        <v>1.5701323351313929</v>
      </c>
      <c r="T323" s="4" t="str">
        <f t="shared" si="190"/>
        <v>1+0.0352492493322722i</v>
      </c>
      <c r="U323" s="4">
        <f t="shared" si="199"/>
        <v>1.0006210619302838</v>
      </c>
      <c r="V323" s="4">
        <f t="shared" si="200"/>
        <v>3.5234661029748898E-2</v>
      </c>
      <c r="W323" t="str">
        <f t="shared" si="191"/>
        <v>1-0.0366169202063643i</v>
      </c>
      <c r="X323" s="4">
        <f t="shared" si="201"/>
        <v>1.0006701748555311</v>
      </c>
      <c r="Y323" s="4">
        <f t="shared" si="202"/>
        <v>-3.6600568051208746E-2</v>
      </c>
      <c r="Z323" t="str">
        <f t="shared" si="192"/>
        <v>0.991942877364517+0.158567290645526i</v>
      </c>
      <c r="AA323" s="4">
        <f t="shared" si="203"/>
        <v>1.0045368373618062</v>
      </c>
      <c r="AB323" s="4">
        <f t="shared" si="204"/>
        <v>0.15851413586541968</v>
      </c>
      <c r="AC323" s="48" t="str">
        <f t="shared" si="205"/>
        <v>-0.0571989899075069-0.356213107686105i</v>
      </c>
      <c r="AD323" s="20">
        <f t="shared" si="206"/>
        <v>-8.8552411993002274</v>
      </c>
      <c r="AE323" s="44">
        <f t="shared" si="207"/>
        <v>-99.122407765838162</v>
      </c>
      <c r="AF323" t="str">
        <f t="shared" si="193"/>
        <v>-0.0000333790427773504</v>
      </c>
      <c r="AG323" t="str">
        <f t="shared" si="194"/>
        <v>0.000382101862761831i</v>
      </c>
      <c r="AH323">
        <f t="shared" si="208"/>
        <v>3.8210186276183098E-4</v>
      </c>
      <c r="AI323">
        <f t="shared" si="209"/>
        <v>1.5707963267948966</v>
      </c>
      <c r="AJ323" t="str">
        <f t="shared" si="195"/>
        <v>1+8.80320736091581i</v>
      </c>
      <c r="AK323">
        <f t="shared" si="210"/>
        <v>8.8598227882549825</v>
      </c>
      <c r="AL323">
        <f t="shared" si="211"/>
        <v>1.4576862198504639</v>
      </c>
      <c r="AM323" t="str">
        <f t="shared" si="196"/>
        <v>1+66.268588744672i</v>
      </c>
      <c r="AN323">
        <f t="shared" si="212"/>
        <v>66.276133367981487</v>
      </c>
      <c r="AO323">
        <f t="shared" si="213"/>
        <v>1.5557073664662042</v>
      </c>
      <c r="AP323" s="42" t="str">
        <f t="shared" si="214"/>
        <v>-0.0639515309915324+0.650334987354152i</v>
      </c>
      <c r="AQ323">
        <f t="shared" si="215"/>
        <v>-3.695462978401399</v>
      </c>
      <c r="AR323" s="44">
        <f t="shared" si="216"/>
        <v>95.616198004115006</v>
      </c>
      <c r="AS323" s="42" t="str">
        <f t="shared" si="217"/>
        <v>0.235315809858181-0.0144181307823908i</v>
      </c>
      <c r="AT323" s="20">
        <f t="shared" si="218"/>
        <v>-12.550704177701611</v>
      </c>
      <c r="AU323" s="44">
        <f t="shared" si="219"/>
        <v>-3.5062097617231767</v>
      </c>
    </row>
    <row r="324" spans="14:47" x14ac:dyDescent="0.3">
      <c r="N324" s="8">
        <v>6</v>
      </c>
      <c r="O324" s="35">
        <f t="shared" si="221"/>
        <v>11481.536214968832</v>
      </c>
      <c r="P324" s="34" t="str">
        <f t="shared" si="188"/>
        <v>545.10556621881</v>
      </c>
      <c r="Q324" s="4" t="str">
        <f t="shared" si="189"/>
        <v>1+1541.12302629872i</v>
      </c>
      <c r="R324" s="4">
        <f t="shared" si="197"/>
        <v>1541.1233507374177</v>
      </c>
      <c r="S324" s="4">
        <f t="shared" si="198"/>
        <v>1.5701474494226246</v>
      </c>
      <c r="T324" s="4" t="str">
        <f t="shared" si="190"/>
        <v>1+0.0360703098248712i</v>
      </c>
      <c r="U324" s="4">
        <f t="shared" si="199"/>
        <v>1.0006503221659713</v>
      </c>
      <c r="V324" s="4">
        <f t="shared" si="200"/>
        <v>3.6054678725710873E-2</v>
      </c>
      <c r="W324" t="str">
        <f t="shared" si="191"/>
        <v>1-0.0374698378460761i</v>
      </c>
      <c r="X324" s="4">
        <f t="shared" si="201"/>
        <v>1.0007017481488734</v>
      </c>
      <c r="Y324" s="4">
        <f t="shared" si="202"/>
        <v>-3.7452316859692449E-2</v>
      </c>
      <c r="Z324" t="str">
        <f t="shared" si="192"/>
        <v>0.991563156873239+0.162260797322513i</v>
      </c>
      <c r="AA324" s="4">
        <f t="shared" si="203"/>
        <v>1.0047517406882962</v>
      </c>
      <c r="AB324" s="4">
        <f t="shared" si="204"/>
        <v>0.16220375237368054</v>
      </c>
      <c r="AC324" s="48" t="str">
        <f t="shared" si="205"/>
        <v>-0.0571885120885221-0.347840160278755i</v>
      </c>
      <c r="AD324" s="20">
        <f t="shared" si="206"/>
        <v>-9.0565710667595738</v>
      </c>
      <c r="AE324" s="44">
        <f t="shared" si="207"/>
        <v>-99.336491263707956</v>
      </c>
      <c r="AF324" t="str">
        <f t="shared" si="193"/>
        <v>-0.0000333790427773504</v>
      </c>
      <c r="AG324" t="str">
        <f t="shared" si="194"/>
        <v>0.000391002158501604i</v>
      </c>
      <c r="AH324">
        <f t="shared" si="208"/>
        <v>3.9100215850160398E-4</v>
      </c>
      <c r="AI324">
        <f t="shared" si="209"/>
        <v>1.5707963267948966</v>
      </c>
      <c r="AJ324" t="str">
        <f t="shared" si="195"/>
        <v>1+9.0082604020195i</v>
      </c>
      <c r="AK324">
        <f t="shared" si="210"/>
        <v>9.0635950632512561</v>
      </c>
      <c r="AL324">
        <f t="shared" si="211"/>
        <v>1.4602397509826019</v>
      </c>
      <c r="AM324" t="str">
        <f t="shared" si="196"/>
        <v>1+67.8121824707581i</v>
      </c>
      <c r="AN324">
        <f t="shared" si="212"/>
        <v>67.81955537636172</v>
      </c>
      <c r="AO324">
        <f t="shared" si="213"/>
        <v>1.5560507827717747</v>
      </c>
      <c r="AP324" s="42" t="str">
        <f t="shared" si="214"/>
        <v>-0.0611082755347947+0.635847183315195i</v>
      </c>
      <c r="AQ324">
        <f t="shared" si="215"/>
        <v>-3.8930166551980134</v>
      </c>
      <c r="AR324" s="44">
        <f t="shared" si="216"/>
        <v>95.489567752313363</v>
      </c>
      <c r="AS324" s="42" t="str">
        <f t="shared" si="217"/>
        <v>0.224667877511283-0.0151072419730924i</v>
      </c>
      <c r="AT324" s="20">
        <f t="shared" si="218"/>
        <v>-12.949587721957572</v>
      </c>
      <c r="AU324" s="44">
        <f t="shared" si="219"/>
        <v>-3.8469235113945777</v>
      </c>
    </row>
    <row r="325" spans="14:47" x14ac:dyDescent="0.3">
      <c r="N325" s="8">
        <v>7</v>
      </c>
      <c r="O325" s="35">
        <f t="shared" si="221"/>
        <v>11748.975549395318</v>
      </c>
      <c r="P325" s="34" t="str">
        <f t="shared" si="188"/>
        <v>545.10556621881</v>
      </c>
      <c r="Q325" s="4" t="str">
        <f t="shared" si="189"/>
        <v>1+1577.02039305399i</v>
      </c>
      <c r="R325" s="4">
        <f t="shared" si="197"/>
        <v>1577.0207101075625</v>
      </c>
      <c r="S325" s="4">
        <f t="shared" si="198"/>
        <v>1.5701622196708709</v>
      </c>
      <c r="T325" s="4" t="str">
        <f t="shared" si="190"/>
        <v>1+0.0369104952731864i</v>
      </c>
      <c r="U325" s="4">
        <f t="shared" si="199"/>
        <v>1.0006809604770703</v>
      </c>
      <c r="V325" s="4">
        <f t="shared" si="200"/>
        <v>3.6893746864187671E-2</v>
      </c>
      <c r="W325" t="str">
        <f t="shared" si="191"/>
        <v>1-0.038342622489786i</v>
      </c>
      <c r="X325" s="4">
        <f t="shared" si="201"/>
        <v>1.000734808378021</v>
      </c>
      <c r="Y325" s="4">
        <f t="shared" si="202"/>
        <v>-3.8323849159073255E-2</v>
      </c>
      <c r="Z325" t="str">
        <f t="shared" si="192"/>
        <v>0.991165540706542+0.166040336822015i</v>
      </c>
      <c r="AA325" s="4">
        <f t="shared" si="203"/>
        <v>1.0049768766175966</v>
      </c>
      <c r="AB325" s="4">
        <f t="shared" si="204"/>
        <v>0.16597911274452967</v>
      </c>
      <c r="AC325" s="48" t="str">
        <f t="shared" si="205"/>
        <v>-0.057176545716377-0.339651757745166i</v>
      </c>
      <c r="AD325" s="20">
        <f t="shared" si="206"/>
        <v>-9.2579641288101246</v>
      </c>
      <c r="AE325" s="44">
        <f t="shared" si="207"/>
        <v>-99.555509811390678</v>
      </c>
      <c r="AF325" t="str">
        <f t="shared" si="193"/>
        <v>-0.0000333790427773504</v>
      </c>
      <c r="AG325" t="str">
        <f t="shared" si="194"/>
        <v>0.000400109768761341i</v>
      </c>
      <c r="AH325">
        <f t="shared" si="208"/>
        <v>4.0010976876134099E-4</v>
      </c>
      <c r="AI325">
        <f t="shared" si="209"/>
        <v>1.5707963267948966</v>
      </c>
      <c r="AJ325" t="str">
        <f t="shared" si="195"/>
        <v>1+9.21808974202678i</v>
      </c>
      <c r="AK325">
        <f t="shared" si="210"/>
        <v>9.2721722639335891</v>
      </c>
      <c r="AL325">
        <f t="shared" si="211"/>
        <v>1.4627365562969794</v>
      </c>
      <c r="AM325" t="str">
        <f t="shared" si="196"/>
        <v>1+69.3917311135907i</v>
      </c>
      <c r="AN325">
        <f t="shared" si="212"/>
        <v>69.398936209000141</v>
      </c>
      <c r="AO325">
        <f t="shared" si="213"/>
        <v>1.5563863853289031</v>
      </c>
      <c r="AP325" s="42" t="str">
        <f t="shared" si="214"/>
        <v>-0.0583899405859594+0.621668425727729i</v>
      </c>
      <c r="AQ325">
        <f t="shared" si="215"/>
        <v>-4.0906791007870966</v>
      </c>
      <c r="AR325" s="44">
        <f t="shared" si="216"/>
        <v>95.365739955650952</v>
      </c>
      <c r="AS325" s="42" t="str">
        <f t="shared" si="217"/>
        <v>0.214489308640383-0.0157126072093927i</v>
      </c>
      <c r="AT325" s="20">
        <f t="shared" si="218"/>
        <v>-13.348643229597219</v>
      </c>
      <c r="AU325" s="44">
        <f t="shared" si="219"/>
        <v>-4.1897698557397156</v>
      </c>
    </row>
    <row r="326" spans="14:47" x14ac:dyDescent="0.3">
      <c r="N326" s="8">
        <v>8</v>
      </c>
      <c r="O326" s="35">
        <f t="shared" si="221"/>
        <v>12022.644346174151</v>
      </c>
      <c r="P326" s="34" t="str">
        <f t="shared" si="188"/>
        <v>545.10556621881</v>
      </c>
      <c r="Q326" s="4" t="str">
        <f t="shared" si="189"/>
        <v>1+1613.75391689599i</v>
      </c>
      <c r="R326" s="4">
        <f t="shared" si="197"/>
        <v>1613.7542267325434</v>
      </c>
      <c r="S326" s="4">
        <f t="shared" si="198"/>
        <v>1.5701766537074873</v>
      </c>
      <c r="T326" s="4" t="str">
        <f t="shared" si="190"/>
        <v>1+0.0377702511546636i</v>
      </c>
      <c r="U326" s="4">
        <f t="shared" si="199"/>
        <v>1.0007130417218946</v>
      </c>
      <c r="V326" s="4">
        <f t="shared" si="200"/>
        <v>3.7752305601645275E-2</v>
      </c>
      <c r="W326" t="str">
        <f t="shared" si="191"/>
        <v>1-0.0392357368994644i</v>
      </c>
      <c r="X326" s="4">
        <f t="shared" si="201"/>
        <v>1.0007694255172086</v>
      </c>
      <c r="Y326" s="4">
        <f t="shared" si="202"/>
        <v>-3.9215621748381439E-2</v>
      </c>
      <c r="Z326" t="str">
        <f t="shared" si="192"/>
        <v>0.990749185467226+0.169907913105904i</v>
      </c>
      <c r="AA326" s="4">
        <f t="shared" si="203"/>
        <v>1.0052127374043642</v>
      </c>
      <c r="AB326" s="4">
        <f t="shared" si="204"/>
        <v>0.1698421989756578</v>
      </c>
      <c r="AC326" s="48" t="str">
        <f t="shared" si="205"/>
        <v>-0.0571630657044961-0.331643566926926i</v>
      </c>
      <c r="AD326" s="20">
        <f t="shared" si="206"/>
        <v>-9.4594234116263554</v>
      </c>
      <c r="AE326" s="44">
        <f t="shared" si="207"/>
        <v>-99.7795783712413</v>
      </c>
      <c r="AF326" t="str">
        <f t="shared" si="193"/>
        <v>-0.0000333790427773504</v>
      </c>
      <c r="AG326" t="str">
        <f t="shared" si="194"/>
        <v>0.000409429522516553i</v>
      </c>
      <c r="AH326">
        <f t="shared" si="208"/>
        <v>4.0942952251655297E-4</v>
      </c>
      <c r="AI326">
        <f t="shared" si="209"/>
        <v>1.5707963267948966</v>
      </c>
      <c r="AJ326" t="str">
        <f t="shared" si="195"/>
        <v>1+9.4328066352311i</v>
      </c>
      <c r="AK326">
        <f t="shared" si="210"/>
        <v>9.4856650276962604</v>
      </c>
      <c r="AL326">
        <f t="shared" si="211"/>
        <v>1.4651778350437608</v>
      </c>
      <c r="AM326" t="str">
        <f t="shared" si="196"/>
        <v>1+71.0080721707676i</v>
      </c>
      <c r="AN326">
        <f t="shared" si="212"/>
        <v>71.015113274632895</v>
      </c>
      <c r="AO326">
        <f t="shared" si="213"/>
        <v>1.5567143517759452</v>
      </c>
      <c r="AP326" s="42" t="str">
        <f t="shared" si="214"/>
        <v>-0.0557911673292112+0.607793028427642i</v>
      </c>
      <c r="AQ326">
        <f t="shared" si="215"/>
        <v>-4.288445535798763</v>
      </c>
      <c r="AR326" s="44">
        <f t="shared" si="216"/>
        <v>95.244656080082819</v>
      </c>
      <c r="AS326" s="42" t="str">
        <f t="shared" si="217"/>
        <v>0.204759842064832-0.0162405310826674i</v>
      </c>
      <c r="AT326" s="20">
        <f t="shared" si="218"/>
        <v>-13.747868947425118</v>
      </c>
      <c r="AU326" s="44">
        <f t="shared" si="219"/>
        <v>-4.5349222911584803</v>
      </c>
    </row>
    <row r="327" spans="14:47" x14ac:dyDescent="0.3">
      <c r="N327" s="8">
        <v>9</v>
      </c>
      <c r="O327" s="35">
        <f t="shared" si="221"/>
        <v>12302.687708123816</v>
      </c>
      <c r="P327" s="34" t="str">
        <f t="shared" si="188"/>
        <v>545.10556621881</v>
      </c>
      <c r="Q327" s="4" t="str">
        <f t="shared" si="189"/>
        <v>1+1651.34307442528i</v>
      </c>
      <c r="R327" s="4">
        <f t="shared" si="197"/>
        <v>1651.3433772090939</v>
      </c>
      <c r="S327" s="4">
        <f t="shared" si="198"/>
        <v>1.5701907591855671</v>
      </c>
      <c r="T327" s="4" t="str">
        <f t="shared" si="190"/>
        <v>1+0.0386500333232513i</v>
      </c>
      <c r="U327" s="4">
        <f t="shared" si="199"/>
        <v>1.0007466338069233</v>
      </c>
      <c r="V327" s="4">
        <f t="shared" si="200"/>
        <v>3.8630805091492741E-2</v>
      </c>
      <c r="W327" t="str">
        <f t="shared" si="191"/>
        <v>1-0.0401496546161933i</v>
      </c>
      <c r="X327" s="4">
        <f t="shared" si="201"/>
        <v>1.0008056728285464</v>
      </c>
      <c r="Y327" s="4">
        <f t="shared" si="202"/>
        <v>-4.0128101780494418E-2</v>
      </c>
      <c r="Z327" t="str">
        <f t="shared" si="192"/>
        <v>0.990313208010008+0.173865576814319i</v>
      </c>
      <c r="AA327" s="4">
        <f t="shared" si="203"/>
        <v>1.0054598394565788</v>
      </c>
      <c r="AB327" s="4">
        <f t="shared" si="204"/>
        <v>0.17379503801591728</v>
      </c>
      <c r="AC327" s="48" t="str">
        <f t="shared" si="205"/>
        <v>-0.0571480437879441-0.32381135082574i</v>
      </c>
      <c r="AD327" s="20">
        <f t="shared" si="206"/>
        <v>-9.6609520885085001</v>
      </c>
      <c r="AE327" s="44">
        <f t="shared" si="207"/>
        <v>-100.00881449136206</v>
      </c>
      <c r="AF327" t="str">
        <f t="shared" si="193"/>
        <v>-0.0000333790427773504</v>
      </c>
      <c r="AG327" t="str">
        <f t="shared" si="194"/>
        <v>0.000418966361224043i</v>
      </c>
      <c r="AH327">
        <f t="shared" si="208"/>
        <v>4.1896636122404297E-4</v>
      </c>
      <c r="AI327">
        <f t="shared" si="209"/>
        <v>1.5707963267948966</v>
      </c>
      <c r="AJ327" t="str">
        <f t="shared" si="195"/>
        <v>1+9.65252492737138i</v>
      </c>
      <c r="AK327">
        <f t="shared" si="210"/>
        <v>9.7041865951519028</v>
      </c>
      <c r="AL327">
        <f t="shared" si="211"/>
        <v>1.4675647651607695</v>
      </c>
      <c r="AM327" t="str">
        <f t="shared" si="196"/>
        <v>1+72.6620626477125i</v>
      </c>
      <c r="AN327">
        <f t="shared" si="212"/>
        <v>72.668943491839059</v>
      </c>
      <c r="AO327">
        <f t="shared" si="213"/>
        <v>1.5570348557226767</v>
      </c>
      <c r="AP327" s="42" t="str">
        <f t="shared" si="214"/>
        <v>-0.0533068155289843+0.594215348456153i</v>
      </c>
      <c r="AQ327">
        <f t="shared" si="215"/>
        <v>-4.4863113859312751</v>
      </c>
      <c r="AR327" s="44">
        <f t="shared" si="216"/>
        <v>95.126258581850564</v>
      </c>
      <c r="AS327" s="42" t="str">
        <f t="shared" si="217"/>
        <v>0.195460054893021-0.0166968928083818i</v>
      </c>
      <c r="AT327" s="20">
        <f t="shared" si="218"/>
        <v>-14.147263474439772</v>
      </c>
      <c r="AU327" s="44">
        <f t="shared" si="219"/>
        <v>-4.8825559095115079</v>
      </c>
    </row>
    <row r="328" spans="14:47" x14ac:dyDescent="0.3">
      <c r="N328" s="8">
        <v>10</v>
      </c>
      <c r="O328" s="35">
        <f t="shared" si="221"/>
        <v>12589.254117941671</v>
      </c>
      <c r="P328" s="34" t="str">
        <f t="shared" si="188"/>
        <v>545.10556621881</v>
      </c>
      <c r="Q328" s="4" t="str">
        <f t="shared" si="189"/>
        <v>1+1689.80779591075i</v>
      </c>
      <c r="R328" s="4">
        <f t="shared" si="197"/>
        <v>1689.8080918023638</v>
      </c>
      <c r="S328" s="4">
        <f t="shared" si="198"/>
        <v>1.5702045435839989</v>
      </c>
      <c r="T328" s="4" t="str">
        <f t="shared" si="190"/>
        <v>1+0.0395503082511006i</v>
      </c>
      <c r="U328" s="4">
        <f t="shared" si="199"/>
        <v>1.0007818078296373</v>
      </c>
      <c r="V328" s="4">
        <f t="shared" si="200"/>
        <v>3.9529705698757148E-2</v>
      </c>
      <c r="W328" t="str">
        <f t="shared" si="191"/>
        <v>1-0.0410848602112432i</v>
      </c>
      <c r="X328" s="4">
        <f t="shared" si="201"/>
        <v>1.0008436270160175</v>
      </c>
      <c r="Y328" s="4">
        <f t="shared" si="202"/>
        <v>-4.106176698294519E-2</v>
      </c>
      <c r="Z328" t="str">
        <f t="shared" si="192"/>
        <v>0.989856683568249+0.177915426352944i</v>
      </c>
      <c r="AA328" s="4">
        <f t="shared" si="203"/>
        <v>1.0057187245642205</v>
      </c>
      <c r="AB328" s="4">
        <f t="shared" si="204"/>
        <v>0.17783970271038654</v>
      </c>
      <c r="AC328" s="48" t="str">
        <f t="shared" si="205"/>
        <v>-0.057131448467128-0.316150966402232i</v>
      </c>
      <c r="AD328" s="20">
        <f t="shared" si="206"/>
        <v>-9.8625534872245471</v>
      </c>
      <c r="AE328" s="44">
        <f t="shared" si="207"/>
        <v>-100.2433383603346</v>
      </c>
      <c r="AF328" t="str">
        <f t="shared" si="193"/>
        <v>-0.0000333790427773504</v>
      </c>
      <c r="AG328" t="str">
        <f t="shared" si="194"/>
        <v>0.000428725341441931i</v>
      </c>
      <c r="AH328">
        <f t="shared" si="208"/>
        <v>4.2872534144193102E-4</v>
      </c>
      <c r="AI328">
        <f t="shared" si="209"/>
        <v>1.5707963267948966</v>
      </c>
      <c r="AJ328" t="str">
        <f t="shared" si="195"/>
        <v>1+9.87736111599442i</v>
      </c>
      <c r="AK328">
        <f t="shared" si="210"/>
        <v>9.9278528703722522</v>
      </c>
      <c r="AL328">
        <f t="shared" si="211"/>
        <v>1.4698985033755065</v>
      </c>
      <c r="AM328" t="str">
        <f t="shared" si="196"/>
        <v>1+74.3545795120693i</v>
      </c>
      <c r="AN328">
        <f t="shared" si="212"/>
        <v>74.361303743389513</v>
      </c>
      <c r="AO328">
        <f t="shared" si="213"/>
        <v>1.5573480668409971</v>
      </c>
      <c r="AP328" s="42" t="str">
        <f t="shared" si="214"/>
        <v>-0.0509319556076708+0.580929790430499i</v>
      </c>
      <c r="AQ328">
        <f t="shared" si="215"/>
        <v>-4.6842722735827955</v>
      </c>
      <c r="AR328" s="44">
        <f t="shared" si="216"/>
        <v>95.010490906834036</v>
      </c>
      <c r="AS328" s="42" t="str">
        <f t="shared" si="217"/>
        <v>0.186571331053578-0.0170871733988788i</v>
      </c>
      <c r="AT328" s="20">
        <f t="shared" si="218"/>
        <v>-14.546825760807348</v>
      </c>
      <c r="AU328" s="44">
        <f t="shared" si="219"/>
        <v>-5.2328474535005656</v>
      </c>
    </row>
    <row r="329" spans="14:47" x14ac:dyDescent="0.3">
      <c r="N329" s="8">
        <v>11</v>
      </c>
      <c r="O329" s="35">
        <f t="shared" si="221"/>
        <v>12882.49551693136</v>
      </c>
      <c r="P329" s="34" t="str">
        <f t="shared" si="188"/>
        <v>545.10556621881</v>
      </c>
      <c r="Q329" s="4" t="str">
        <f t="shared" si="189"/>
        <v>1+1729.16847585686i</v>
      </c>
      <c r="R329" s="4">
        <f t="shared" si="197"/>
        <v>1729.1687650131598</v>
      </c>
      <c r="S329" s="4">
        <f t="shared" si="198"/>
        <v>1.5702180142114321</v>
      </c>
      <c r="T329" s="4" t="str">
        <f t="shared" si="190"/>
        <v>1+0.040471553275895i</v>
      </c>
      <c r="U329" s="4">
        <f t="shared" si="199"/>
        <v>1.0008186382280075</v>
      </c>
      <c r="V329" s="4">
        <f t="shared" si="200"/>
        <v>4.0449478218470399E-2</v>
      </c>
      <c r="W329" t="str">
        <f t="shared" si="191"/>
        <v>1-0.0420418495429996i</v>
      </c>
      <c r="X329" s="4">
        <f t="shared" si="201"/>
        <v>1.0008833683866449</v>
      </c>
      <c r="Y329" s="4">
        <f t="shared" si="202"/>
        <v>-4.2017105882433341E-2</v>
      </c>
      <c r="Z329" t="str">
        <f t="shared" si="192"/>
        <v>0.9893786437924+0.18205960900561i</v>
      </c>
      <c r="AA329" s="4">
        <f t="shared" si="203"/>
        <v>1.0059899611943273</v>
      </c>
      <c r="AB329" s="4">
        <f t="shared" si="204"/>
        <v>0.18197831275837101</v>
      </c>
      <c r="AC329" s="48" t="str">
        <f t="shared" si="205"/>
        <v>-0.0571132449450679-0.308658362427932i</v>
      </c>
      <c r="AD329" s="20">
        <f t="shared" si="206"/>
        <v>-10.06423109773414</v>
      </c>
      <c r="AE329" s="44">
        <f t="shared" si="207"/>
        <v>-100.48327286268756</v>
      </c>
      <c r="AF329" t="str">
        <f t="shared" si="193"/>
        <v>-0.0000333790427773504</v>
      </c>
      <c r="AG329" t="str">
        <f t="shared" si="194"/>
        <v>0.000438711637510702i</v>
      </c>
      <c r="AH329">
        <f t="shared" si="208"/>
        <v>4.3871163751070199E-4</v>
      </c>
      <c r="AI329">
        <f t="shared" si="209"/>
        <v>1.5707963267948966</v>
      </c>
      <c r="AJ329" t="str">
        <f t="shared" si="195"/>
        <v>1+10.1074344122235i</v>
      </c>
      <c r="AK329">
        <f t="shared" si="210"/>
        <v>10.156782482528596</v>
      </c>
      <c r="AL329">
        <f t="shared" si="211"/>
        <v>1.4721801853286758</v>
      </c>
      <c r="AM329" t="str">
        <f t="shared" si="196"/>
        <v>1+76.0865201586828i</v>
      </c>
      <c r="AN329">
        <f t="shared" si="212"/>
        <v>76.093091341183168</v>
      </c>
      <c r="AO329">
        <f t="shared" si="213"/>
        <v>1.5576541509536348</v>
      </c>
      <c r="AP329" s="42" t="str">
        <f t="shared" si="214"/>
        <v>-0.0486618609206203+0.567930810499839i</v>
      </c>
      <c r="AQ329">
        <f t="shared" si="215"/>
        <v>-4.8823240097871512</v>
      </c>
      <c r="AR329" s="44">
        <f t="shared" si="216"/>
        <v>94.897297488556433</v>
      </c>
      <c r="AS329" s="42" t="str">
        <f t="shared" si="217"/>
        <v>0.178075830723491-0.0174164811874738i</v>
      </c>
      <c r="AT329" s="20">
        <f t="shared" si="218"/>
        <v>-14.946555107521275</v>
      </c>
      <c r="AU329" s="44">
        <f t="shared" si="219"/>
        <v>-5.5859753741311149</v>
      </c>
    </row>
    <row r="330" spans="14:47" x14ac:dyDescent="0.3">
      <c r="N330" s="8">
        <v>12</v>
      </c>
      <c r="O330" s="35">
        <f t="shared" si="221"/>
        <v>13182.567385564091</v>
      </c>
      <c r="P330" s="34" t="str">
        <f t="shared" si="188"/>
        <v>545.10556621881</v>
      </c>
      <c r="Q330" s="4" t="str">
        <f t="shared" si="189"/>
        <v>1+1769.44598381711i</v>
      </c>
      <c r="R330" s="4">
        <f t="shared" si="197"/>
        <v>1769.4462663914098</v>
      </c>
      <c r="S330" s="4">
        <f t="shared" si="198"/>
        <v>1.5702311782101523</v>
      </c>
      <c r="T330" s="4" t="str">
        <f t="shared" si="190"/>
        <v>1+0.0414142568539405i</v>
      </c>
      <c r="U330" s="4">
        <f t="shared" si="199"/>
        <v>1.0008572029369445</v>
      </c>
      <c r="V330" s="4">
        <f t="shared" si="200"/>
        <v>4.1390604097762747E-2</v>
      </c>
      <c r="W330" t="str">
        <f t="shared" si="191"/>
        <v>1-0.0430211300198733i</v>
      </c>
      <c r="X330" s="4">
        <f t="shared" si="201"/>
        <v>1.0009249810191505</v>
      </c>
      <c r="Y330" s="4">
        <f t="shared" si="202"/>
        <v>-4.2994618033021507E-2</v>
      </c>
      <c r="Z330" t="str">
        <f t="shared" si="192"/>
        <v>0.988878074696004+0.186300322072815i</v>
      </c>
      <c r="AA330" s="4">
        <f t="shared" si="203"/>
        <v>1.0062741458563418</v>
      </c>
      <c r="AB330" s="4">
        <f t="shared" si="204"/>
        <v>0.18621303568378944</v>
      </c>
      <c r="AC330" s="48" t="str">
        <f t="shared" si="205"/>
        <v>-0.0570933950581577-0.301329577389565i</v>
      </c>
      <c r="AD330" s="20">
        <f t="shared" si="206"/>
        <v>-10.265988580315293</v>
      </c>
      <c r="AE330" s="44">
        <f t="shared" si="207"/>
        <v>-100.72874363506702</v>
      </c>
      <c r="AF330" t="str">
        <f t="shared" si="193"/>
        <v>-0.0000333790427773504</v>
      </c>
      <c r="AG330" t="str">
        <f t="shared" si="194"/>
        <v>0.000448930544296716i</v>
      </c>
      <c r="AH330">
        <f t="shared" si="208"/>
        <v>4.4893054429671599E-4</v>
      </c>
      <c r="AI330">
        <f t="shared" si="209"/>
        <v>1.5707963267948966</v>
      </c>
      <c r="AJ330" t="str">
        <f t="shared" si="195"/>
        <v>1+10.3428668039657i</v>
      </c>
      <c r="AK330">
        <f t="shared" si="210"/>
        <v>10.391096848965255</v>
      </c>
      <c r="AL330">
        <f t="shared" si="211"/>
        <v>1.4744109257173179</v>
      </c>
      <c r="AM330" t="str">
        <f t="shared" si="196"/>
        <v>1+77.8588028854084i</v>
      </c>
      <c r="AN330">
        <f t="shared" si="212"/>
        <v>77.86522450201295</v>
      </c>
      <c r="AO330">
        <f t="shared" si="213"/>
        <v>1.5579532701208958</v>
      </c>
      <c r="AP330" s="42" t="str">
        <f t="shared" si="214"/>
        <v>-0.0464920002324098+0.555212919912538i</v>
      </c>
      <c r="AQ330">
        <f t="shared" si="215"/>
        <v>-5.0804625864454644</v>
      </c>
      <c r="AR330" s="44">
        <f t="shared" si="216"/>
        <v>94.786623744953374</v>
      </c>
      <c r="AS330" s="42" t="str">
        <f t="shared" si="217"/>
        <v>0.169956460654784-0.0176895757959322i</v>
      </c>
      <c r="AT330" s="20">
        <f t="shared" si="218"/>
        <v>-15.346451166760778</v>
      </c>
      <c r="AU330" s="44">
        <f t="shared" si="219"/>
        <v>-5.9421198901136671</v>
      </c>
    </row>
    <row r="331" spans="14:47" x14ac:dyDescent="0.3">
      <c r="N331" s="8">
        <v>13</v>
      </c>
      <c r="O331" s="35">
        <f t="shared" si="221"/>
        <v>13489.628825916556</v>
      </c>
      <c r="P331" s="34" t="str">
        <f t="shared" si="188"/>
        <v>545.10556621881</v>
      </c>
      <c r="Q331" s="4" t="str">
        <f t="shared" si="189"/>
        <v>1+1810.66167545938i</v>
      </c>
      <c r="R331" s="4">
        <f t="shared" si="197"/>
        <v>1810.6619516015044</v>
      </c>
      <c r="S331" s="4">
        <f t="shared" si="198"/>
        <v>1.5702440425598676</v>
      </c>
      <c r="T331" s="4" t="str">
        <f t="shared" si="190"/>
        <v>1+0.0423789188191526i</v>
      </c>
      <c r="U331" s="4">
        <f t="shared" si="199"/>
        <v>1.0008975835520237</v>
      </c>
      <c r="V331" s="4">
        <f t="shared" si="200"/>
        <v>4.2353575661654923E-2</v>
      </c>
      <c r="W331" t="str">
        <f t="shared" si="191"/>
        <v>1-0.0440232208693355i</v>
      </c>
      <c r="X331" s="4">
        <f t="shared" si="201"/>
        <v>1.0009685529404559</v>
      </c>
      <c r="Y331" s="4">
        <f t="shared" si="202"/>
        <v>-4.3994814247996221E-2</v>
      </c>
      <c r="Z331" t="str">
        <f t="shared" si="192"/>
        <v>0.988353914504896+0.190639814036759i</v>
      </c>
      <c r="AA331" s="4">
        <f t="shared" si="203"/>
        <v>1.0065719045419066</v>
      </c>
      <c r="AB331" s="4">
        <f t="shared" si="204"/>
        <v>0.19054608781728613</v>
      </c>
      <c r="AC331" s="48" t="str">
        <f t="shared" si="205"/>
        <v>-0.0570718572003212-0.294160737444785i</v>
      </c>
      <c r="AD331" s="20">
        <f t="shared" si="206"/>
        <v>-10.46782977411684</v>
      </c>
      <c r="AE331" s="44">
        <f t="shared" si="207"/>
        <v>-100.97987912307225</v>
      </c>
      <c r="AF331" t="str">
        <f t="shared" si="193"/>
        <v>-0.0000333790427773504</v>
      </c>
      <c r="AG331" t="str">
        <f t="shared" si="194"/>
        <v>0.000459387479999614i</v>
      </c>
      <c r="AH331">
        <f t="shared" si="208"/>
        <v>4.5938747999961401E-4</v>
      </c>
      <c r="AI331">
        <f t="shared" si="209"/>
        <v>1.5707963267948966</v>
      </c>
      <c r="AJ331" t="str">
        <f t="shared" si="195"/>
        <v>1+10.5837831205913i</v>
      </c>
      <c r="AK331">
        <f t="shared" si="210"/>
        <v>10.630920239739988</v>
      </c>
      <c r="AL331">
        <f t="shared" si="211"/>
        <v>1.4765918184557758</v>
      </c>
      <c r="AM331" t="str">
        <f t="shared" si="196"/>
        <v>1+79.672367380007i</v>
      </c>
      <c r="AN331">
        <f t="shared" si="212"/>
        <v>79.678642834418326</v>
      </c>
      <c r="AO331">
        <f t="shared" si="213"/>
        <v>1.5582455827254964</v>
      </c>
      <c r="AP331" s="42" t="str">
        <f t="shared" si="214"/>
        <v>-0.0444180303971988+0.54277068821971i</v>
      </c>
      <c r="AQ331">
        <f t="shared" si="215"/>
        <v>-5.2786841688456674</v>
      </c>
      <c r="AR331" s="44">
        <f t="shared" si="216"/>
        <v>94.678416074011096</v>
      </c>
      <c r="AS331" s="42" t="str">
        <f t="shared" si="217"/>
        <v>0.162196845398072-0.0179108906331105i</v>
      </c>
      <c r="AT331" s="20">
        <f t="shared" si="218"/>
        <v>-15.746513942962498</v>
      </c>
      <c r="AU331" s="44">
        <f t="shared" si="219"/>
        <v>-6.3014630490611561</v>
      </c>
    </row>
    <row r="332" spans="14:47" x14ac:dyDescent="0.3">
      <c r="N332" s="8">
        <v>14</v>
      </c>
      <c r="O332" s="35">
        <f t="shared" si="221"/>
        <v>13803.842646028841</v>
      </c>
      <c r="P332" s="34" t="str">
        <f t="shared" si="188"/>
        <v>545.10556621881</v>
      </c>
      <c r="Q332" s="4" t="str">
        <f t="shared" si="189"/>
        <v>1+1852.83740388891i</v>
      </c>
      <c r="R332" s="4">
        <f t="shared" si="197"/>
        <v>1852.8376737452732</v>
      </c>
      <c r="S332" s="4">
        <f t="shared" si="198"/>
        <v>1.5702566140814094</v>
      </c>
      <c r="T332" s="4" t="str">
        <f t="shared" si="190"/>
        <v>1+0.0433660506480737i</v>
      </c>
      <c r="U332" s="4">
        <f t="shared" si="199"/>
        <v>1.0009398655008257</v>
      </c>
      <c r="V332" s="4">
        <f t="shared" si="200"/>
        <v>4.3338896342527272E-2</v>
      </c>
      <c r="W332" t="str">
        <f t="shared" si="191"/>
        <v>1-0.0450486534132188i</v>
      </c>
      <c r="X332" s="4">
        <f t="shared" si="201"/>
        <v>1.0010141763103779</v>
      </c>
      <c r="Y332" s="4">
        <f t="shared" si="202"/>
        <v>-4.5018216835361058E-2</v>
      </c>
      <c r="Z332" t="str">
        <f t="shared" si="192"/>
        <v>0.987805051405035+0.195080385753521i</v>
      </c>
      <c r="AA332" s="4">
        <f t="shared" si="203"/>
        <v>1.006883894243545</v>
      </c>
      <c r="AB332" s="4">
        <f t="shared" si="204"/>
        <v>0.19497973528931742</v>
      </c>
      <c r="AC332" s="48" t="str">
        <f t="shared" si="205"/>
        <v>-0.0570485862404901-0.287148054428643i</v>
      </c>
      <c r="AD332" s="20">
        <f t="shared" si="206"/>
        <v>-10.669758706157834</v>
      </c>
      <c r="AE332" s="44">
        <f t="shared" si="207"/>
        <v>-101.23681063871273</v>
      </c>
      <c r="AF332" t="str">
        <f t="shared" si="193"/>
        <v>-0.0000333790427773504</v>
      </c>
      <c r="AG332" t="str">
        <f t="shared" si="194"/>
        <v>0.000470087989025119i</v>
      </c>
      <c r="AH332">
        <f t="shared" si="208"/>
        <v>4.7008798902511902E-4</v>
      </c>
      <c r="AI332">
        <f t="shared" si="209"/>
        <v>1.5707963267948966</v>
      </c>
      <c r="AJ332" t="str">
        <f t="shared" si="195"/>
        <v>1+10.8303110991204i</v>
      </c>
      <c r="AK332">
        <f t="shared" si="210"/>
        <v>10.876379843667218</v>
      </c>
      <c r="AL332">
        <f t="shared" si="211"/>
        <v>1.4787239368528278</v>
      </c>
      <c r="AM332" t="str">
        <f t="shared" si="196"/>
        <v>1+81.5281752183788i</v>
      </c>
      <c r="AN332">
        <f t="shared" si="212"/>
        <v>81.534307836877318</v>
      </c>
      <c r="AO332">
        <f t="shared" si="213"/>
        <v>1.558531243555517</v>
      </c>
      <c r="AP332" s="42" t="str">
        <f t="shared" si="214"/>
        <v>-0.0424357892449189+0.530598746138555i</v>
      </c>
      <c r="AQ332">
        <f t="shared" si="215"/>
        <v>-5.4769850884633788</v>
      </c>
      <c r="AR332" s="44">
        <f t="shared" si="216"/>
        <v>94.572621848370218</v>
      </c>
      <c r="AS332" s="42" t="str">
        <f t="shared" si="217"/>
        <v>0.154781299418386-0.0180845540083589i</v>
      </c>
      <c r="AT332" s="20">
        <f t="shared" si="218"/>
        <v>-16.146743794621187</v>
      </c>
      <c r="AU332" s="44">
        <f t="shared" si="219"/>
        <v>-6.6641887903425037</v>
      </c>
    </row>
    <row r="333" spans="14:47" x14ac:dyDescent="0.3">
      <c r="N333" s="8">
        <v>15</v>
      </c>
      <c r="O333" s="35">
        <f t="shared" si="221"/>
        <v>14125.375446227561</v>
      </c>
      <c r="P333" s="34" t="str">
        <f t="shared" si="188"/>
        <v>545.10556621881</v>
      </c>
      <c r="Q333" s="4" t="str">
        <f t="shared" si="189"/>
        <v>1+1895.99553123519i</v>
      </c>
      <c r="R333" s="4">
        <f t="shared" si="197"/>
        <v>1895.9957949488733</v>
      </c>
      <c r="S333" s="4">
        <f t="shared" si="198"/>
        <v>1.5702688994403491</v>
      </c>
      <c r="T333" s="4" t="str">
        <f t="shared" si="190"/>
        <v>1+0.0443761757310661i</v>
      </c>
      <c r="U333" s="4">
        <f t="shared" si="199"/>
        <v>1.0009841382222369</v>
      </c>
      <c r="V333" s="4">
        <f t="shared" si="200"/>
        <v>4.4347080913245421E-2</v>
      </c>
      <c r="W333" t="str">
        <f t="shared" si="191"/>
        <v>1-0.0460979713494314i</v>
      </c>
      <c r="X333" s="4">
        <f t="shared" si="201"/>
        <v>1.0010619476148981</v>
      </c>
      <c r="Y333" s="4">
        <f t="shared" si="202"/>
        <v>-4.6065359836924058E-2</v>
      </c>
      <c r="Z333" t="str">
        <f t="shared" si="192"/>
        <v>0.987230321184199+0.199624391673005i</v>
      </c>
      <c r="AA333" s="4">
        <f t="shared" si="203"/>
        <v>1.0072108045569577</v>
      </c>
      <c r="AB333" s="4">
        <f t="shared" si="204"/>
        <v>0.19951629503332333</v>
      </c>
      <c r="AC333" s="48" t="str">
        <f t="shared" si="205"/>
        <v>-0.0570235334332722-0.280287823909943i</v>
      </c>
      <c r="AD333" s="20">
        <f t="shared" si="206"/>
        <v>-10.87177960080192</v>
      </c>
      <c r="AE333" s="44">
        <f t="shared" si="207"/>
        <v>-101.49967241843407</v>
      </c>
      <c r="AF333" t="str">
        <f t="shared" si="193"/>
        <v>-0.0000333790427773504</v>
      </c>
      <c r="AG333" t="str">
        <f t="shared" si="194"/>
        <v>0.000481037744924757i</v>
      </c>
      <c r="AH333">
        <f t="shared" si="208"/>
        <v>4.8103774492475699E-4</v>
      </c>
      <c r="AI333">
        <f t="shared" si="209"/>
        <v>1.5707963267948966</v>
      </c>
      <c r="AJ333" t="str">
        <f t="shared" si="195"/>
        <v>1+11.0825814519504i</v>
      </c>
      <c r="AK333">
        <f t="shared" si="210"/>
        <v>11.127605835898171</v>
      </c>
      <c r="AL333">
        <f t="shared" si="211"/>
        <v>1.4808083338034184</v>
      </c>
      <c r="AM333" t="str">
        <f t="shared" si="196"/>
        <v>1+83.4272103744046i</v>
      </c>
      <c r="AN333">
        <f t="shared" si="212"/>
        <v>83.433203407607223</v>
      </c>
      <c r="AO333">
        <f t="shared" si="213"/>
        <v>1.5588104038855193</v>
      </c>
      <c r="AP333" s="42" t="str">
        <f t="shared" si="214"/>
        <v>-0.0405412886741519+0.518691788098059i</v>
      </c>
      <c r="AQ333">
        <f t="shared" si="215"/>
        <v>-5.6753618360339919</v>
      </c>
      <c r="AR333" s="44">
        <f t="shared" si="216"/>
        <v>94.469189408988058</v>
      </c>
      <c r="AS333" s="42" t="str">
        <f t="shared" si="217"/>
        <v>0.147694800096101-0.0182144089391906i</v>
      </c>
      <c r="AT333" s="20">
        <f t="shared" si="218"/>
        <v>-16.547141436835894</v>
      </c>
      <c r="AU333" s="44">
        <f t="shared" si="219"/>
        <v>-7.0304830094460282</v>
      </c>
    </row>
    <row r="334" spans="14:47" x14ac:dyDescent="0.3">
      <c r="N334" s="8">
        <v>16</v>
      </c>
      <c r="O334" s="35">
        <f t="shared" si="221"/>
        <v>14454.397707459291</v>
      </c>
      <c r="P334" s="34" t="str">
        <f t="shared" si="188"/>
        <v>545.10556621881</v>
      </c>
      <c r="Q334" s="4" t="str">
        <f t="shared" si="189"/>
        <v>1+1940.15894050859i</v>
      </c>
      <c r="R334" s="4">
        <f t="shared" si="197"/>
        <v>1940.1591982194179</v>
      </c>
      <c r="S334" s="4">
        <f t="shared" si="198"/>
        <v>1.5702809051505313</v>
      </c>
      <c r="T334" s="4" t="str">
        <f t="shared" si="190"/>
        <v>1+0.0454098296498193i</v>
      </c>
      <c r="U334" s="4">
        <f t="shared" si="199"/>
        <v>1.0010304953540754</v>
      </c>
      <c r="V334" s="4">
        <f t="shared" si="200"/>
        <v>4.5378655723903712E-2</v>
      </c>
      <c r="W334" t="str">
        <f t="shared" si="191"/>
        <v>1-0.0471717310402321i</v>
      </c>
      <c r="X334" s="4">
        <f t="shared" si="201"/>
        <v>1.001111967868396</v>
      </c>
      <c r="Y334" s="4">
        <f t="shared" si="202"/>
        <v>-4.7136789270928799E-2</v>
      </c>
      <c r="Z334" t="str">
        <f t="shared" si="192"/>
        <v>0.986628504762534+0.204274241087294i</v>
      </c>
      <c r="AA334" s="4">
        <f t="shared" si="203"/>
        <v>1.0075533593719708</v>
      </c>
      <c r="AB334" s="4">
        <f t="shared" si="204"/>
        <v>0.20415813579796016</v>
      </c>
      <c r="AC334" s="48" t="str">
        <f t="shared" si="205"/>
        <v>-0.0569966463227354-0.273576423296915i</v>
      </c>
      <c r="AD334" s="20">
        <f t="shared" si="206"/>
        <v>-11.073896889729472</v>
      </c>
      <c r="AE334" s="44">
        <f t="shared" si="207"/>
        <v>-101.7686016816549</v>
      </c>
      <c r="AF334" t="str">
        <f t="shared" si="193"/>
        <v>-0.0000333790427773504</v>
      </c>
      <c r="AG334" t="str">
        <f t="shared" si="194"/>
        <v>0.000492242553404041i</v>
      </c>
      <c r="AH334">
        <f t="shared" si="208"/>
        <v>4.9224255340404096E-4</v>
      </c>
      <c r="AI334">
        <f t="shared" si="209"/>
        <v>1.5707963267948966</v>
      </c>
      <c r="AJ334" t="str">
        <f t="shared" si="195"/>
        <v>1+11.3407279361615i</v>
      </c>
      <c r="AK334">
        <f t="shared" si="210"/>
        <v>11.384731447075678</v>
      </c>
      <c r="AL334">
        <f t="shared" si="211"/>
        <v>1.4828460419935408</v>
      </c>
      <c r="AM334" t="str">
        <f t="shared" si="196"/>
        <v>1+85.3704797416604i</v>
      </c>
      <c r="AN334">
        <f t="shared" si="212"/>
        <v>85.376336366239386</v>
      </c>
      <c r="AO334">
        <f t="shared" si="213"/>
        <v>1.5590832115558648</v>
      </c>
      <c r="AP334" s="42" t="str">
        <f t="shared" si="214"/>
        <v>-0.0387307079516795+0.507044574488159i</v>
      </c>
      <c r="AQ334">
        <f t="shared" si="215"/>
        <v>-5.8738110548903748</v>
      </c>
      <c r="AR334" s="44">
        <f t="shared" si="216"/>
        <v>94.368068057944384</v>
      </c>
      <c r="AS334" s="42" t="str">
        <f t="shared" si="217"/>
        <v>0.140922961603528-0.0183040317287856i</v>
      </c>
      <c r="AT334" s="20">
        <f t="shared" si="218"/>
        <v>-16.947707944619832</v>
      </c>
      <c r="AU334" s="44">
        <f t="shared" si="219"/>
        <v>-7.4005336237105031</v>
      </c>
    </row>
    <row r="335" spans="14:47" x14ac:dyDescent="0.3">
      <c r="N335" s="8">
        <v>17</v>
      </c>
      <c r="O335" s="35">
        <f t="shared" si="221"/>
        <v>14791.083881682089</v>
      </c>
      <c r="P335" s="34" t="str">
        <f t="shared" si="188"/>
        <v>545.10556621881</v>
      </c>
      <c r="Q335" s="4" t="str">
        <f t="shared" si="189"/>
        <v>1+1985.35104773329i</v>
      </c>
      <c r="R335" s="4">
        <f t="shared" si="197"/>
        <v>1985.3512995779042</v>
      </c>
      <c r="S335" s="4">
        <f t="shared" si="198"/>
        <v>1.5702926375775292</v>
      </c>
      <c r="T335" s="4" t="str">
        <f t="shared" si="190"/>
        <v>1+0.0464675604613229i</v>
      </c>
      <c r="U335" s="4">
        <f t="shared" si="199"/>
        <v>1.0010790349294238</v>
      </c>
      <c r="V335" s="4">
        <f t="shared" si="200"/>
        <v>4.6434158942148057E-2</v>
      </c>
      <c r="W335" t="str">
        <f t="shared" si="191"/>
        <v>1-0.048270501807222i</v>
      </c>
      <c r="X335" s="4">
        <f t="shared" si="201"/>
        <v>1.001164342825253</v>
      </c>
      <c r="Y335" s="4">
        <f t="shared" si="202"/>
        <v>-4.823306337817309E-2</v>
      </c>
      <c r="Z335" t="str">
        <f t="shared" si="192"/>
        <v>0.985998325606723+0.209032399408098i</v>
      </c>
      <c r="AA335" s="4">
        <f t="shared" si="203"/>
        <v>1.007912318657515</v>
      </c>
      <c r="AB335" s="4">
        <f t="shared" si="204"/>
        <v>0.20890767916725272</v>
      </c>
      <c r="AC335" s="48" t="str">
        <f t="shared" si="205"/>
        <v>-0.0569678686391794-0.267010309991484i</v>
      </c>
      <c r="AD335" s="20">
        <f t="shared" si="206"/>
        <v>-11.276115222437832</v>
      </c>
      <c r="AE335" s="44">
        <f t="shared" si="207"/>
        <v>-102.04373868974683</v>
      </c>
      <c r="AF335" t="str">
        <f t="shared" si="193"/>
        <v>-0.0000333790427773504</v>
      </c>
      <c r="AG335" t="str">
        <f t="shared" si="194"/>
        <v>0.00050370835540074i</v>
      </c>
      <c r="AH335">
        <f t="shared" si="208"/>
        <v>5.0370835540074004E-4</v>
      </c>
      <c r="AI335">
        <f t="shared" si="209"/>
        <v>1.5707963267948966</v>
      </c>
      <c r="AJ335" t="str">
        <f t="shared" si="195"/>
        <v>1+11.6048874244366i</v>
      </c>
      <c r="AK335">
        <f t="shared" si="210"/>
        <v>11.647893034100491</v>
      </c>
      <c r="AL335">
        <f t="shared" si="211"/>
        <v>1.4848380741169025</v>
      </c>
      <c r="AM335" t="str">
        <f t="shared" si="196"/>
        <v>1+87.3590136672872i</v>
      </c>
      <c r="AN335">
        <f t="shared" si="212"/>
        <v>87.364736987650076</v>
      </c>
      <c r="AO335">
        <f t="shared" si="213"/>
        <v>1.5593498110502706</v>
      </c>
      <c r="AP335" s="42" t="str">
        <f t="shared" si="214"/>
        <v>-0.0370003872179838+0.495651933632604i</v>
      </c>
      <c r="AQ335">
        <f t="shared" si="215"/>
        <v>-6.0723295345565829</v>
      </c>
      <c r="AR335" s="44">
        <f t="shared" si="216"/>
        <v>94.26920805047105</v>
      </c>
      <c r="AS335" s="42" t="str">
        <f t="shared" si="217"/>
        <v>0.134452009645753-0.0183567493850587i</v>
      </c>
      <c r="AT335" s="20">
        <f t="shared" si="218"/>
        <v>-17.348444756994411</v>
      </c>
      <c r="AU335" s="44">
        <f t="shared" si="219"/>
        <v>-7.7745306392757891</v>
      </c>
    </row>
    <row r="336" spans="14:47" x14ac:dyDescent="0.3">
      <c r="N336" s="8">
        <v>18</v>
      </c>
      <c r="O336" s="35">
        <f t="shared" si="221"/>
        <v>15135.612484362096</v>
      </c>
      <c r="P336" s="34" t="str">
        <f t="shared" si="188"/>
        <v>545.10556621881</v>
      </c>
      <c r="Q336" s="4" t="str">
        <f t="shared" si="189"/>
        <v>1+2031.59581436273i</v>
      </c>
      <c r="R336" s="4">
        <f t="shared" si="197"/>
        <v>2031.5960604746615</v>
      </c>
      <c r="S336" s="4">
        <f t="shared" si="198"/>
        <v>1.5703041029420175</v>
      </c>
      <c r="T336" s="4" t="str">
        <f t="shared" si="190"/>
        <v>1+0.0475499289884539i</v>
      </c>
      <c r="U336" s="4">
        <f t="shared" si="199"/>
        <v>1.0011298595820659</v>
      </c>
      <c r="V336" s="4">
        <f t="shared" si="200"/>
        <v>4.7514140797024249E-2</v>
      </c>
      <c r="W336" t="str">
        <f t="shared" si="191"/>
        <v>1-0.0493948662332058i</v>
      </c>
      <c r="X336" s="4">
        <f t="shared" si="201"/>
        <v>1.0012191832012591</v>
      </c>
      <c r="Y336" s="4">
        <f t="shared" si="202"/>
        <v>-4.9354752871541466E-2</v>
      </c>
      <c r="Z336" t="str">
        <f t="shared" si="192"/>
        <v>0.985338447022286+0.213901389473938i</v>
      </c>
      <c r="AA336" s="4">
        <f t="shared" si="203"/>
        <v>1.0082884803463599</v>
      </c>
      <c r="AB336" s="4">
        <f t="shared" si="204"/>
        <v>0.21376740058729951</v>
      </c>
      <c r="AC336" s="48" t="str">
        <f t="shared" si="205"/>
        <v>-0.0569371401887935-0.26058601959163i</v>
      </c>
      <c r="AD336" s="20">
        <f t="shared" si="206"/>
        <v>-11.478439477296664</v>
      </c>
      <c r="AE336" s="44">
        <f t="shared" si="207"/>
        <v>-102.32522680537969</v>
      </c>
      <c r="AF336" t="str">
        <f t="shared" si="193"/>
        <v>-0.0000333790427773504</v>
      </c>
      <c r="AG336" t="str">
        <f t="shared" si="194"/>
        <v>0.000515441230234841i</v>
      </c>
      <c r="AH336">
        <f t="shared" si="208"/>
        <v>5.1544123023484101E-4</v>
      </c>
      <c r="AI336">
        <f t="shared" si="209"/>
        <v>1.5707963267948966</v>
      </c>
      <c r="AJ336" t="str">
        <f t="shared" si="195"/>
        <v>1+11.8751999776331i</v>
      </c>
      <c r="AK336">
        <f t="shared" si="210"/>
        <v>11.917230152547075</v>
      </c>
      <c r="AL336">
        <f t="shared" si="211"/>
        <v>1.486785423102102</v>
      </c>
      <c r="AM336" t="str">
        <f t="shared" si="196"/>
        <v>1+89.3938664982936i</v>
      </c>
      <c r="AN336">
        <f t="shared" si="212"/>
        <v>89.399459548225124</v>
      </c>
      <c r="AO336">
        <f t="shared" si="213"/>
        <v>1.5596103435716411</v>
      </c>
      <c r="AP336" s="42" t="str">
        <f t="shared" si="214"/>
        <v>-0.0353468211973148+0.484508763504472i</v>
      </c>
      <c r="AQ336">
        <f t="shared" si="215"/>
        <v>-6.2709142045909863</v>
      </c>
      <c r="AR336" s="44">
        <f t="shared" si="216"/>
        <v>94.172560586280483</v>
      </c>
      <c r="AS336" s="42" t="str">
        <f t="shared" si="217"/>
        <v>0.128268757052632-0.0183756559493278i</v>
      </c>
      <c r="AT336" s="20">
        <f t="shared" si="218"/>
        <v>-17.749353681887683</v>
      </c>
      <c r="AU336" s="44">
        <f t="shared" si="219"/>
        <v>-8.1526662190992294</v>
      </c>
    </row>
    <row r="337" spans="14:47" x14ac:dyDescent="0.3">
      <c r="N337" s="8">
        <v>19</v>
      </c>
      <c r="O337" s="35">
        <f t="shared" si="221"/>
        <v>15488.166189124853</v>
      </c>
      <c r="P337" s="34" t="str">
        <f t="shared" si="188"/>
        <v>545.10556621881</v>
      </c>
      <c r="Q337" s="4" t="str">
        <f t="shared" si="189"/>
        <v>1+2078.9177599843i</v>
      </c>
      <c r="R337" s="4">
        <f t="shared" si="197"/>
        <v>2078.9180004940404</v>
      </c>
      <c r="S337" s="4">
        <f t="shared" si="198"/>
        <v>1.5703153073230725</v>
      </c>
      <c r="T337" s="4" t="str">
        <f t="shared" si="190"/>
        <v>1+0.0486575091173324i</v>
      </c>
      <c r="U337" s="4">
        <f t="shared" si="199"/>
        <v>1.0011830767614398</v>
      </c>
      <c r="V337" s="4">
        <f t="shared" si="200"/>
        <v>4.8619163826288538E-2</v>
      </c>
      <c r="W337" t="str">
        <f t="shared" si="191"/>
        <v>1-0.0505454204710848i</v>
      </c>
      <c r="X337" s="4">
        <f t="shared" si="201"/>
        <v>1.0012766049052573</v>
      </c>
      <c r="Y337" s="4">
        <f t="shared" si="202"/>
        <v>-5.0502441188871317E-2</v>
      </c>
      <c r="Z337" t="str">
        <f t="shared" si="192"/>
        <v>0.984647469318275+0.218883792887797i</v>
      </c>
      <c r="AA337" s="4">
        <f t="shared" si="203"/>
        <v>1.0086826823257307</v>
      </c>
      <c r="AB337" s="4">
        <f t="shared" si="204"/>
        <v>0.21873983039805431</v>
      </c>
      <c r="AC337" s="48" t="str">
        <f t="shared" si="205"/>
        <v>-0.0569043967360811-0.254300164141254i</v>
      </c>
      <c r="AD337" s="20">
        <f t="shared" si="206"/>
        <v>-11.680874773191247</v>
      </c>
      <c r="AE337" s="44">
        <f t="shared" si="207"/>
        <v>-102.6132125521453</v>
      </c>
      <c r="AF337" t="str">
        <f t="shared" si="193"/>
        <v>-0.0000333790427773504</v>
      </c>
      <c r="AG337" t="str">
        <f t="shared" si="194"/>
        <v>0.000527447398831884i</v>
      </c>
      <c r="AH337">
        <f t="shared" si="208"/>
        <v>5.2744739883188398E-4</v>
      </c>
      <c r="AI337">
        <f t="shared" si="209"/>
        <v>1.5707963267948966</v>
      </c>
      <c r="AJ337" t="str">
        <f t="shared" si="195"/>
        <v>1+12.1518089190445i</v>
      </c>
      <c r="AK337">
        <f t="shared" si="210"/>
        <v>12.192885630767208</v>
      </c>
      <c r="AL337">
        <f t="shared" si="211"/>
        <v>1.48868906234913</v>
      </c>
      <c r="AM337" t="str">
        <f t="shared" si="196"/>
        <v>1+91.4761171405852i</v>
      </c>
      <c r="AN337">
        <f t="shared" si="212"/>
        <v>91.481582884852102</v>
      </c>
      <c r="AO337">
        <f t="shared" si="213"/>
        <v>1.5598649471162132</v>
      </c>
      <c r="AP337" s="42" t="str">
        <f t="shared" si="214"/>
        <v>-0.0337666531103896+0.473610033202434i</v>
      </c>
      <c r="AQ337">
        <f t="shared" si="215"/>
        <v>-6.4695621286691001</v>
      </c>
      <c r="AR337" s="44">
        <f t="shared" si="216"/>
        <v>94.078077800263344</v>
      </c>
      <c r="AS337" s="42" t="str">
        <f t="shared" si="217"/>
        <v>0.122360580207367-0.018363627799067i</v>
      </c>
      <c r="AT337" s="20">
        <f t="shared" si="218"/>
        <v>-18.150436901860342</v>
      </c>
      <c r="AU337" s="44">
        <f t="shared" si="219"/>
        <v>-8.5351347518819694</v>
      </c>
    </row>
    <row r="338" spans="14:47" x14ac:dyDescent="0.3">
      <c r="N338" s="8">
        <v>20</v>
      </c>
      <c r="O338" s="35">
        <f t="shared" si="221"/>
        <v>15848.931924611146</v>
      </c>
      <c r="P338" s="34" t="str">
        <f t="shared" si="188"/>
        <v>545.10556621881</v>
      </c>
      <c r="Q338" s="4" t="str">
        <f t="shared" si="189"/>
        <v>1+2127.34197531993i</v>
      </c>
      <c r="R338" s="4">
        <f t="shared" si="197"/>
        <v>2127.342210355001</v>
      </c>
      <c r="S338" s="4">
        <f t="shared" si="198"/>
        <v>1.5703262566613938</v>
      </c>
      <c r="T338" s="4" t="str">
        <f t="shared" si="190"/>
        <v>1+0.0497908881016031i</v>
      </c>
      <c r="U338" s="4">
        <f t="shared" si="199"/>
        <v>1.0012387989575446</v>
      </c>
      <c r="V338" s="4">
        <f t="shared" si="200"/>
        <v>4.9749803127106161E-2</v>
      </c>
      <c r="W338" t="str">
        <f t="shared" si="191"/>
        <v>1-0.0517227745599452i</v>
      </c>
      <c r="X338" s="4">
        <f t="shared" si="201"/>
        <v>1.0013367292815034</v>
      </c>
      <c r="Y338" s="4">
        <f t="shared" si="202"/>
        <v>-5.1676724749057067E-2</v>
      </c>
      <c r="Z338" t="str">
        <f t="shared" si="192"/>
        <v>0.983923926838339+0.223982251385915i</v>
      </c>
      <c r="AA338" s="4">
        <f t="shared" si="203"/>
        <v>1.0090958045403222</v>
      </c>
      <c r="AB338" s="4">
        <f t="shared" si="204"/>
        <v>0.22382755486843628</v>
      </c>
      <c r="AC338" s="48" t="str">
        <f t="shared" si="205"/>
        <v>-0.0568695698789493-0.248149430427161i</v>
      </c>
      <c r="AD338" s="20">
        <f t="shared" si="206"/>
        <v>-11.883426481783857</v>
      </c>
      <c r="AE338" s="44">
        <f t="shared" si="207"/>
        <v>-102.90784567435966</v>
      </c>
      <c r="AF338" t="str">
        <f t="shared" si="193"/>
        <v>-0.0000333790427773504</v>
      </c>
      <c r="AG338" t="str">
        <f t="shared" si="194"/>
        <v>0.000539733227021378i</v>
      </c>
      <c r="AH338">
        <f t="shared" si="208"/>
        <v>5.3973322702137796E-4</v>
      </c>
      <c r="AI338">
        <f t="shared" si="209"/>
        <v>1.5707963267948966</v>
      </c>
      <c r="AJ338" t="str">
        <f t="shared" si="195"/>
        <v>1+12.434860910393i</v>
      </c>
      <c r="AK338">
        <f t="shared" si="210"/>
        <v>12.475005645722966</v>
      </c>
      <c r="AL338">
        <f t="shared" si="211"/>
        <v>1.4905499459741003</v>
      </c>
      <c r="AM338" t="str">
        <f t="shared" si="196"/>
        <v>1+93.6068696310141i</v>
      </c>
      <c r="AN338">
        <f t="shared" si="212"/>
        <v>93.612210966933532</v>
      </c>
      <c r="AO338">
        <f t="shared" si="213"/>
        <v>1.5601137565460468</v>
      </c>
      <c r="AP338" s="42" t="str">
        <f t="shared" si="214"/>
        <v>-0.0322566687872682+0.462950784204589i</v>
      </c>
      <c r="AQ338">
        <f t="shared" si="215"/>
        <v>-6.6682704989011672</v>
      </c>
      <c r="AR338" s="44">
        <f t="shared" si="216"/>
        <v>93.98571275262006</v>
      </c>
      <c r="AS338" s="42" t="str">
        <f t="shared" si="217"/>
        <v>0.116715396295836-0.0183233379857991i</v>
      </c>
      <c r="AT338" s="20">
        <f t="shared" si="218"/>
        <v>-18.551696980685019</v>
      </c>
      <c r="AU338" s="44">
        <f t="shared" si="219"/>
        <v>-8.9221329217396281</v>
      </c>
    </row>
    <row r="339" spans="14:47" x14ac:dyDescent="0.3">
      <c r="N339" s="8">
        <v>21</v>
      </c>
      <c r="O339" s="35">
        <f t="shared" si="221"/>
        <v>16218.100973589309</v>
      </c>
      <c r="P339" s="34" t="str">
        <f t="shared" ref="P339:P402" si="222">COMPLEX(Adc,0)</f>
        <v>545.10556621881</v>
      </c>
      <c r="Q339" s="4" t="str">
        <f t="shared" ref="Q339:Q402" si="223">IMSUM(COMPLEX(1,0),IMDIV(COMPLEX(0,2*PI()*O339),COMPLEX(wp_lf,0)))</f>
        <v>1+2176.89413552958i</v>
      </c>
      <c r="R339" s="4">
        <f t="shared" si="197"/>
        <v>2176.8943652146004</v>
      </c>
      <c r="S339" s="4">
        <f t="shared" si="198"/>
        <v>1.5703369567624552</v>
      </c>
      <c r="T339" s="4" t="str">
        <f t="shared" ref="T339:T402" si="224">IMSUM(COMPLEX(1,0),IMDIV(COMPLEX(0,2*PI()*O339),COMPLEX(wz_esr,0)))</f>
        <v>1+0.0509506668738055i</v>
      </c>
      <c r="U339" s="4">
        <f t="shared" si="199"/>
        <v>1.001297143936247</v>
      </c>
      <c r="V339" s="4">
        <f t="shared" si="200"/>
        <v>5.0906646610052467E-2</v>
      </c>
      <c r="W339" t="str">
        <f t="shared" ref="W339:W402" si="225">IMSUB(COMPLEX(1,0),IMDIV(COMPLEX(0,2*PI()*O339),COMPLEX(wz_rhp,0)))</f>
        <v>1-0.052927552748509i</v>
      </c>
      <c r="X339" s="4">
        <f t="shared" si="201"/>
        <v>1.0013996833632144</v>
      </c>
      <c r="Y339" s="4">
        <f t="shared" si="202"/>
        <v>-5.2878213211282721E-2</v>
      </c>
      <c r="Z339" t="str">
        <f t="shared" ref="Z339:Z402" si="226">IMSUM(COMPLEX(1,0),IMDIV(COMPLEX(0,2*PI()*O339),COMPLEX(Q*(wsl/2),0)),IMDIV(IMPOWER(COMPLEX(0,2*PI()*O339),2),IMPOWER(COMPLEX(wsl/2,0),2)))</f>
        <v>0.98316628485187+0.229199468238472i</v>
      </c>
      <c r="AA339" s="4">
        <f t="shared" si="203"/>
        <v>1.0095287712146823</v>
      </c>
      <c r="AB339" s="4">
        <f t="shared" si="204"/>
        <v>0.22903321723284484</v>
      </c>
      <c r="AC339" s="48" t="str">
        <f t="shared" si="205"/>
        <v>-0.0568325869163333-0.242130578322676i</v>
      </c>
      <c r="AD339" s="20">
        <f t="shared" si="206"/>
        <v>-12.086100240430353</v>
      </c>
      <c r="AE339" s="44">
        <f t="shared" si="207"/>
        <v>-103.20927919693072</v>
      </c>
      <c r="AF339" t="str">
        <f t="shared" ref="AF339:AF402" si="227">COMPLEX(Adc_ea,0)</f>
        <v>-0.0000333790427773504</v>
      </c>
      <c r="AG339" t="str">
        <f t="shared" ref="AG339:AG402" si="228">COMPLEX(0,2*PI()*O339*wp0_ea)</f>
        <v>0.000552305228912053i</v>
      </c>
      <c r="AH339">
        <f t="shared" si="208"/>
        <v>5.5230522891205295E-4</v>
      </c>
      <c r="AI339">
        <f t="shared" si="209"/>
        <v>1.5707963267948966</v>
      </c>
      <c r="AJ339" t="str">
        <f t="shared" ref="AJ339:AJ402" si="229">IMSUM(COMPLEX(1,0),IMDIV(COMPLEX(0,2*PI()*O339),COMPLEX(wp1_ea,0)))</f>
        <v>1+12.724506029591i</v>
      </c>
      <c r="AK339">
        <f t="shared" si="210"/>
        <v>12.763739800587354</v>
      </c>
      <c r="AL339">
        <f t="shared" si="211"/>
        <v>1.4923690090611681</v>
      </c>
      <c r="AM339" t="str">
        <f t="shared" ref="AM339:AM402" si="230">IMSUM(COMPLEX(1,0),IMDIV(COMPLEX(0,2*PI()*O339),COMPLEX(wz_ea,0)))</f>
        <v>1+95.7872537227546i</v>
      </c>
      <c r="AN339">
        <f t="shared" si="212"/>
        <v>95.792473481726987</v>
      </c>
      <c r="AO339">
        <f t="shared" si="213"/>
        <v>1.5603569036599019</v>
      </c>
      <c r="AP339" s="42" t="str">
        <f t="shared" si="214"/>
        <v>-0.0308137909775541+0.452526131416058i</v>
      </c>
      <c r="AQ339">
        <f t="shared" si="215"/>
        <v>-6.8670366303736907</v>
      </c>
      <c r="AR339" s="44">
        <f t="shared" si="216"/>
        <v>93.895419418487734</v>
      </c>
      <c r="AS339" s="42" t="str">
        <f t="shared" si="217"/>
        <v>0.111321641359847-0.018257269665906i</v>
      </c>
      <c r="AT339" s="20">
        <f t="shared" si="218"/>
        <v>-18.953136870804045</v>
      </c>
      <c r="AU339" s="44">
        <f t="shared" si="219"/>
        <v>-9.3138597784430264</v>
      </c>
    </row>
    <row r="340" spans="14:47" x14ac:dyDescent="0.3">
      <c r="N340" s="8">
        <v>22</v>
      </c>
      <c r="O340" s="35">
        <f t="shared" si="221"/>
        <v>16595.869074375616</v>
      </c>
      <c r="P340" s="34" t="str">
        <f t="shared" si="222"/>
        <v>545.10556621881</v>
      </c>
      <c r="Q340" s="4" t="str">
        <f t="shared" si="223"/>
        <v>1+2227.6005138245i</v>
      </c>
      <c r="R340" s="4">
        <f t="shared" ref="R340:R403" si="231">IMABS(Q340)</f>
        <v>2227.6007382812518</v>
      </c>
      <c r="S340" s="4">
        <f t="shared" ref="S340:S403" si="232">IMARGUMENT(Q340)</f>
        <v>1.5703474132995821</v>
      </c>
      <c r="T340" s="4" t="str">
        <f t="shared" si="224"/>
        <v>1+0.0521374603639965i</v>
      </c>
      <c r="U340" s="4">
        <f t="shared" ref="U340:U403" si="233">IMABS(T340)</f>
        <v>1.0013582349854657</v>
      </c>
      <c r="V340" s="4">
        <f t="shared" ref="V340:V403" si="234">IMARGUMENT(T340)</f>
        <v>5.2090295256315283E-2</v>
      </c>
      <c r="W340" t="str">
        <f t="shared" si="225"/>
        <v>1-0.0541603938261194i</v>
      </c>
      <c r="X340" s="4">
        <f t="shared" ref="X340:X403" si="235">IMABS(W340)</f>
        <v>1.0014656001378182</v>
      </c>
      <c r="Y340" s="4">
        <f t="shared" ref="Y340:Y403" si="236">IMARGUMENT(W340)</f>
        <v>-5.4107529737258672E-2</v>
      </c>
      <c r="Z340" t="str">
        <f t="shared" si="226"/>
        <v>0.982372936298636+0.234538209682904i</v>
      </c>
      <c r="AA340" s="4">
        <f t="shared" ref="AA340:AA403" si="237">IMABS(Z340)</f>
        <v>1.0099825532024134</v>
      </c>
      <c r="AB340" s="4">
        <f t="shared" ref="AB340:AB403" si="238">IMARGUMENT(Z340)</f>
        <v>0.23435951872689059</v>
      </c>
      <c r="AC340" s="48" t="str">
        <f t="shared" ref="AC340:AC403" si="239">(IMDIV(IMPRODUCT(P340,T340,W340),IMPRODUCT(Q340,Z340)))</f>
        <v>-0.0567933707082741-0.236240439177641i</v>
      </c>
      <c r="AD340" s="20">
        <f t="shared" ref="AD340:AD403" si="240">20*LOG(IMABS(AC340))</f>
        <v>-12.288901965785135</v>
      </c>
      <c r="AE340" s="44">
        <f t="shared" ref="AE340:AE403" si="241">(180/PI())*IMARGUMENT(AC340)</f>
        <v>-103.51766948516634</v>
      </c>
      <c r="AF340" t="str">
        <f t="shared" si="227"/>
        <v>-0.0000333790427773504</v>
      </c>
      <c r="AG340" t="str">
        <f t="shared" si="228"/>
        <v>0.000565170070345722i</v>
      </c>
      <c r="AH340">
        <f t="shared" ref="AH340:AH403" si="242">IMABS(AG340)</f>
        <v>5.6517007034572202E-4</v>
      </c>
      <c r="AI340">
        <f t="shared" ref="AI340:AI403" si="243">IMARGUMENT(AG340)</f>
        <v>1.5707963267948966</v>
      </c>
      <c r="AJ340" t="str">
        <f t="shared" si="229"/>
        <v>1+13.0208978503147i</v>
      </c>
      <c r="AK340">
        <f t="shared" ref="AK340:AK403" si="244">IMABS(AJ340)</f>
        <v>13.059241204156159</v>
      </c>
      <c r="AL340">
        <f t="shared" ref="AL340:AL403" si="245">IMARGUMENT(AJ340)</f>
        <v>1.4941471679206937</v>
      </c>
      <c r="AM340" t="str">
        <f t="shared" si="230"/>
        <v>1+98.0184254843137i</v>
      </c>
      <c r="AN340">
        <f t="shared" ref="AN340:AN403" si="246">IMABS(AM340)</f>
        <v>98.023526433320868</v>
      </c>
      <c r="AO340">
        <f t="shared" ref="AO340:AO403" si="247">IMARGUMENT(AM340)</f>
        <v>1.5605945172625306</v>
      </c>
      <c r="AP340" s="42" t="str">
        <f t="shared" ref="AP340:AP403" si="248">IMPRODUCT(AF340,IMDIV(AM340,IMPRODUCT(AG340,AJ340)))</f>
        <v>-0.0294350738546751+0.442331264025299i</v>
      </c>
      <c r="AQ340">
        <f t="shared" ref="AQ340:AQ403" si="249">20*LOG(IMABS(AP340))</f>
        <v>-7.0658579559096415</v>
      </c>
      <c r="AR340" s="44">
        <f t="shared" ref="AR340:AR403" si="250">(180/PI())*IMARGUMENT(AP340)</f>
        <v>93.807152677118651</v>
      </c>
      <c r="AS340" s="42" t="str">
        <f t="shared" ref="AS340:AS403" si="251">IMPRODUCT(AC340,AP340)</f>
        <v>0.106168249136592-0.0181677286789935i</v>
      </c>
      <c r="AT340" s="20">
        <f t="shared" ref="AT340:AT403" si="252">20*LOG(IMABS(AS340))</f>
        <v>-19.354759921694754</v>
      </c>
      <c r="AU340" s="44">
        <f t="shared" ref="AU340:AU403" si="253">(180/PI())*IMARGUMENT(AS340)</f>
        <v>-9.7105168080476396</v>
      </c>
    </row>
    <row r="341" spans="14:47" x14ac:dyDescent="0.3">
      <c r="N341" s="8">
        <v>23</v>
      </c>
      <c r="O341" s="35">
        <f t="shared" si="221"/>
        <v>16982.436524617482</v>
      </c>
      <c r="P341" s="34" t="str">
        <f t="shared" si="222"/>
        <v>545.10556621881</v>
      </c>
      <c r="Q341" s="4" t="str">
        <f t="shared" si="223"/>
        <v>1+2279.48799539763i</v>
      </c>
      <c r="R341" s="4">
        <f t="shared" si="231"/>
        <v>2279.4882147451226</v>
      </c>
      <c r="S341" s="4">
        <f t="shared" si="232"/>
        <v>1.5703576318169594</v>
      </c>
      <c r="T341" s="4" t="str">
        <f t="shared" si="224"/>
        <v>1+0.0533518978257935i</v>
      </c>
      <c r="U341" s="4">
        <f t="shared" si="233"/>
        <v>1.001422201172719</v>
      </c>
      <c r="V341" s="4">
        <f t="shared" si="234"/>
        <v>5.3301363377983045E-2</v>
      </c>
      <c r="W341" t="str">
        <f t="shared" si="225"/>
        <v>1-0.0554219514614341i</v>
      </c>
      <c r="X341" s="4">
        <f t="shared" si="235"/>
        <v>1.0015346188244287</v>
      </c>
      <c r="Y341" s="4">
        <f t="shared" si="236"/>
        <v>-5.536531125631964E-2</v>
      </c>
      <c r="Z341" t="str">
        <f t="shared" si="226"/>
        <v>0.981542198379989+0.240001306390592i</v>
      </c>
      <c r="AA341" s="4">
        <f t="shared" si="237"/>
        <v>1.0104581704701152</v>
      </c>
      <c r="AB341" s="4">
        <f t="shared" si="238"/>
        <v>0.2398092196198606</v>
      </c>
      <c r="AC341" s="48" t="str">
        <f t="shared" si="239"/>
        <v>-0.0567518395283265-0.230475914254454i</v>
      </c>
      <c r="AD341" s="20">
        <f t="shared" si="240"/>
        <v>-12.491837868134905</v>
      </c>
      <c r="AE341" s="44">
        <f t="shared" si="241"/>
        <v>-103.83317630437821</v>
      </c>
      <c r="AF341" t="str">
        <f t="shared" si="227"/>
        <v>-0.0000333790427773504</v>
      </c>
      <c r="AG341" t="str">
        <f t="shared" si="228"/>
        <v>0.000578334572431599i</v>
      </c>
      <c r="AH341">
        <f t="shared" si="242"/>
        <v>5.7833457243159898E-4</v>
      </c>
      <c r="AI341">
        <f t="shared" si="243"/>
        <v>1.5707963267948966</v>
      </c>
      <c r="AJ341" t="str">
        <f t="shared" si="229"/>
        <v>1+13.3241935234306i</v>
      </c>
      <c r="AK341">
        <f t="shared" si="244"/>
        <v>13.361666552112052</v>
      </c>
      <c r="AL341">
        <f t="shared" si="245"/>
        <v>1.4958853203527547</v>
      </c>
      <c r="AM341" t="str">
        <f t="shared" si="230"/>
        <v>1+100.301567912492i</v>
      </c>
      <c r="AN341">
        <f t="shared" si="246"/>
        <v>100.30655275556151</v>
      </c>
      <c r="AO341">
        <f t="shared" si="247"/>
        <v>1.5608267232324231</v>
      </c>
      <c r="AP341" s="42" t="str">
        <f t="shared" si="248"/>
        <v>-0.0281176977107024+0.432361446183403i</v>
      </c>
      <c r="AQ341">
        <f t="shared" si="249"/>
        <v>-7.264732021038899</v>
      </c>
      <c r="AR341" s="44">
        <f t="shared" si="250"/>
        <v>93.720868300663724</v>
      </c>
      <c r="AS341" s="42" t="str">
        <f t="shared" si="251"/>
        <v>0.101244630665881-0.0180568553254312i</v>
      </c>
      <c r="AT341" s="20">
        <f t="shared" si="252"/>
        <v>-19.756569889173843</v>
      </c>
      <c r="AU341" s="44">
        <f t="shared" si="253"/>
        <v>-10.112308003714544</v>
      </c>
    </row>
    <row r="342" spans="14:47" x14ac:dyDescent="0.3">
      <c r="N342" s="8">
        <v>24</v>
      </c>
      <c r="O342" s="35">
        <f t="shared" si="221"/>
        <v>17378.008287493791</v>
      </c>
      <c r="P342" s="34" t="str">
        <f t="shared" si="222"/>
        <v>545.10556621881</v>
      </c>
      <c r="Q342" s="4" t="str">
        <f t="shared" si="223"/>
        <v>1+2332.58409167848i</v>
      </c>
      <c r="R342" s="4">
        <f t="shared" si="231"/>
        <v>2332.5843060330144</v>
      </c>
      <c r="S342" s="4">
        <f t="shared" si="232"/>
        <v>1.5703676177325723</v>
      </c>
      <c r="T342" s="4" t="str">
        <f t="shared" si="224"/>
        <v>1+0.054594623170013i</v>
      </c>
      <c r="U342" s="4">
        <f t="shared" si="233"/>
        <v>1.001489177614554</v>
      </c>
      <c r="V342" s="4">
        <f t="shared" si="234"/>
        <v>5.4540478881290905E-2</v>
      </c>
      <c r="W342" t="str">
        <f t="shared" si="225"/>
        <v>1-0.0567128945490093i</v>
      </c>
      <c r="X342" s="4">
        <f t="shared" si="235"/>
        <v>1.0016068851640982</v>
      </c>
      <c r="Y342" s="4">
        <f t="shared" si="236"/>
        <v>-5.6652208733228446E-2</v>
      </c>
      <c r="Z342" t="str">
        <f t="shared" si="226"/>
        <v>0.980672308989427+0.245591654967717i</v>
      </c>
      <c r="AA342" s="4">
        <f t="shared" si="237"/>
        <v>1.0109566947245743</v>
      </c>
      <c r="AB342" s="4">
        <f t="shared" si="238"/>
        <v>0.24538514024116234</v>
      </c>
      <c r="AC342" s="48" t="str">
        <f t="shared" si="239"/>
        <v>-0.0567079069082146-0.224833973209983i</v>
      </c>
      <c r="AD342" s="20">
        <f t="shared" si="240"/>
        <v>-12.694914466500084</v>
      </c>
      <c r="AE342" s="44">
        <f t="shared" si="241"/>
        <v>-104.15596287912199</v>
      </c>
      <c r="AF342" t="str">
        <f t="shared" si="227"/>
        <v>-0.0000333790427773504</v>
      </c>
      <c r="AG342" t="str">
        <f t="shared" si="228"/>
        <v>0.000591805715162941i</v>
      </c>
      <c r="AH342">
        <f t="shared" si="242"/>
        <v>5.9180571516294096E-4</v>
      </c>
      <c r="AI342">
        <f t="shared" si="243"/>
        <v>1.5707963267948966</v>
      </c>
      <c r="AJ342" t="str">
        <f t="shared" si="229"/>
        <v>1+13.6345538603191i</v>
      </c>
      <c r="AK342">
        <f t="shared" si="244"/>
        <v>13.671176210185518</v>
      </c>
      <c r="AL342">
        <f t="shared" si="245"/>
        <v>1.4975843459151921</v>
      </c>
      <c r="AM342" t="str">
        <f t="shared" si="230"/>
        <v>1+102.637891559625i</v>
      </c>
      <c r="AN342">
        <f t="shared" si="246"/>
        <v>102.64276293926106</v>
      </c>
      <c r="AO342">
        <f t="shared" si="247"/>
        <v>1.5610536445880365</v>
      </c>
      <c r="AP342" s="42" t="str">
        <f t="shared" si="248"/>
        <v>-0.0268589638378922+0.422612017519723i</v>
      </c>
      <c r="AQ342">
        <f t="shared" si="249"/>
        <v>-7.4636564791718927</v>
      </c>
      <c r="AR342" s="44">
        <f t="shared" si="250"/>
        <v>93.636522942609275</v>
      </c>
      <c r="AS342" s="42" t="str">
        <f t="shared" si="251"/>
        <v>0.0965406546462166-0.0179266353918247i</v>
      </c>
      <c r="AT342" s="20">
        <f t="shared" si="252"/>
        <v>-20.158570945671972</v>
      </c>
      <c r="AU342" s="44">
        <f t="shared" si="253"/>
        <v>-10.519439936512731</v>
      </c>
    </row>
    <row r="343" spans="14:47" x14ac:dyDescent="0.3">
      <c r="N343" s="8">
        <v>25</v>
      </c>
      <c r="O343" s="35">
        <f t="shared" si="221"/>
        <v>17782.794100389234</v>
      </c>
      <c r="P343" s="34" t="str">
        <f t="shared" si="222"/>
        <v>545.10556621881</v>
      </c>
      <c r="Q343" s="4" t="str">
        <f t="shared" si="223"/>
        <v>1+2386.91695492015i</v>
      </c>
      <c r="R343" s="4">
        <f t="shared" si="231"/>
        <v>2386.9171643953805</v>
      </c>
      <c r="S343" s="4">
        <f t="shared" si="232"/>
        <v>1.5703773763410771</v>
      </c>
      <c r="T343" s="4" t="str">
        <f t="shared" si="224"/>
        <v>1+0.0558662953060825i</v>
      </c>
      <c r="U343" s="4">
        <f t="shared" si="233"/>
        <v>1.0015593057583891</v>
      </c>
      <c r="V343" s="4">
        <f t="shared" si="234"/>
        <v>5.5808283532678499E-2</v>
      </c>
      <c r="W343" t="str">
        <f t="shared" si="225"/>
        <v>1-0.0580339075639583i</v>
      </c>
      <c r="X343" s="4">
        <f t="shared" si="235"/>
        <v>1.00168255172342</v>
      </c>
      <c r="Y343" s="4">
        <f t="shared" si="236"/>
        <v>-5.7968887438508185E-2</v>
      </c>
      <c r="Z343" t="str">
        <f t="shared" si="226"/>
        <v>0.979761422974922+0.251312219491097i</v>
      </c>
      <c r="AA343" s="4">
        <f t="shared" si="237"/>
        <v>1.011479252192246</v>
      </c>
      <c r="AB343" s="4">
        <f t="shared" si="238"/>
        <v>0.25109016199766643</v>
      </c>
      <c r="AC343" s="48" t="str">
        <f t="shared" si="239"/>
        <v>-0.056661481474663-0.219311652623201i</v>
      </c>
      <c r="AD343" s="20">
        <f t="shared" si="240"/>
        <v>-12.898138604546769</v>
      </c>
      <c r="AE343" s="44">
        <f t="shared" si="241"/>
        <v>-104.48619595189696</v>
      </c>
      <c r="AF343" t="str">
        <f t="shared" si="227"/>
        <v>-0.0000333790427773504</v>
      </c>
      <c r="AG343" t="str">
        <f t="shared" si="228"/>
        <v>0.000605590641117937i</v>
      </c>
      <c r="AH343">
        <f t="shared" si="242"/>
        <v>6.0559064111793699E-4</v>
      </c>
      <c r="AI343">
        <f t="shared" si="243"/>
        <v>1.5707963267948966</v>
      </c>
      <c r="AJ343" t="str">
        <f t="shared" si="229"/>
        <v>1+13.952143418139i</v>
      </c>
      <c r="AK343">
        <f t="shared" si="244"/>
        <v>13.987934299256608</v>
      </c>
      <c r="AL343">
        <f t="shared" si="245"/>
        <v>1.4992451061954224</v>
      </c>
      <c r="AM343" t="str">
        <f t="shared" si="230"/>
        <v>1+105.028635175435i</v>
      </c>
      <c r="AN343">
        <f t="shared" si="246"/>
        <v>105.03339567401704</v>
      </c>
      <c r="AO343">
        <f t="shared" si="247"/>
        <v>1.5612754015525447</v>
      </c>
      <c r="AP343" s="42" t="str">
        <f t="shared" si="248"/>
        <v>-0.0256562895929246+0.413078393506398i</v>
      </c>
      <c r="AQ343">
        <f t="shared" si="249"/>
        <v>-7.6626290869691172</v>
      </c>
      <c r="AR343" s="44">
        <f t="shared" si="250"/>
        <v>93.554074125913047</v>
      </c>
      <c r="AS343" s="42" t="str">
        <f t="shared" si="251"/>
        <v>0.0920466285203032-0.0177789104704426i</v>
      </c>
      <c r="AT343" s="20">
        <f t="shared" si="252"/>
        <v>-20.560767691515881</v>
      </c>
      <c r="AU343" s="44">
        <f t="shared" si="253"/>
        <v>-10.93212182598392</v>
      </c>
    </row>
    <row r="344" spans="14:47" x14ac:dyDescent="0.3">
      <c r="N344" s="8">
        <v>26</v>
      </c>
      <c r="O344" s="35">
        <f t="shared" si="221"/>
        <v>18197.008586099837</v>
      </c>
      <c r="P344" s="34" t="str">
        <f t="shared" si="222"/>
        <v>545.10556621881</v>
      </c>
      <c r="Q344" s="4" t="str">
        <f t="shared" si="223"/>
        <v>1+2442.51539312591i</v>
      </c>
      <c r="R344" s="4">
        <f t="shared" si="231"/>
        <v>2442.5155978329017</v>
      </c>
      <c r="S344" s="4">
        <f t="shared" si="232"/>
        <v>1.5703869128166097</v>
      </c>
      <c r="T344" s="4" t="str">
        <f t="shared" si="224"/>
        <v>1+0.0571675884914015i</v>
      </c>
      <c r="U344" s="4">
        <f t="shared" si="233"/>
        <v>1.0016327336773305</v>
      </c>
      <c r="V344" s="4">
        <f t="shared" si="234"/>
        <v>5.7105433227489455E-2</v>
      </c>
      <c r="W344" t="str">
        <f t="shared" si="225"/>
        <v>1-0.0593856909248677i</v>
      </c>
      <c r="X344" s="4">
        <f t="shared" si="235"/>
        <v>1.0017617782120778</v>
      </c>
      <c r="Y344" s="4">
        <f t="shared" si="236"/>
        <v>-5.9316027221099847E-2</v>
      </c>
      <c r="Z344" t="str">
        <f t="shared" si="226"/>
        <v>0.978807608225114+0.257166033079762i</v>
      </c>
      <c r="AA344" s="4">
        <f t="shared" si="237"/>
        <v>1.0120270265607285</v>
      </c>
      <c r="AB344" s="4">
        <f t="shared" si="238"/>
        <v>0.25692722837841175</v>
      </c>
      <c r="AC344" s="48" t="str">
        <f t="shared" si="239"/>
        <v>-0.0566124667783184-0.213906054568516i</v>
      </c>
      <c r="AD344" s="20">
        <f t="shared" si="240"/>
        <v>-13.101517467352522</v>
      </c>
      <c r="AE344" s="44">
        <f t="shared" si="241"/>
        <v>-104.82404584109814</v>
      </c>
      <c r="AF344" t="str">
        <f t="shared" si="227"/>
        <v>-0.0000333790427773504</v>
      </c>
      <c r="AG344" t="str">
        <f t="shared" si="228"/>
        <v>0.000619696659246794i</v>
      </c>
      <c r="AH344">
        <f t="shared" si="242"/>
        <v>6.1969665924679397E-4</v>
      </c>
      <c r="AI344">
        <f t="shared" si="243"/>
        <v>1.5707963267948966</v>
      </c>
      <c r="AJ344" t="str">
        <f t="shared" si="229"/>
        <v>1+14.2771305870777i</v>
      </c>
      <c r="AK344">
        <f t="shared" si="244"/>
        <v>14.312108782442568</v>
      </c>
      <c r="AL344">
        <f t="shared" si="245"/>
        <v>1.5008684450853107</v>
      </c>
      <c r="AM344" t="str">
        <f t="shared" si="230"/>
        <v>1+107.475066363835i</v>
      </c>
      <c r="AN344">
        <f t="shared" si="246"/>
        <v>107.47971850498463</v>
      </c>
      <c r="AO344">
        <f t="shared" si="247"/>
        <v>1.5614921116171341</v>
      </c>
      <c r="AP344" s="42" t="str">
        <f t="shared" si="248"/>
        <v>-0.024507203639634+0.403756065683567i</v>
      </c>
      <c r="AQ344">
        <f t="shared" si="249"/>
        <v>-7.8616476998996019</v>
      </c>
      <c r="AR344" s="44">
        <f t="shared" si="250"/>
        <v>93.473480230881989</v>
      </c>
      <c r="AS344" s="42" t="str">
        <f t="shared" si="251"/>
        <v>0.0877532802703567-0.0176153876159942i</v>
      </c>
      <c r="AT344" s="20">
        <f t="shared" si="252"/>
        <v>-20.963165167252118</v>
      </c>
      <c r="AU344" s="44">
        <f t="shared" si="253"/>
        <v>-11.350565610216156</v>
      </c>
    </row>
    <row r="345" spans="14:47" x14ac:dyDescent="0.3">
      <c r="N345" s="8">
        <v>27</v>
      </c>
      <c r="O345" s="35">
        <f t="shared" si="221"/>
        <v>18620.871366628675</v>
      </c>
      <c r="P345" s="34" t="str">
        <f t="shared" si="222"/>
        <v>545.10556621881</v>
      </c>
      <c r="Q345" s="4" t="str">
        <f t="shared" si="223"/>
        <v>1+2499.40888532361i</v>
      </c>
      <c r="R345" s="4">
        <f t="shared" si="231"/>
        <v>2499.4090853709026</v>
      </c>
      <c r="S345" s="4">
        <f t="shared" si="232"/>
        <v>1.5703962322155289</v>
      </c>
      <c r="T345" s="4" t="str">
        <f t="shared" si="224"/>
        <v>1+0.058499192688841i</v>
      </c>
      <c r="U345" s="4">
        <f t="shared" si="233"/>
        <v>1.0017096163785422</v>
      </c>
      <c r="V345" s="4">
        <f t="shared" si="234"/>
        <v>5.8432598261132195E-2</v>
      </c>
      <c r="W345" t="str">
        <f t="shared" si="225"/>
        <v>1-0.0607689613651679i</v>
      </c>
      <c r="X345" s="4">
        <f t="shared" si="235"/>
        <v>1.0018447318149661</v>
      </c>
      <c r="Y345" s="4">
        <f t="shared" si="236"/>
        <v>-6.0694322783129577E-2</v>
      </c>
      <c r="Z345" t="str">
        <f t="shared" si="226"/>
        <v>0.977808841571038+0.263156199503161i</v>
      </c>
      <c r="AA345" s="4">
        <f t="shared" si="237"/>
        <v>1.0126012620925586</v>
      </c>
      <c r="AB345" s="4">
        <f t="shared" si="238"/>
        <v>0.26289934594285641</v>
      </c>
      <c r="AC345" s="48" t="str">
        <f t="shared" si="239"/>
        <v>-0.0565607611147359-0.208614345234778i</v>
      </c>
      <c r="AD345" s="20">
        <f t="shared" si="240"/>
        <v>-13.305058599073831</v>
      </c>
      <c r="AE345" s="44">
        <f t="shared" si="241"/>
        <v>-105.16968649800333</v>
      </c>
      <c r="AF345" t="str">
        <f t="shared" si="227"/>
        <v>-0.0000333790427773504</v>
      </c>
      <c r="AG345" t="str">
        <f t="shared" si="228"/>
        <v>0.000634131248747038i</v>
      </c>
      <c r="AH345">
        <f t="shared" si="242"/>
        <v>6.3413124874703796E-4</v>
      </c>
      <c r="AI345">
        <f t="shared" si="243"/>
        <v>1.5707963267948966</v>
      </c>
      <c r="AJ345" t="str">
        <f t="shared" si="229"/>
        <v>1+14.6096876796338i</v>
      </c>
      <c r="AK345">
        <f t="shared" si="244"/>
        <v>14.643871554218293</v>
      </c>
      <c r="AL345">
        <f t="shared" si="245"/>
        <v>1.5024551890584539</v>
      </c>
      <c r="AM345" t="str">
        <f t="shared" si="230"/>
        <v>1+109.978482255021i</v>
      </c>
      <c r="AN345">
        <f t="shared" si="246"/>
        <v>109.98302850493785</v>
      </c>
      <c r="AO345">
        <f t="shared" si="247"/>
        <v>1.5617038896028832</v>
      </c>
      <c r="AP345" s="42" t="str">
        <f t="shared" si="248"/>
        <v>-0.0234093413658761+0.394640601756334i</v>
      </c>
      <c r="AQ345">
        <f t="shared" si="249"/>
        <v>-8.060710267981575</v>
      </c>
      <c r="AR345" s="44">
        <f t="shared" si="250"/>
        <v>93.394700482830231</v>
      </c>
      <c r="AS345" s="42" t="str">
        <f t="shared" si="251"/>
        <v>0.083651740903305-0.017437648380696i</v>
      </c>
      <c r="AT345" s="20">
        <f t="shared" si="252"/>
        <v>-21.365768867055412</v>
      </c>
      <c r="AU345" s="44">
        <f t="shared" si="253"/>
        <v>-11.774986015173102</v>
      </c>
    </row>
    <row r="346" spans="14:47" x14ac:dyDescent="0.3">
      <c r="N346" s="8">
        <v>28</v>
      </c>
      <c r="O346" s="35">
        <f t="shared" si="221"/>
        <v>19054.607179632505</v>
      </c>
      <c r="P346" s="34" t="str">
        <f t="shared" si="222"/>
        <v>545.10556621881</v>
      </c>
      <c r="Q346" s="4" t="str">
        <f t="shared" si="223"/>
        <v>1+2557.62759719592i</v>
      </c>
      <c r="R346" s="4">
        <f t="shared" si="231"/>
        <v>2557.6277926895805</v>
      </c>
      <c r="S346" s="4">
        <f t="shared" si="232"/>
        <v>1.5704053394790969</v>
      </c>
      <c r="T346" s="4" t="str">
        <f t="shared" si="224"/>
        <v>1+0.059861813932573i</v>
      </c>
      <c r="U346" s="4">
        <f t="shared" si="233"/>
        <v>1.0017901161257772</v>
      </c>
      <c r="V346" s="4">
        <f t="shared" si="234"/>
        <v>5.9790463602498553E-2</v>
      </c>
      <c r="W346" t="str">
        <f t="shared" si="225"/>
        <v>1-0.0621844523131567i</v>
      </c>
      <c r="X346" s="4">
        <f t="shared" si="235"/>
        <v>1.0019315875395323</v>
      </c>
      <c r="Y346" s="4">
        <f t="shared" si="236"/>
        <v>-6.2104483956544221E-2</v>
      </c>
      <c r="Z346" t="str">
        <f t="shared" si="226"/>
        <v>0.976763004494713+0.269285894826823i</v>
      </c>
      <c r="AA346" s="4">
        <f t="shared" si="237"/>
        <v>1.0132032669223987</v>
      </c>
      <c r="AB346" s="4">
        <f t="shared" si="238"/>
        <v>0.26900958528830882</v>
      </c>
      <c r="AC346" s="48" t="str">
        <f t="shared" si="239"/>
        <v>-0.0565062573373929-0.203433753590082i</v>
      </c>
      <c r="AD346" s="20">
        <f t="shared" si="240"/>
        <v>-13.508769921563568</v>
      </c>
      <c r="AE346" s="44">
        <f t="shared" si="241"/>
        <v>-105.52329556254037</v>
      </c>
      <c r="AF346" t="str">
        <f t="shared" si="227"/>
        <v>-0.0000333790427773504</v>
      </c>
      <c r="AG346" t="str">
        <f t="shared" si="228"/>
        <v>0.000648902063029089i</v>
      </c>
      <c r="AH346">
        <f t="shared" si="242"/>
        <v>6.4890206302908903E-4</v>
      </c>
      <c r="AI346">
        <f t="shared" si="243"/>
        <v>1.5707963267948966</v>
      </c>
      <c r="AJ346" t="str">
        <f t="shared" si="229"/>
        <v>1+14.9499910219798i</v>
      </c>
      <c r="AK346">
        <f t="shared" si="244"/>
        <v>14.983398531617475</v>
      </c>
      <c r="AL346">
        <f t="shared" si="245"/>
        <v>1.5040061474492727</v>
      </c>
      <c r="AM346" t="str">
        <f t="shared" si="230"/>
        <v>1+112.540210193238i</v>
      </c>
      <c r="AN346">
        <f t="shared" si="246"/>
        <v>112.54465296200522</v>
      </c>
      <c r="AO346">
        <f t="shared" si="247"/>
        <v>1.561910847721254</v>
      </c>
      <c r="AP346" s="42" t="str">
        <f t="shared" si="248"/>
        <v>-0.0223604404700839+0.385727645573862i</v>
      </c>
      <c r="AQ346">
        <f t="shared" si="249"/>
        <v>-8.2598148316986801</v>
      </c>
      <c r="AR346" s="44">
        <f t="shared" si="250"/>
        <v>93.317694939554556</v>
      </c>
      <c r="AS346" s="42" t="str">
        <f t="shared" si="251"/>
        <v>0.0797335276059356-0.0172471572661866i</v>
      </c>
      <c r="AT346" s="20">
        <f t="shared" si="252"/>
        <v>-21.768584753262243</v>
      </c>
      <c r="AU346" s="44">
        <f t="shared" si="253"/>
        <v>-12.20560062298582</v>
      </c>
    </row>
    <row r="347" spans="14:47" x14ac:dyDescent="0.3">
      <c r="N347" s="8">
        <v>29</v>
      </c>
      <c r="O347" s="35">
        <f t="shared" si="221"/>
        <v>19498.445997580486</v>
      </c>
      <c r="P347" s="34" t="str">
        <f t="shared" si="222"/>
        <v>545.10556621881</v>
      </c>
      <c r="Q347" s="4" t="str">
        <f t="shared" si="223"/>
        <v>1+2617.20239707443i</v>
      </c>
      <c r="R347" s="4">
        <f t="shared" si="231"/>
        <v>2617.2025881181116</v>
      </c>
      <c r="S347" s="4">
        <f t="shared" si="232"/>
        <v>1.5704142394360991</v>
      </c>
      <c r="T347" s="4" t="str">
        <f t="shared" si="224"/>
        <v>1+0.061256174702416i</v>
      </c>
      <c r="U347" s="4">
        <f t="shared" si="233"/>
        <v>1.0018744027767017</v>
      </c>
      <c r="V347" s="4">
        <f t="shared" si="234"/>
        <v>6.1179729169404423E-2</v>
      </c>
      <c r="W347" t="str">
        <f t="shared" si="225"/>
        <v>1-0.0636329142808696i</v>
      </c>
      <c r="X347" s="4">
        <f t="shared" si="235"/>
        <v>1.0020225285790119</v>
      </c>
      <c r="Y347" s="4">
        <f t="shared" si="236"/>
        <v>-6.3547235981338254E-2</v>
      </c>
      <c r="Z347" t="str">
        <f t="shared" si="226"/>
        <v>0.975667878635484+0.275558369096339i</v>
      </c>
      <c r="AA347" s="4">
        <f t="shared" si="237"/>
        <v>1.0138344165494184</v>
      </c>
      <c r="AB347" s="4">
        <f t="shared" si="238"/>
        <v>0.27526108199170518</v>
      </c>
      <c r="AC347" s="48" t="str">
        <f t="shared" si="239"/>
        <v>-0.056448842662748-0.198361570092575i</v>
      </c>
      <c r="AD347" s="20">
        <f t="shared" si="240"/>
        <v>-13.712659753988557</v>
      </c>
      <c r="AE347" s="44">
        <f t="shared" si="241"/>
        <v>-105.8850544175571</v>
      </c>
      <c r="AF347" t="str">
        <f t="shared" si="227"/>
        <v>-0.0000333790427773504</v>
      </c>
      <c r="AG347" t="str">
        <f t="shared" si="228"/>
        <v>0.000664016933774191i</v>
      </c>
      <c r="AH347">
        <f t="shared" si="242"/>
        <v>6.6401693377419102E-4</v>
      </c>
      <c r="AI347">
        <f t="shared" si="243"/>
        <v>1.5707963267948966</v>
      </c>
      <c r="AJ347" t="str">
        <f t="shared" si="229"/>
        <v>1+15.2982210474521i</v>
      </c>
      <c r="AK347">
        <f t="shared" si="244"/>
        <v>15.330869747561827</v>
      </c>
      <c r="AL347">
        <f t="shared" si="245"/>
        <v>1.5055221127333525</v>
      </c>
      <c r="AM347" t="str">
        <f t="shared" si="230"/>
        <v>1+115.161608440542i</v>
      </c>
      <c r="AN347">
        <f t="shared" si="246"/>
        <v>115.16595008340232</v>
      </c>
      <c r="AO347">
        <f t="shared" si="247"/>
        <v>1.5621130956332245</v>
      </c>
      <c r="AP347" s="42" t="str">
        <f t="shared" si="248"/>
        <v>-0.0213583367129663+0.377012917000328i</v>
      </c>
      <c r="AQ347">
        <f t="shared" si="249"/>
        <v>-8.4589595180850612</v>
      </c>
      <c r="AR347" s="44">
        <f t="shared" si="250"/>
        <v>93.242424478659686</v>
      </c>
      <c r="AS347" s="42" t="str">
        <f t="shared" si="251"/>
        <v>0.075990527550015-0.0170452696286253i</v>
      </c>
      <c r="AT347" s="20">
        <f t="shared" si="252"/>
        <v>-22.171619272073613</v>
      </c>
      <c r="AU347" s="44">
        <f t="shared" si="253"/>
        <v>-12.642629938897402</v>
      </c>
    </row>
    <row r="348" spans="14:47" x14ac:dyDescent="0.3">
      <c r="N348" s="8">
        <v>30</v>
      </c>
      <c r="O348" s="35">
        <f t="shared" si="221"/>
        <v>19952.623149688792</v>
      </c>
      <c r="P348" s="34" t="str">
        <f t="shared" si="222"/>
        <v>545.10556621881</v>
      </c>
      <c r="Q348" s="4" t="str">
        <f t="shared" si="223"/>
        <v>1+2678.16487230666i</v>
      </c>
      <c r="R348" s="4">
        <f t="shared" si="231"/>
        <v>2678.165059001657</v>
      </c>
      <c r="S348" s="4">
        <f t="shared" si="232"/>
        <v>1.5704229368054052</v>
      </c>
      <c r="T348" s="4" t="str">
        <f t="shared" si="224"/>
        <v>1+0.062683014306908i</v>
      </c>
      <c r="U348" s="4">
        <f t="shared" si="233"/>
        <v>1.0019626541356719</v>
      </c>
      <c r="V348" s="4">
        <f t="shared" si="234"/>
        <v>6.2601110105813304E-2</v>
      </c>
      <c r="W348" t="str">
        <f t="shared" si="225"/>
        <v>1-0.0651151152620158i</v>
      </c>
      <c r="X348" s="4">
        <f t="shared" si="235"/>
        <v>1.0021177466922664</v>
      </c>
      <c r="Y348" s="4">
        <f t="shared" si="236"/>
        <v>-6.5023319785089059E-2</v>
      </c>
      <c r="Z348" t="str">
        <f t="shared" si="226"/>
        <v>0.974521141084576+0.281976948060597i</v>
      </c>
      <c r="AA348" s="4">
        <f t="shared" si="237"/>
        <v>1.0144961575375002</v>
      </c>
      <c r="AB348" s="4">
        <f t="shared" si="238"/>
        <v>0.28165703752040172</v>
      </c>
      <c r="AC348" s="48" t="str">
        <f t="shared" si="239"/>
        <v>-0.0563883984673737-0.193395145447483i</v>
      </c>
      <c r="AD348" s="20">
        <f t="shared" si="240"/>
        <v>-13.916736833503226</v>
      </c>
      <c r="AE348" s="44">
        <f t="shared" si="241"/>
        <v>-106.25514824128483</v>
      </c>
      <c r="AF348" t="str">
        <f t="shared" si="227"/>
        <v>-0.0000333790427773504</v>
      </c>
      <c r="AG348" t="str">
        <f t="shared" si="228"/>
        <v>0.000679483875086882i</v>
      </c>
      <c r="AH348">
        <f t="shared" si="242"/>
        <v>6.7948387508688201E-4</v>
      </c>
      <c r="AI348">
        <f t="shared" si="243"/>
        <v>1.5707963267948966</v>
      </c>
      <c r="AJ348" t="str">
        <f t="shared" si="229"/>
        <v>1+15.6545623922197i</v>
      </c>
      <c r="AK348">
        <f t="shared" si="244"/>
        <v>15.686469446369996</v>
      </c>
      <c r="AL348">
        <f t="shared" si="245"/>
        <v>1.5070038608085274</v>
      </c>
      <c r="AM348" t="str">
        <f t="shared" si="230"/>
        <v>1+117.844066896987i</v>
      </c>
      <c r="AN348">
        <f t="shared" si="246"/>
        <v>117.84830971558966</v>
      </c>
      <c r="AO348">
        <f t="shared" si="247"/>
        <v>1.5623107405070946</v>
      </c>
      <c r="AP348" s="42" t="str">
        <f t="shared" si="248"/>
        <v>-0.0204009598297685+0.368492211686855i</v>
      </c>
      <c r="AQ348">
        <f t="shared" si="249"/>
        <v>-8.6581425369727292</v>
      </c>
      <c r="AR348" s="44">
        <f t="shared" si="250"/>
        <v>93.168850784765667</v>
      </c>
      <c r="AS348" s="42" t="str">
        <f t="shared" si="251"/>
        <v>0.0724149823274419-0.0168332390711759i</v>
      </c>
      <c r="AT348" s="20">
        <f t="shared" si="252"/>
        <v>-22.574879370475955</v>
      </c>
      <c r="AU348" s="44">
        <f t="shared" si="253"/>
        <v>-13.086297456519167</v>
      </c>
    </row>
    <row r="349" spans="14:47" x14ac:dyDescent="0.3">
      <c r="N349" s="8">
        <v>31</v>
      </c>
      <c r="O349" s="35">
        <f t="shared" si="221"/>
        <v>20417.379446695286</v>
      </c>
      <c r="P349" s="34" t="str">
        <f t="shared" si="222"/>
        <v>545.10556621881</v>
      </c>
      <c r="Q349" s="4" t="str">
        <f t="shared" si="223"/>
        <v>1+2740.54734600388i</v>
      </c>
      <c r="R349" s="4">
        <f t="shared" si="231"/>
        <v>2740.5475284491808</v>
      </c>
      <c r="S349" s="4">
        <f t="shared" si="232"/>
        <v>1.5704314361984701</v>
      </c>
      <c r="T349" s="4" t="str">
        <f t="shared" si="224"/>
        <v>1+0.064143089275293i</v>
      </c>
      <c r="U349" s="4">
        <f t="shared" si="233"/>
        <v>1.0020550563226445</v>
      </c>
      <c r="V349" s="4">
        <f t="shared" si="234"/>
        <v>6.4055337060547765E-2</v>
      </c>
      <c r="W349" t="str">
        <f t="shared" si="225"/>
        <v>1-0.0666318411391742i</v>
      </c>
      <c r="X349" s="4">
        <f t="shared" si="235"/>
        <v>1.0022174426009538</v>
      </c>
      <c r="Y349" s="4">
        <f t="shared" si="236"/>
        <v>-6.6533492263458893E-2</v>
      </c>
      <c r="Z349" t="str">
        <f t="shared" si="226"/>
        <v>0.973320359457899+0.288545034935122i</v>
      </c>
      <c r="AA349" s="4">
        <f t="shared" si="237"/>
        <v>1.0151900114367578</v>
      </c>
      <c r="AB349" s="4">
        <f t="shared" si="238"/>
        <v>0.28820072010594133</v>
      </c>
      <c r="AC349" s="48" t="str">
        <f t="shared" si="239"/>
        <v>-0.056324800077252-0.1885318894108i</v>
      </c>
      <c r="AD349" s="20">
        <f t="shared" si="240"/>
        <v>-14.121010337032157</v>
      </c>
      <c r="AE349" s="44">
        <f t="shared" si="241"/>
        <v>-106.63376605764753</v>
      </c>
      <c r="AF349" t="str">
        <f t="shared" si="227"/>
        <v>-0.0000333790427773504</v>
      </c>
      <c r="AG349" t="str">
        <f t="shared" si="228"/>
        <v>0.000695311087744178i</v>
      </c>
      <c r="AH349">
        <f t="shared" si="242"/>
        <v>6.9531108774417802E-4</v>
      </c>
      <c r="AI349">
        <f t="shared" si="243"/>
        <v>1.5707963267948966</v>
      </c>
      <c r="AJ349" t="str">
        <f t="shared" si="229"/>
        <v>1+16.0192039931802i</v>
      </c>
      <c r="AK349">
        <f t="shared" si="244"/>
        <v>16.050386181494837</v>
      </c>
      <c r="AL349">
        <f t="shared" si="245"/>
        <v>1.5084521512762337</v>
      </c>
      <c r="AM349" t="str">
        <f t="shared" si="230"/>
        <v>1+120.589007837551i</v>
      </c>
      <c r="AN349">
        <f t="shared" si="246"/>
        <v>120.59315408117051</v>
      </c>
      <c r="AO349">
        <f t="shared" si="247"/>
        <v>1.5625038870749912</v>
      </c>
      <c r="AP349" s="42" t="str">
        <f t="shared" si="248"/>
        <v>-0.0194863295984655+0.360161400752899i</v>
      </c>
      <c r="AQ349">
        <f t="shared" si="249"/>
        <v>-8.8573621773958759</v>
      </c>
      <c r="AR349" s="44">
        <f t="shared" si="250"/>
        <v>93.096936336624978</v>
      </c>
      <c r="AS349" s="42" t="str">
        <f t="shared" si="251"/>
        <v>0.0689994729956574-0.0166122243560698i</v>
      </c>
      <c r="AT349" s="20">
        <f t="shared" si="252"/>
        <v>-22.978372514428031</v>
      </c>
      <c r="AU349" s="44">
        <f t="shared" si="253"/>
        <v>-13.536829721022562</v>
      </c>
    </row>
    <row r="350" spans="14:47" x14ac:dyDescent="0.3">
      <c r="N350" s="8">
        <v>32</v>
      </c>
      <c r="O350" s="35">
        <f t="shared" si="221"/>
        <v>20892.961308540423</v>
      </c>
      <c r="P350" s="34" t="str">
        <f t="shared" si="222"/>
        <v>545.10556621881</v>
      </c>
      <c r="Q350" s="4" t="str">
        <f t="shared" si="223"/>
        <v>1+2804.38289417941i</v>
      </c>
      <c r="R350" s="4">
        <f t="shared" si="231"/>
        <v>2804.3830724717486</v>
      </c>
      <c r="S350" s="4">
        <f t="shared" si="232"/>
        <v>1.5704397421217797</v>
      </c>
      <c r="T350" s="4" t="str">
        <f t="shared" si="224"/>
        <v>1+0.0656371737586465i</v>
      </c>
      <c r="U350" s="4">
        <f t="shared" si="233"/>
        <v>1.0021518041589421</v>
      </c>
      <c r="V350" s="4">
        <f t="shared" si="234"/>
        <v>6.5543156467200464E-2</v>
      </c>
      <c r="W350" t="str">
        <f t="shared" si="225"/>
        <v>1-0.0681838961004818i</v>
      </c>
      <c r="X350" s="4">
        <f t="shared" si="235"/>
        <v>1.0023218264047937</v>
      </c>
      <c r="Y350" s="4">
        <f t="shared" si="236"/>
        <v>-6.8078526561323613E-2</v>
      </c>
      <c r="Z350" t="str">
        <f t="shared" si="226"/>
        <v>0.972062986736629+0.295266112206518i</v>
      </c>
      <c r="AA350" s="4">
        <f t="shared" si="237"/>
        <v>1.0159175789407759</v>
      </c>
      <c r="AB350" s="4">
        <f t="shared" si="238"/>
        <v>0.29489546557422613</v>
      </c>
      <c r="AC350" s="48" t="str">
        <f t="shared" si="239"/>
        <v>-0.0562579165493583-0.183769269640049i</v>
      </c>
      <c r="AD350" s="20">
        <f t="shared" si="240"/>
        <v>-14.325489904221859</v>
      </c>
      <c r="AE350" s="44">
        <f t="shared" si="241"/>
        <v>-107.02110078403686</v>
      </c>
      <c r="AF350" t="str">
        <f t="shared" si="227"/>
        <v>-0.0000333790427773504</v>
      </c>
      <c r="AG350" t="str">
        <f t="shared" si="228"/>
        <v>0.000711506963543727i</v>
      </c>
      <c r="AH350">
        <f t="shared" si="242"/>
        <v>7.11506963543727E-4</v>
      </c>
      <c r="AI350">
        <f t="shared" si="243"/>
        <v>1.5707963267948966</v>
      </c>
      <c r="AJ350" t="str">
        <f t="shared" si="229"/>
        <v>1+16.3923391881372i</v>
      </c>
      <c r="AK350">
        <f t="shared" si="244"/>
        <v>16.422812915543382</v>
      </c>
      <c r="AL350">
        <f t="shared" si="245"/>
        <v>1.5098677277227026</v>
      </c>
      <c r="AM350" t="str">
        <f t="shared" si="230"/>
        <v>1+123.397886666256i</v>
      </c>
      <c r="AN350">
        <f t="shared" si="246"/>
        <v>123.40193853298319</v>
      </c>
      <c r="AO350">
        <f t="shared" si="247"/>
        <v>1.562692637688105</v>
      </c>
      <c r="AP350" s="42" t="str">
        <f t="shared" si="248"/>
        <v>-0.0186125520592629+0.352016430385075i</v>
      </c>
      <c r="AQ350">
        <f t="shared" si="249"/>
        <v>-9.0566168041458521</v>
      </c>
      <c r="AR350" s="44">
        <f t="shared" si="250"/>
        <v>93.026644394176159</v>
      </c>
      <c r="AS350" s="42" t="str">
        <f t="shared" si="251"/>
        <v>0.065736905713683-0.0163832958665384i</v>
      </c>
      <c r="AT350" s="20">
        <f t="shared" si="252"/>
        <v>-23.382106708367711</v>
      </c>
      <c r="AU350" s="44">
        <f t="shared" si="253"/>
        <v>-13.9944563898607</v>
      </c>
    </row>
    <row r="351" spans="14:47" x14ac:dyDescent="0.3">
      <c r="N351" s="8">
        <v>33</v>
      </c>
      <c r="O351" s="35">
        <f t="shared" si="221"/>
        <v>21379.620895022348</v>
      </c>
      <c r="P351" s="34" t="str">
        <f t="shared" si="222"/>
        <v>545.10556621881</v>
      </c>
      <c r="Q351" s="4" t="str">
        <f t="shared" si="223"/>
        <v>1+2869.7053632858i</v>
      </c>
      <c r="R351" s="4">
        <f t="shared" si="231"/>
        <v>2869.7055375197101</v>
      </c>
      <c r="S351" s="4">
        <f t="shared" si="232"/>
        <v>1.5704478589792397</v>
      </c>
      <c r="T351" s="4" t="str">
        <f t="shared" si="224"/>
        <v>1+0.067166059940337i</v>
      </c>
      <c r="U351" s="4">
        <f t="shared" si="233"/>
        <v>1.0022531015706106</v>
      </c>
      <c r="V351" s="4">
        <f t="shared" si="234"/>
        <v>6.7065330824893743E-2</v>
      </c>
      <c r="W351" t="str">
        <f t="shared" si="225"/>
        <v>1-0.0697721030660219i</v>
      </c>
      <c r="X351" s="4">
        <f t="shared" si="235"/>
        <v>1.0024311180157246</v>
      </c>
      <c r="Y351" s="4">
        <f t="shared" si="236"/>
        <v>-6.965921235412538E-2</v>
      </c>
      <c r="Z351" t="str">
        <f t="shared" si="226"/>
        <v>0.970746355864648+0.302143743478912i</v>
      </c>
      <c r="AA351" s="4">
        <f t="shared" si="237"/>
        <v>1.0166805442949836</v>
      </c>
      <c r="AB351" s="4">
        <f t="shared" si="238"/>
        <v>0.30174467812467798</v>
      </c>
      <c r="AC351" s="48" t="str">
        <f t="shared" si="239"/>
        <v>-0.0561876104457176-0.179104810592708i</v>
      </c>
      <c r="AD351" s="20">
        <f t="shared" si="240"/>
        <v>-14.530185661621175</v>
      </c>
      <c r="AE351" s="44">
        <f t="shared" si="241"/>
        <v>-107.41734927612619</v>
      </c>
      <c r="AF351" t="str">
        <f t="shared" si="227"/>
        <v>-0.0000333790427773504</v>
      </c>
      <c r="AG351" t="str">
        <f t="shared" si="228"/>
        <v>0.000728080089753254i</v>
      </c>
      <c r="AH351">
        <f t="shared" si="242"/>
        <v>7.2808008975325396E-4</v>
      </c>
      <c r="AI351">
        <f t="shared" si="243"/>
        <v>1.5707963267948966</v>
      </c>
      <c r="AJ351" t="str">
        <f t="shared" si="229"/>
        <v>1+16.77416581831i</v>
      </c>
      <c r="AK351">
        <f t="shared" si="244"/>
        <v>16.803947122630433</v>
      </c>
      <c r="AL351">
        <f t="shared" si="245"/>
        <v>1.5112513179995948</v>
      </c>
      <c r="AM351" t="str">
        <f t="shared" si="230"/>
        <v>1+126.272192687834i</v>
      </c>
      <c r="AN351">
        <f t="shared" si="246"/>
        <v>126.27615232573994</v>
      </c>
      <c r="AO351">
        <f t="shared" si="247"/>
        <v>1.5628770923706814</v>
      </c>
      <c r="AP351" s="42" t="str">
        <f t="shared" si="248"/>
        <v>-0.0177778158807815+0.344053321360892i</v>
      </c>
      <c r="AQ351">
        <f t="shared" si="249"/>
        <v>-9.2559048544701188</v>
      </c>
      <c r="AR351" s="44">
        <f t="shared" si="250"/>
        <v>92.957938985557917</v>
      </c>
      <c r="AS351" s="42" t="str">
        <f t="shared" si="251"/>
        <v>0.0626204979494197-0.0161474416471017i</v>
      </c>
      <c r="AT351" s="20">
        <f t="shared" si="252"/>
        <v>-23.786090516091292</v>
      </c>
      <c r="AU351" s="44">
        <f t="shared" si="253"/>
        <v>-14.459410290568286</v>
      </c>
    </row>
    <row r="352" spans="14:47" x14ac:dyDescent="0.3">
      <c r="N352" s="8">
        <v>34</v>
      </c>
      <c r="O352" s="35">
        <f t="shared" si="221"/>
        <v>21877.61623949555</v>
      </c>
      <c r="P352" s="34" t="str">
        <f t="shared" si="222"/>
        <v>545.10556621881</v>
      </c>
      <c r="Q352" s="4" t="str">
        <f t="shared" si="223"/>
        <v>1+2936.54938816086i</v>
      </c>
      <c r="R352" s="4">
        <f t="shared" si="231"/>
        <v>2936.5495584287219</v>
      </c>
      <c r="S352" s="4">
        <f t="shared" si="232"/>
        <v>1.5704557910745112</v>
      </c>
      <c r="T352" s="4" t="str">
        <f t="shared" si="224"/>
        <v>1+0.068730558456056i</v>
      </c>
      <c r="U352" s="4">
        <f t="shared" si="233"/>
        <v>1.0023591620101457</v>
      </c>
      <c r="V352" s="4">
        <f t="shared" si="234"/>
        <v>6.8622638979534786E-2</v>
      </c>
      <c r="W352" t="str">
        <f t="shared" si="225"/>
        <v>1-0.0713973041241508i</v>
      </c>
      <c r="X352" s="4">
        <f t="shared" si="235"/>
        <v>1.0025455476117764</v>
      </c>
      <c r="Y352" s="4">
        <f t="shared" si="236"/>
        <v>-7.1276356129036308E-2</v>
      </c>
      <c r="Z352" t="str">
        <f t="shared" si="226"/>
        <v>0.969367674091351+0.309181575363445i</v>
      </c>
      <c r="AA352" s="4">
        <f t="shared" si="237"/>
        <v>1.0174806799725966</v>
      </c>
      <c r="AB352" s="4">
        <f t="shared" si="238"/>
        <v>0.30875183105030207</v>
      </c>
      <c r="AC352" s="48" t="str">
        <f t="shared" si="239"/>
        <v>-0.0561137376001815-0.174536092472948i</v>
      </c>
      <c r="AD352" s="20">
        <f t="shared" si="240"/>
        <v>-14.735108248154013</v>
      </c>
      <c r="AE352" s="44">
        <f t="shared" si="241"/>
        <v>-107.82271236925489</v>
      </c>
      <c r="AF352" t="str">
        <f t="shared" si="227"/>
        <v>-0.0000333790427773504</v>
      </c>
      <c r="AG352" t="str">
        <f t="shared" si="228"/>
        <v>0.000745039253663647i</v>
      </c>
      <c r="AH352">
        <f t="shared" si="242"/>
        <v>7.4503925366364702E-4</v>
      </c>
      <c r="AI352">
        <f t="shared" si="243"/>
        <v>1.5707963267948966</v>
      </c>
      <c r="AJ352" t="str">
        <f t="shared" si="229"/>
        <v>1+17.164886333232i</v>
      </c>
      <c r="AK352">
        <f t="shared" si="244"/>
        <v>17.193990893122361</v>
      </c>
      <c r="AL352">
        <f t="shared" si="245"/>
        <v>1.5126036345037204</v>
      </c>
      <c r="AM352" t="str">
        <f t="shared" si="230"/>
        <v>1+129.213449897386i</v>
      </c>
      <c r="AN352">
        <f t="shared" si="246"/>
        <v>129.21731940565971</v>
      </c>
      <c r="AO352">
        <f t="shared" si="247"/>
        <v>1.5630573488727997</v>
      </c>
      <c r="AP352" s="42" t="str">
        <f t="shared" si="248"/>
        <v>-0.0169803888683313+0.336268168504296i</v>
      </c>
      <c r="AQ352">
        <f t="shared" si="249"/>
        <v>-9.4552248349107586</v>
      </c>
      <c r="AR352" s="44">
        <f t="shared" si="250"/>
        <v>92.890784894106815</v>
      </c>
      <c r="AS352" s="42" t="str">
        <f t="shared" si="251"/>
        <v>0.0596437652390812-0.015905573048994i</v>
      </c>
      <c r="AT352" s="20">
        <f t="shared" si="252"/>
        <v>-24.190333083064779</v>
      </c>
      <c r="AU352" s="44">
        <f t="shared" si="253"/>
        <v>-14.931927475148095</v>
      </c>
    </row>
    <row r="353" spans="14:47" x14ac:dyDescent="0.3">
      <c r="N353" s="8">
        <v>35</v>
      </c>
      <c r="O353" s="35">
        <f t="shared" si="221"/>
        <v>22387.211385683382</v>
      </c>
      <c r="P353" s="34" t="str">
        <f t="shared" si="222"/>
        <v>545.10556621881</v>
      </c>
      <c r="Q353" s="4" t="str">
        <f t="shared" si="223"/>
        <v>1+3004.95041039133i</v>
      </c>
      <c r="R353" s="4">
        <f t="shared" si="231"/>
        <v>3004.950576783423</v>
      </c>
      <c r="S353" s="4">
        <f t="shared" si="232"/>
        <v>1.5704635426132918</v>
      </c>
      <c r="T353" s="4" t="str">
        <f t="shared" si="224"/>
        <v>1+0.0703314988236245i</v>
      </c>
      <c r="U353" s="4">
        <f t="shared" si="233"/>
        <v>1.0024702088973905</v>
      </c>
      <c r="V353" s="4">
        <f t="shared" si="234"/>
        <v>7.021587640515034E-2</v>
      </c>
      <c r="W353" t="str">
        <f t="shared" si="225"/>
        <v>1-0.0730603609779809i</v>
      </c>
      <c r="X353" s="4">
        <f t="shared" si="235"/>
        <v>1.002665356111516</v>
      </c>
      <c r="Y353" s="4">
        <f t="shared" si="236"/>
        <v>-7.2930781465456507E-2</v>
      </c>
      <c r="Z353" t="str">
        <f t="shared" si="226"/>
        <v>0.967924017047855+0.316383339411735i</v>
      </c>
      <c r="AA353" s="4">
        <f t="shared" si="237"/>
        <v>1.0183198516357115</v>
      </c>
      <c r="AB353" s="4">
        <f t="shared" si="238"/>
        <v>0.31592046738954938</v>
      </c>
      <c r="AC353" s="48" t="str">
        <f t="shared" si="239"/>
        <v>-0.0560361468782553-0.170060750227492i</v>
      </c>
      <c r="AD353" s="20">
        <f t="shared" si="240"/>
        <v>-14.940268841947958</v>
      </c>
      <c r="AE353" s="44">
        <f t="shared" si="241"/>
        <v>-108.23739491586109</v>
      </c>
      <c r="AF353" t="str">
        <f t="shared" si="227"/>
        <v>-0.0000333790427773504</v>
      </c>
      <c r="AG353" t="str">
        <f t="shared" si="228"/>
        <v>0.000762393447248092i</v>
      </c>
      <c r="AH353">
        <f t="shared" si="242"/>
        <v>7.6239344724809196E-4</v>
      </c>
      <c r="AI353">
        <f t="shared" si="243"/>
        <v>1.5707963267948966</v>
      </c>
      <c r="AJ353" t="str">
        <f t="shared" si="229"/>
        <v>1+17.5647078980919i</v>
      </c>
      <c r="AK353">
        <f t="shared" si="244"/>
        <v>17.59315104082529</v>
      </c>
      <c r="AL353">
        <f t="shared" si="245"/>
        <v>1.5139253744555059</v>
      </c>
      <c r="AM353" t="str">
        <f t="shared" si="230"/>
        <v>1+132.223217788414i</v>
      </c>
      <c r="AN353">
        <f t="shared" si="246"/>
        <v>132.22699921847411</v>
      </c>
      <c r="AO353">
        <f t="shared" si="247"/>
        <v>1.5632335027219604</v>
      </c>
      <c r="AP353" s="42" t="str">
        <f t="shared" si="248"/>
        <v>-0.016218614609708+0.328657140079513i</v>
      </c>
      <c r="AQ353">
        <f t="shared" si="249"/>
        <v>-9.6545753182767129</v>
      </c>
      <c r="AR353" s="44">
        <f t="shared" si="250"/>
        <v>92.825147645357532</v>
      </c>
      <c r="AS353" s="42" t="str">
        <f t="shared" si="251"/>
        <v>0.0568005084799753-0.0156585300059054i</v>
      </c>
      <c r="AT353" s="20">
        <f t="shared" si="252"/>
        <v>-24.594844160224675</v>
      </c>
      <c r="AU353" s="44">
        <f t="shared" si="253"/>
        <v>-15.412247270503553</v>
      </c>
    </row>
    <row r="354" spans="14:47" x14ac:dyDescent="0.3">
      <c r="N354" s="8">
        <v>36</v>
      </c>
      <c r="O354" s="35">
        <f t="shared" si="221"/>
        <v>22908.676527677751</v>
      </c>
      <c r="P354" s="34" t="str">
        <f t="shared" si="222"/>
        <v>545.10556621881</v>
      </c>
      <c r="Q354" s="4" t="str">
        <f t="shared" si="223"/>
        <v>1+3074.94469710464i</v>
      </c>
      <c r="R354" s="4">
        <f t="shared" si="231"/>
        <v>3074.9448597091859</v>
      </c>
      <c r="S354" s="4">
        <f t="shared" si="232"/>
        <v>1.5704711177055468</v>
      </c>
      <c r="T354" s="4" t="str">
        <f t="shared" si="224"/>
        <v>1+0.0719697298828175i</v>
      </c>
      <c r="U354" s="4">
        <f t="shared" si="233"/>
        <v>1.0025864760804455</v>
      </c>
      <c r="V354" s="4">
        <f t="shared" si="234"/>
        <v>7.1845855484875945E-2</v>
      </c>
      <c r="W354" t="str">
        <f t="shared" si="225"/>
        <v>1-0.0747621554022706i</v>
      </c>
      <c r="X354" s="4">
        <f t="shared" si="235"/>
        <v>1.0027907956699609</v>
      </c>
      <c r="Y354" s="4">
        <f t="shared" si="236"/>
        <v>-7.4623329314355655E-2</v>
      </c>
      <c r="Z354" t="str">
        <f t="shared" si="226"/>
        <v>0.966412322544014+0.323752854094414i</v>
      </c>
      <c r="AA354" s="4">
        <f t="shared" si="237"/>
        <v>1.0192000234003109</v>
      </c>
      <c r="AB354" s="4">
        <f t="shared" si="238"/>
        <v>0.32325420050007925</v>
      </c>
      <c r="AC354" s="48" t="str">
        <f t="shared" si="239"/>
        <v>-0.0559546799303848-0.165676472591464i</v>
      </c>
      <c r="AD354" s="20">
        <f t="shared" si="240"/>
        <v>-15.145679188586584</v>
      </c>
      <c r="AE354" s="44">
        <f t="shared" si="241"/>
        <v>-108.66160581838845</v>
      </c>
      <c r="AF354" t="str">
        <f t="shared" si="227"/>
        <v>-0.0000333790427773504</v>
      </c>
      <c r="AG354" t="str">
        <f t="shared" si="228"/>
        <v>0.00078015187192974i</v>
      </c>
      <c r="AH354">
        <f t="shared" si="242"/>
        <v>7.8015187192973998E-4</v>
      </c>
      <c r="AI354">
        <f t="shared" si="243"/>
        <v>1.5707963267948966</v>
      </c>
      <c r="AJ354" t="str">
        <f t="shared" si="229"/>
        <v>1+17.973842503576i</v>
      </c>
      <c r="AK354">
        <f t="shared" si="244"/>
        <v>18.001639212676029</v>
      </c>
      <c r="AL354">
        <f t="shared" si="245"/>
        <v>1.5152172201759191</v>
      </c>
      <c r="AM354" t="str">
        <f t="shared" si="230"/>
        <v>1+135.303092179697i</v>
      </c>
      <c r="AN354">
        <f t="shared" si="246"/>
        <v>135.30678753627839</v>
      </c>
      <c r="AO354">
        <f t="shared" si="247"/>
        <v>1.5634056472735125</v>
      </c>
      <c r="AP354" s="42" t="str">
        <f t="shared" si="248"/>
        <v>-0.0154909092540119+0.321216477129251i</v>
      </c>
      <c r="AQ354">
        <f t="shared" si="249"/>
        <v>-9.853954940744071</v>
      </c>
      <c r="AR354" s="44">
        <f t="shared" si="250"/>
        <v>92.760993494065971</v>
      </c>
      <c r="AS354" s="42" t="str">
        <f t="shared" si="251"/>
        <v>0.0540848017381699-0.0154070859636938i</v>
      </c>
      <c r="AT354" s="20">
        <f t="shared" si="252"/>
        <v>-24.999634129330648</v>
      </c>
      <c r="AU354" s="44">
        <f t="shared" si="253"/>
        <v>-15.90061232432242</v>
      </c>
    </row>
    <row r="355" spans="14:47" x14ac:dyDescent="0.3">
      <c r="N355" s="8">
        <v>37</v>
      </c>
      <c r="O355" s="35">
        <f t="shared" si="221"/>
        <v>23442.288153199243</v>
      </c>
      <c r="P355" s="34" t="str">
        <f t="shared" si="222"/>
        <v>545.10556621881</v>
      </c>
      <c r="Q355" s="4" t="str">
        <f t="shared" si="223"/>
        <v>1+3146.56936019805i</v>
      </c>
      <c r="R355" s="4">
        <f t="shared" si="231"/>
        <v>3146.5695191012651</v>
      </c>
      <c r="S355" s="4">
        <f t="shared" si="232"/>
        <v>1.5704785203676865</v>
      </c>
      <c r="T355" s="4" t="str">
        <f t="shared" si="224"/>
        <v>1+0.073646120245426i</v>
      </c>
      <c r="U355" s="4">
        <f t="shared" si="233"/>
        <v>1.0027082083174566</v>
      </c>
      <c r="V355" s="4">
        <f t="shared" si="234"/>
        <v>7.3513405791109029E-2</v>
      </c>
      <c r="W355" t="str">
        <f t="shared" si="225"/>
        <v>1-0.0765035897109483i</v>
      </c>
      <c r="X355" s="4">
        <f t="shared" si="235"/>
        <v>1.0029221301968869</v>
      </c>
      <c r="Y355" s="4">
        <f t="shared" si="236"/>
        <v>-7.6354858275895679E-2</v>
      </c>
      <c r="Z355" t="str">
        <f t="shared" si="226"/>
        <v>0.964829384073112+0.331294026825708i</v>
      </c>
      <c r="AA355" s="4">
        <f t="shared" si="237"/>
        <v>1.0201232634252067</v>
      </c>
      <c r="AB355" s="4">
        <f t="shared" si="238"/>
        <v>0.33075671454332062</v>
      </c>
      <c r="AC355" s="48" t="str">
        <f t="shared" si="239"/>
        <v>-0.0558691709392129-0.16138100118525i</v>
      </c>
      <c r="AD355" s="20">
        <f t="shared" si="240"/>
        <v>-15.351351630853538</v>
      </c>
      <c r="AE355" s="44">
        <f t="shared" si="241"/>
        <v>-109.09555805702956</v>
      </c>
      <c r="AF355" t="str">
        <f t="shared" si="227"/>
        <v>-0.0000333790427773504</v>
      </c>
      <c r="AG355" t="str">
        <f t="shared" si="228"/>
        <v>0.000798323943460415i</v>
      </c>
      <c r="AH355">
        <f t="shared" si="242"/>
        <v>7.9832394346041502E-4</v>
      </c>
      <c r="AI355">
        <f t="shared" si="243"/>
        <v>1.5707963267948966</v>
      </c>
      <c r="AJ355" t="str">
        <f t="shared" si="229"/>
        <v>1+18.3925070782673i</v>
      </c>
      <c r="AK355">
        <f t="shared" si="244"/>
        <v>18.419672000991572</v>
      </c>
      <c r="AL355">
        <f t="shared" si="245"/>
        <v>1.5164798393615617</v>
      </c>
      <c r="AM355" t="str">
        <f t="shared" si="230"/>
        <v>1+138.454706061401i</v>
      </c>
      <c r="AN355">
        <f t="shared" si="246"/>
        <v>138.4583173036165</v>
      </c>
      <c r="AO355">
        <f t="shared" si="247"/>
        <v>1.5635738737599421</v>
      </c>
      <c r="AP355" s="42" t="str">
        <f t="shared" si="248"/>
        <v>-0.0147957584190342+0.313942492762854i</v>
      </c>
      <c r="AQ355">
        <f t="shared" si="249"/>
        <v>-10.053362399080033</v>
      </c>
      <c r="AR355" s="44">
        <f t="shared" si="250"/>
        <v>92.698289411271134</v>
      </c>
      <c r="AS355" s="42" t="str">
        <f t="shared" si="251"/>
        <v>0.0514909805529508-0.0151519524862917i</v>
      </c>
      <c r="AT355" s="20">
        <f t="shared" si="252"/>
        <v>-25.404714029933572</v>
      </c>
      <c r="AU355" s="44">
        <f t="shared" si="253"/>
        <v>-16.397268645758469</v>
      </c>
    </row>
    <row r="356" spans="14:47" x14ac:dyDescent="0.3">
      <c r="N356" s="8">
        <v>38</v>
      </c>
      <c r="O356" s="35">
        <f t="shared" si="221"/>
        <v>23988.329190194923</v>
      </c>
      <c r="P356" s="34" t="str">
        <f t="shared" si="222"/>
        <v>545.10556621881</v>
      </c>
      <c r="Q356" s="4" t="str">
        <f t="shared" si="223"/>
        <v>1+3219.86237601599i</v>
      </c>
      <c r="R356" s="4">
        <f t="shared" si="231"/>
        <v>3219.8625313021262</v>
      </c>
      <c r="S356" s="4">
        <f t="shared" si="232"/>
        <v>1.5704857545246975</v>
      </c>
      <c r="T356" s="4" t="str">
        <f t="shared" si="224"/>
        <v>1+0.07536155875581i</v>
      </c>
      <c r="U356" s="4">
        <f t="shared" si="233"/>
        <v>1.002835661780187</v>
      </c>
      <c r="V356" s="4">
        <f t="shared" si="234"/>
        <v>7.5219374364321606E-2</v>
      </c>
      <c r="W356" t="str">
        <f t="shared" si="225"/>
        <v>1-0.0782855872355352i</v>
      </c>
      <c r="X356" s="4">
        <f t="shared" si="235"/>
        <v>1.0030596358984907</v>
      </c>
      <c r="Y356" s="4">
        <f t="shared" si="236"/>
        <v>-7.8126244874757E-2</v>
      </c>
      <c r="Z356" t="str">
        <f t="shared" si="226"/>
        <v>0.963171844010422+0.339010856035218i</v>
      </c>
      <c r="AA356" s="4">
        <f t="shared" si="237"/>
        <v>1.0210917498462948</v>
      </c>
      <c r="AB356" s="4">
        <f t="shared" si="238"/>
        <v>0.33843176486776055</v>
      </c>
      <c r="AC356" s="48" t="str">
        <f t="shared" si="239"/>
        <v>-0.0557794463614412-0.157172129663481i</v>
      </c>
      <c r="AD356" s="20">
        <f t="shared" si="240"/>
        <v>-15.557299140039255</v>
      </c>
      <c r="AE356" s="44">
        <f t="shared" si="241"/>
        <v>-109.53946871160927</v>
      </c>
      <c r="AF356" t="str">
        <f t="shared" si="227"/>
        <v>-0.0000333790427773504</v>
      </c>
      <c r="AG356" t="str">
        <f t="shared" si="228"/>
        <v>0.00081691929691298i</v>
      </c>
      <c r="AH356">
        <f t="shared" si="242"/>
        <v>8.1691929691298003E-4</v>
      </c>
      <c r="AI356">
        <f t="shared" si="243"/>
        <v>1.5707963267948966</v>
      </c>
      <c r="AJ356" t="str">
        <f t="shared" si="229"/>
        <v>1+18.820923603665i</v>
      </c>
      <c r="AK356">
        <f t="shared" si="244"/>
        <v>18.847471058340805</v>
      </c>
      <c r="AL356">
        <f t="shared" si="245"/>
        <v>1.5177138853577035</v>
      </c>
      <c r="AM356" t="str">
        <f t="shared" si="230"/>
        <v>1+141.679730460923i</v>
      </c>
      <c r="AN356">
        <f t="shared" si="246"/>
        <v>141.68325950330123</v>
      </c>
      <c r="AO356">
        <f t="shared" si="247"/>
        <v>1.5637382713390502</v>
      </c>
      <c r="AP356" s="42" t="str">
        <f t="shared" si="248"/>
        <v>-0.0141317142228373+0.306831571399679i</v>
      </c>
      <c r="AQ356">
        <f t="shared" si="249"/>
        <v>-10.252796447984815</v>
      </c>
      <c r="AR356" s="44">
        <f t="shared" si="250"/>
        <v>92.637003071412252</v>
      </c>
      <c r="AS356" s="42" t="str">
        <f t="shared" si="251"/>
        <v>0.0490136307203679-0.0148937835586861i</v>
      </c>
      <c r="AT356" s="20">
        <f t="shared" si="252"/>
        <v>-25.810095588024076</v>
      </c>
      <c r="AU356" s="44">
        <f t="shared" si="253"/>
        <v>-16.902465640197075</v>
      </c>
    </row>
    <row r="357" spans="14:47" x14ac:dyDescent="0.3">
      <c r="N357" s="8">
        <v>39</v>
      </c>
      <c r="O357" s="35">
        <f t="shared" si="221"/>
        <v>24547.089156850321</v>
      </c>
      <c r="P357" s="34" t="str">
        <f t="shared" si="222"/>
        <v>545.10556621881</v>
      </c>
      <c r="Q357" s="4" t="str">
        <f t="shared" si="223"/>
        <v>1+3294.86260548561i</v>
      </c>
      <c r="R357" s="4">
        <f t="shared" si="231"/>
        <v>3294.8627572370024</v>
      </c>
      <c r="S357" s="4">
        <f t="shared" si="232"/>
        <v>1.570492824012222</v>
      </c>
      <c r="T357" s="4" t="str">
        <f t="shared" si="224"/>
        <v>1+0.0771169549621745i</v>
      </c>
      <c r="U357" s="4">
        <f t="shared" si="233"/>
        <v>1.0029691045803146</v>
      </c>
      <c r="V357" s="4">
        <f t="shared" si="234"/>
        <v>7.6964625989956834E-2</v>
      </c>
      <c r="W357" t="str">
        <f t="shared" si="225"/>
        <v>1-0.0801090928147066i</v>
      </c>
      <c r="X357" s="4">
        <f t="shared" si="235"/>
        <v>1.0032036018434121</v>
      </c>
      <c r="Y357" s="4">
        <f t="shared" si="236"/>
        <v>-7.9938383832510396E-2</v>
      </c>
      <c r="Z357" t="str">
        <f t="shared" si="226"/>
        <v>0.961436186491241+0.346907433287937i</v>
      </c>
      <c r="AA357" s="4">
        <f t="shared" si="237"/>
        <v>1.0221077770789364</v>
      </c>
      <c r="AB357" s="4">
        <f t="shared" si="238"/>
        <v>0.34628317827749255</v>
      </c>
      <c r="AC357" s="48" t="str">
        <f t="shared" si="239"/>
        <v>-0.0556853246650449-0.153047702917402i</v>
      </c>
      <c r="AD357" s="20">
        <f t="shared" si="240"/>
        <v>-15.763535348881136</v>
      </c>
      <c r="AE357" s="44">
        <f t="shared" si="241"/>
        <v>-109.99355897683111</v>
      </c>
      <c r="AF357" t="str">
        <f t="shared" si="227"/>
        <v>-0.0000333790427773504</v>
      </c>
      <c r="AG357" t="str">
        <f t="shared" si="228"/>
        <v>0.000835947791789973i</v>
      </c>
      <c r="AH357">
        <f t="shared" si="242"/>
        <v>8.3594779178997297E-4</v>
      </c>
      <c r="AI357">
        <f t="shared" si="243"/>
        <v>1.5707963267948966</v>
      </c>
      <c r="AJ357" t="str">
        <f t="shared" si="229"/>
        <v>1+19.2593192318818i</v>
      </c>
      <c r="AK357">
        <f t="shared" si="244"/>
        <v>19.285263215095931</v>
      </c>
      <c r="AL357">
        <f t="shared" si="245"/>
        <v>1.5189199974290155</v>
      </c>
      <c r="AM357" t="str">
        <f t="shared" si="230"/>
        <v>1+144.979875328888i</v>
      </c>
      <c r="AN357">
        <f t="shared" si="246"/>
        <v>144.98332404238738</v>
      </c>
      <c r="AO357">
        <f t="shared" si="247"/>
        <v>1.5638989271410442</v>
      </c>
      <c r="AP357" s="42" t="str">
        <f t="shared" si="248"/>
        <v>-0.0134973924352253+0.299880167972536i</v>
      </c>
      <c r="AQ357">
        <f t="shared" si="249"/>
        <v>-10.452255897547456</v>
      </c>
      <c r="AR357" s="44">
        <f t="shared" si="250"/>
        <v>92.577102839514808</v>
      </c>
      <c r="AS357" s="42" t="str">
        <f t="shared" si="251"/>
        <v>0.0466475775385683-0.0146331796065729i</v>
      </c>
      <c r="AT357" s="20">
        <f t="shared" si="252"/>
        <v>-26.215791246428601</v>
      </c>
      <c r="AU357" s="44">
        <f t="shared" si="253"/>
        <v>-17.416456137316306</v>
      </c>
    </row>
    <row r="358" spans="14:47" x14ac:dyDescent="0.3">
      <c r="N358" s="8">
        <v>40</v>
      </c>
      <c r="O358" s="35">
        <f t="shared" si="221"/>
        <v>25118.86431509586</v>
      </c>
      <c r="P358" s="34" t="str">
        <f t="shared" si="222"/>
        <v>545.10556621881</v>
      </c>
      <c r="Q358" s="4" t="str">
        <f t="shared" si="223"/>
        <v>1+3371.60981472135i</v>
      </c>
      <c r="R358" s="4">
        <f t="shared" si="231"/>
        <v>3371.6099630184594</v>
      </c>
      <c r="S358" s="4">
        <f t="shared" si="232"/>
        <v>1.5704997325785934</v>
      </c>
      <c r="T358" s="4" t="str">
        <f t="shared" si="224"/>
        <v>1+0.078913239598824i</v>
      </c>
      <c r="U358" s="4">
        <f t="shared" si="233"/>
        <v>1.0031088173194278</v>
      </c>
      <c r="V358" s="4">
        <f t="shared" si="234"/>
        <v>7.8750043472804065E-2</v>
      </c>
      <c r="W358" t="str">
        <f t="shared" si="225"/>
        <v>1-0.0819750732952581i</v>
      </c>
      <c r="X358" s="4">
        <f t="shared" si="235"/>
        <v>1.0033543305541481</v>
      </c>
      <c r="Y358" s="4">
        <f t="shared" si="236"/>
        <v>-8.1792188336345426E-2</v>
      </c>
      <c r="Z358" t="str">
        <f t="shared" si="226"/>
        <v>0.959618729953267+0.354987945453651i</v>
      </c>
      <c r="AA358" s="4">
        <f t="shared" si="237"/>
        <v>1.0231737625127637</v>
      </c>
      <c r="AB358" s="4">
        <f t="shared" si="238"/>
        <v>0.35431485317130307</v>
      </c>
      <c r="AC358" s="48" t="str">
        <f t="shared" si="239"/>
        <v>-0.0555866160627541-0.149005616331994i</v>
      </c>
      <c r="AD358" s="20">
        <f t="shared" si="240"/>
        <v>-15.970074586209632</v>
      </c>
      <c r="AE358" s="44">
        <f t="shared" si="241"/>
        <v>-110.45805417003923</v>
      </c>
      <c r="AF358" t="str">
        <f t="shared" si="227"/>
        <v>-0.0000333790427773504</v>
      </c>
      <c r="AG358" t="str">
        <f t="shared" si="228"/>
        <v>0.000855419517251252i</v>
      </c>
      <c r="AH358">
        <f t="shared" si="242"/>
        <v>8.5541951725125198E-4</v>
      </c>
      <c r="AI358">
        <f t="shared" si="243"/>
        <v>1.5707963267948966</v>
      </c>
      <c r="AJ358" t="str">
        <f t="shared" si="229"/>
        <v>1+19.7079264060827i</v>
      </c>
      <c r="AK358">
        <f t="shared" si="244"/>
        <v>19.733280599727248</v>
      </c>
      <c r="AL358">
        <f t="shared" si="245"/>
        <v>1.5200988010278103</v>
      </c>
      <c r="AM358" t="str">
        <f t="shared" si="230"/>
        <v>1+148.356890445789i</v>
      </c>
      <c r="AN358">
        <f t="shared" si="246"/>
        <v>148.36026065878906</v>
      </c>
      <c r="AO358">
        <f t="shared" si="247"/>
        <v>1.5640559263145652</v>
      </c>
      <c r="AP358" s="42" t="str">
        <f t="shared" si="248"/>
        <v>-0.0128914697448912+0.293084807095739i</v>
      </c>
      <c r="AQ358">
        <f t="shared" si="249"/>
        <v>-10.651739610810342</v>
      </c>
      <c r="AR358" s="44">
        <f t="shared" si="250"/>
        <v>92.51855775845884</v>
      </c>
      <c r="AS358" s="42" t="str">
        <f t="shared" si="251"/>
        <v>0.044387875498038-0.0143706912510944i</v>
      </c>
      <c r="AT358" s="20">
        <f t="shared" si="252"/>
        <v>-26.62181419701998</v>
      </c>
      <c r="AU358" s="44">
        <f t="shared" si="253"/>
        <v>-17.939496411580382</v>
      </c>
    </row>
    <row r="359" spans="14:47" x14ac:dyDescent="0.3">
      <c r="N359" s="8">
        <v>41</v>
      </c>
      <c r="O359" s="35">
        <f t="shared" si="221"/>
        <v>25703.95782768865</v>
      </c>
      <c r="P359" s="34" t="str">
        <f t="shared" si="222"/>
        <v>545.10556621881</v>
      </c>
      <c r="Q359" s="4" t="str">
        <f t="shared" si="223"/>
        <v>1+3450.14469610936i</v>
      </c>
      <c r="R359" s="4">
        <f t="shared" si="231"/>
        <v>3450.1448410308158</v>
      </c>
      <c r="S359" s="4">
        <f t="shared" si="232"/>
        <v>1.5705064838868223</v>
      </c>
      <c r="T359" s="4" t="str">
        <f t="shared" si="224"/>
        <v>1+0.0807513650796485i</v>
      </c>
      <c r="U359" s="4">
        <f t="shared" si="233"/>
        <v>1.0032550936637334</v>
      </c>
      <c r="V359" s="4">
        <f t="shared" si="234"/>
        <v>8.0576527908187895E-2</v>
      </c>
      <c r="W359" t="str">
        <f t="shared" si="225"/>
        <v>1-0.0838845180447386i</v>
      </c>
      <c r="X359" s="4">
        <f t="shared" si="235"/>
        <v>1.0035121386249386</v>
      </c>
      <c r="Y359" s="4">
        <f t="shared" si="236"/>
        <v>-8.3688590303398258E-2</v>
      </c>
      <c r="Z359" t="str">
        <f t="shared" si="226"/>
        <v>0.957715619327514+0.363256676926862i</v>
      </c>
      <c r="AA359" s="4">
        <f t="shared" si="237"/>
        <v>1.0242922536248287</v>
      </c>
      <c r="AB359" s="4">
        <f t="shared" si="238"/>
        <v>0.36253075953606229</v>
      </c>
      <c r="AC359" s="48" t="str">
        <f t="shared" si="239"/>
        <v>-0.0554831222428788-0.145043815099354i</v>
      </c>
      <c r="AD359" s="20">
        <f t="shared" si="240"/>
        <v>-16.176931913372261</v>
      </c>
      <c r="AE359" s="44">
        <f t="shared" si="241"/>
        <v>-110.933183730561</v>
      </c>
      <c r="AF359" t="str">
        <f t="shared" si="227"/>
        <v>-0.0000333790427773504</v>
      </c>
      <c r="AG359" t="str">
        <f t="shared" si="228"/>
        <v>0.00087534479746339i</v>
      </c>
      <c r="AH359">
        <f t="shared" si="242"/>
        <v>8.7534479746339004E-4</v>
      </c>
      <c r="AI359">
        <f t="shared" si="243"/>
        <v>1.5707963267948966</v>
      </c>
      <c r="AJ359" t="str">
        <f t="shared" si="229"/>
        <v>1+20.1669829837292i</v>
      </c>
      <c r="AK359">
        <f t="shared" si="244"/>
        <v>20.191760761905414</v>
      </c>
      <c r="AL359">
        <f t="shared" si="245"/>
        <v>1.5212509080596057</v>
      </c>
      <c r="AM359" t="str">
        <f t="shared" si="230"/>
        <v>1+151.81256634974i</v>
      </c>
      <c r="AN359">
        <f t="shared" si="246"/>
        <v>151.81585984900988</v>
      </c>
      <c r="AO359">
        <f t="shared" si="247"/>
        <v>1.5642093520716771</v>
      </c>
      <c r="AP359" s="42" t="str">
        <f t="shared" si="248"/>
        <v>-0.0123126811381097+0.286442082201945i</v>
      </c>
      <c r="AQ359">
        <f t="shared" si="249"/>
        <v>-10.851246501438732</v>
      </c>
      <c r="AR359" s="44">
        <f t="shared" si="250"/>
        <v>92.461337536340721</v>
      </c>
      <c r="AS359" s="42" t="str">
        <f t="shared" si="251"/>
        <v>0.0422297984002962-0.014106822815942i</v>
      </c>
      <c r="AT359" s="20">
        <f t="shared" si="252"/>
        <v>-27.028178414810991</v>
      </c>
      <c r="AU359" s="44">
        <f t="shared" si="253"/>
        <v>-18.471846194220326</v>
      </c>
    </row>
    <row r="360" spans="14:47" x14ac:dyDescent="0.3">
      <c r="N360" s="8">
        <v>42</v>
      </c>
      <c r="O360" s="35">
        <f t="shared" si="221"/>
        <v>26302.679918953829</v>
      </c>
      <c r="P360" s="34" t="str">
        <f t="shared" si="222"/>
        <v>545.10556621881</v>
      </c>
      <c r="Q360" s="4" t="str">
        <f t="shared" si="223"/>
        <v>1+3530.50888988331i</v>
      </c>
      <c r="R360" s="4">
        <f t="shared" si="231"/>
        <v>3530.5090315059506</v>
      </c>
      <c r="S360" s="4">
        <f t="shared" si="232"/>
        <v>1.5705130815165396</v>
      </c>
      <c r="T360" s="4" t="str">
        <f t="shared" si="224"/>
        <v>1+0.082632306003109i</v>
      </c>
      <c r="U360" s="4">
        <f t="shared" si="233"/>
        <v>1.0034082409445277</v>
      </c>
      <c r="V360" s="4">
        <f t="shared" si="234"/>
        <v>8.2444998949262271E-2</v>
      </c>
      <c r="W360" t="str">
        <f t="shared" si="225"/>
        <v>1-0.0858384394760294i</v>
      </c>
      <c r="X360" s="4">
        <f t="shared" si="235"/>
        <v>1.0036773573672368</v>
      </c>
      <c r="Y360" s="4">
        <f t="shared" si="236"/>
        <v>-8.5628540639874573E-2</v>
      </c>
      <c r="Z360" t="str">
        <f t="shared" si="226"/>
        <v>0.955722817861188+0.371718011898452i</v>
      </c>
      <c r="AA360" s="4">
        <f t="shared" si="237"/>
        <v>1.025465935538703</v>
      </c>
      <c r="AB360" s="4">
        <f t="shared" si="238"/>
        <v>0.3709349387766484</v>
      </c>
      <c r="AC360" s="48" t="str">
        <f t="shared" si="239"/>
        <v>-0.0553746360987338-0.141160293589922i</v>
      </c>
      <c r="AD360" s="20">
        <f t="shared" si="240"/>
        <v>-16.384123162509688</v>
      </c>
      <c r="AE360" s="44">
        <f t="shared" si="241"/>
        <v>-111.4191812096047</v>
      </c>
      <c r="AF360" t="str">
        <f t="shared" si="227"/>
        <v>-0.0000333790427773504</v>
      </c>
      <c r="AG360" t="str">
        <f t="shared" si="228"/>
        <v>0.000895734197073703i</v>
      </c>
      <c r="AH360">
        <f t="shared" si="242"/>
        <v>8.9573419707370298E-4</v>
      </c>
      <c r="AI360">
        <f t="shared" si="243"/>
        <v>1.5707963267948966</v>
      </c>
      <c r="AJ360" t="str">
        <f t="shared" si="229"/>
        <v>1+20.6367323626953i</v>
      </c>
      <c r="AK360">
        <f t="shared" si="244"/>
        <v>20.66094679847745</v>
      </c>
      <c r="AL360">
        <f t="shared" si="245"/>
        <v>1.5223769171458532</v>
      </c>
      <c r="AM360" t="str">
        <f t="shared" si="230"/>
        <v>1+155.348735285845i</v>
      </c>
      <c r="AN360">
        <f t="shared" si="246"/>
        <v>155.35195381749003</v>
      </c>
      <c r="AO360">
        <f t="shared" si="247"/>
        <v>1.5643592857318374</v>
      </c>
      <c r="AP360" s="42" t="str">
        <f t="shared" si="248"/>
        <v>-0.011759817384946+0.279948654651698i</v>
      </c>
      <c r="AQ360">
        <f t="shared" si="249"/>
        <v>-11.05077553149053</v>
      </c>
      <c r="AR360" s="44">
        <f t="shared" si="250"/>
        <v>92.405412533939497</v>
      </c>
      <c r="AS360" s="42" t="str">
        <f t="shared" si="251"/>
        <v>0.0401688298890163-0.013842035603045i</v>
      </c>
      <c r="AT360" s="20">
        <f t="shared" si="252"/>
        <v>-27.434898694000221</v>
      </c>
      <c r="AU360" s="44">
        <f t="shared" si="253"/>
        <v>-19.013768675665158</v>
      </c>
    </row>
    <row r="361" spans="14:47" x14ac:dyDescent="0.3">
      <c r="N361" s="8">
        <v>43</v>
      </c>
      <c r="O361" s="35">
        <f t="shared" si="221"/>
        <v>26915.348039269167</v>
      </c>
      <c r="P361" s="34" t="str">
        <f t="shared" si="222"/>
        <v>545.10556621881</v>
      </c>
      <c r="Q361" s="4" t="str">
        <f t="shared" si="223"/>
        <v>1+3612.74500620251i</v>
      </c>
      <c r="R361" s="4">
        <f t="shared" si="231"/>
        <v>3612.7451446014256</v>
      </c>
      <c r="S361" s="4">
        <f t="shared" si="232"/>
        <v>1.5705195289658929</v>
      </c>
      <c r="T361" s="4" t="str">
        <f t="shared" si="224"/>
        <v>1+0.0845570596689805i</v>
      </c>
      <c r="U361" s="4">
        <f t="shared" si="233"/>
        <v>1.0035685807855204</v>
      </c>
      <c r="V361" s="4">
        <f t="shared" si="234"/>
        <v>8.4356395069626527E-2</v>
      </c>
      <c r="W361" t="str">
        <f t="shared" si="225"/>
        <v>1-0.0878378735841367i</v>
      </c>
      <c r="X361" s="4">
        <f t="shared" si="235"/>
        <v>1.0038503334839226</v>
      </c>
      <c r="Y361" s="4">
        <f t="shared" si="236"/>
        <v>-8.7613009494080268E-2</v>
      </c>
      <c r="Z361" t="str">
        <f t="shared" si="226"/>
        <v>0.9536360985552+0.38037643668022i</v>
      </c>
      <c r="AA361" s="4">
        <f t="shared" si="237"/>
        <v>1.0266976390589027</v>
      </c>
      <c r="AB361" s="4">
        <f t="shared" si="238"/>
        <v>0.3795315033627924</v>
      </c>
      <c r="AC361" s="48" t="str">
        <f t="shared" si="239"/>
        <v>-0.0552609414581575-0.137353094783346i</v>
      </c>
      <c r="AD361" s="20">
        <f t="shared" si="240"/>
        <v>-16.591664976752472</v>
      </c>
      <c r="AE361" s="44">
        <f t="shared" si="241"/>
        <v>-111.91628424958546</v>
      </c>
      <c r="AF361" t="str">
        <f t="shared" si="227"/>
        <v>-0.0000333790427773504</v>
      </c>
      <c r="AG361" t="str">
        <f t="shared" si="228"/>
        <v>0.000916598526811748i</v>
      </c>
      <c r="AH361">
        <f t="shared" si="242"/>
        <v>9.16598526811748E-4</v>
      </c>
      <c r="AI361">
        <f t="shared" si="243"/>
        <v>1.5707963267948966</v>
      </c>
      <c r="AJ361" t="str">
        <f t="shared" si="229"/>
        <v>1+21.1174236103195i</v>
      </c>
      <c r="AK361">
        <f t="shared" si="244"/>
        <v>21.141087482380833</v>
      </c>
      <c r="AL361">
        <f t="shared" si="245"/>
        <v>1.523477413883682</v>
      </c>
      <c r="AM361" t="str">
        <f t="shared" si="230"/>
        <v>1+158.967272177684i</v>
      </c>
      <c r="AN361">
        <f t="shared" si="246"/>
        <v>158.97041744807072</v>
      </c>
      <c r="AO361">
        <f t="shared" si="247"/>
        <v>1.564505806764878</v>
      </c>
      <c r="AP361" s="42" t="str">
        <f t="shared" si="248"/>
        <v>-0.0112317226290444+0.273601252819317i</v>
      </c>
      <c r="AQ361">
        <f t="shared" si="249"/>
        <v>-11.250325709281356</v>
      </c>
      <c r="AR361" s="44">
        <f t="shared" si="250"/>
        <v>92.350753752297109</v>
      </c>
      <c r="AS361" s="42" t="str">
        <f t="shared" si="251"/>
        <v>0.0382006543780118-0.0135767509520794i</v>
      </c>
      <c r="AT361" s="20">
        <f t="shared" si="252"/>
        <v>-27.841990686033821</v>
      </c>
      <c r="AU361" s="44">
        <f t="shared" si="253"/>
        <v>-19.565530497288268</v>
      </c>
    </row>
    <row r="362" spans="14:47" x14ac:dyDescent="0.3">
      <c r="N362" s="8">
        <v>44</v>
      </c>
      <c r="O362" s="35">
        <f t="shared" si="221"/>
        <v>27542.287033381719</v>
      </c>
      <c r="P362" s="34" t="str">
        <f t="shared" si="222"/>
        <v>545.10556621881</v>
      </c>
      <c r="Q362" s="4" t="str">
        <f t="shared" si="223"/>
        <v>1+3696.89664774432i</v>
      </c>
      <c r="R362" s="4">
        <f t="shared" si="231"/>
        <v>3696.8967829928915</v>
      </c>
      <c r="S362" s="4">
        <f t="shared" si="232"/>
        <v>1.5705258296534035</v>
      </c>
      <c r="T362" s="4" t="str">
        <f t="shared" si="224"/>
        <v>1+0.0865266466071335i</v>
      </c>
      <c r="U362" s="4">
        <f t="shared" si="233"/>
        <v>1.0037364497581402</v>
      </c>
      <c r="V362" s="4">
        <f t="shared" si="234"/>
        <v>8.6311673820436516E-2</v>
      </c>
      <c r="W362" t="str">
        <f t="shared" si="225"/>
        <v>1-0.08988388049549i</v>
      </c>
      <c r="X362" s="4">
        <f t="shared" si="235"/>
        <v>1.0040314297734547</v>
      </c>
      <c r="Y362" s="4">
        <f t="shared" si="236"/>
        <v>-8.9642986502424693E-2</v>
      </c>
      <c r="Z362" t="str">
        <f t="shared" si="226"/>
        <v>0.951451035198132+0.389236542083594i</v>
      </c>
      <c r="AA362" s="4">
        <f t="shared" si="237"/>
        <v>1.0279903492118934</v>
      </c>
      <c r="AB362" s="4">
        <f t="shared" si="238"/>
        <v>0.38832463627151204</v>
      </c>
      <c r="AC362" s="48" t="str">
        <f t="shared" si="239"/>
        <v>-0.0551418128148362-0.133620309760803i</v>
      </c>
      <c r="AD362" s="20">
        <f t="shared" si="240"/>
        <v>-16.79957485241038</v>
      </c>
      <c r="AE362" s="44">
        <f t="shared" si="241"/>
        <v>-112.42473455164887</v>
      </c>
      <c r="AF362" t="str">
        <f t="shared" si="227"/>
        <v>-0.0000333790427773504</v>
      </c>
      <c r="AG362" t="str">
        <f t="shared" si="228"/>
        <v>0.000937948849221326i</v>
      </c>
      <c r="AH362">
        <f t="shared" si="242"/>
        <v>9.3794884922132604E-4</v>
      </c>
      <c r="AI362">
        <f t="shared" si="243"/>
        <v>1.5707963267948966</v>
      </c>
      <c r="AJ362" t="str">
        <f t="shared" si="229"/>
        <v>1+21.6093115954642i</v>
      </c>
      <c r="AK362">
        <f t="shared" si="244"/>
        <v>21.632437394567063</v>
      </c>
      <c r="AL362">
        <f t="shared" si="245"/>
        <v>1.5245529711025372</v>
      </c>
      <c r="AM362" t="str">
        <f t="shared" si="230"/>
        <v>1+162.670095621411i</v>
      </c>
      <c r="AN362">
        <f t="shared" si="246"/>
        <v>162.6731692980714</v>
      </c>
      <c r="AO362">
        <f t="shared" si="247"/>
        <v>1.5646489928330112</v>
      </c>
      <c r="AP362" s="42" t="str">
        <f t="shared" si="248"/>
        <v>-0.0107272920771565+0.26739667115839i</v>
      </c>
      <c r="AQ362">
        <f t="shared" si="249"/>
        <v>-11.449896087343587</v>
      </c>
      <c r="AR362" s="44">
        <f t="shared" si="250"/>
        <v>92.297332820420976</v>
      </c>
      <c r="AS362" s="42" t="str">
        <f t="shared" si="251"/>
        <v>0.0363211483609203-0.013311353098082i</v>
      </c>
      <c r="AT362" s="20">
        <f t="shared" si="252"/>
        <v>-28.249470939753966</v>
      </c>
      <c r="AU362" s="44">
        <f t="shared" si="253"/>
        <v>-20.127401731227899</v>
      </c>
    </row>
    <row r="363" spans="14:47" x14ac:dyDescent="0.3">
      <c r="N363" s="8">
        <v>45</v>
      </c>
      <c r="O363" s="35">
        <f t="shared" si="221"/>
        <v>28183.829312644593</v>
      </c>
      <c r="P363" s="34" t="str">
        <f t="shared" si="222"/>
        <v>545.10556621881</v>
      </c>
      <c r="Q363" s="4" t="str">
        <f t="shared" si="223"/>
        <v>1+3783.00843282298i</v>
      </c>
      <c r="R363" s="4">
        <f t="shared" si="231"/>
        <v>3783.0085649929183</v>
      </c>
      <c r="S363" s="4">
        <f t="shared" si="232"/>
        <v>1.5705319869197771</v>
      </c>
      <c r="T363" s="4" t="str">
        <f t="shared" si="224"/>
        <v>1+0.088542111118633i</v>
      </c>
      <c r="U363" s="4">
        <f t="shared" si="233"/>
        <v>1.0039122000659939</v>
      </c>
      <c r="V363" s="4">
        <f t="shared" si="234"/>
        <v>8.8311812081110649E-2</v>
      </c>
      <c r="W363" t="str">
        <f t="shared" si="225"/>
        <v>1-0.0919775450300357i</v>
      </c>
      <c r="X363" s="4">
        <f t="shared" si="235"/>
        <v>1.0042210258651989</v>
      </c>
      <c r="Y363" s="4">
        <f t="shared" si="236"/>
        <v>-9.1719481027379104E-2</v>
      </c>
      <c r="Z363" t="str">
        <f t="shared" si="226"/>
        <v>0.949162992977646+0.398303025853735i</v>
      </c>
      <c r="AA363" s="4">
        <f t="shared" si="237"/>
        <v>1.0293472143268878</v>
      </c>
      <c r="AB363" s="4">
        <f t="shared" si="238"/>
        <v>0.39731859020167393</v>
      </c>
      <c r="AC363" s="48" t="str">
        <f t="shared" si="239"/>
        <v>-0.0550170150634312-0.129960077260779i</v>
      </c>
      <c r="AD363" s="20">
        <f t="shared" si="240"/>
        <v>-17.00787118321924</v>
      </c>
      <c r="AE363" s="44">
        <f t="shared" si="241"/>
        <v>-112.94477783004149</v>
      </c>
      <c r="AF363" t="str">
        <f t="shared" si="227"/>
        <v>-0.0000333790427773504</v>
      </c>
      <c r="AG363" t="str">
        <f t="shared" si="228"/>
        <v>0.000959796484525981i</v>
      </c>
      <c r="AH363">
        <f t="shared" si="242"/>
        <v>9.5979648452598103E-4</v>
      </c>
      <c r="AI363">
        <f t="shared" si="243"/>
        <v>1.5707963267948966</v>
      </c>
      <c r="AJ363" t="str">
        <f t="shared" si="229"/>
        <v>1+22.1126571236497i</v>
      </c>
      <c r="AK363">
        <f t="shared" si="244"/>
        <v>22.135257059001955</v>
      </c>
      <c r="AL363">
        <f t="shared" si="245"/>
        <v>1.5256041491175938</v>
      </c>
      <c r="AM363" t="str">
        <f t="shared" si="230"/>
        <v>1+166.45916890303i</v>
      </c>
      <c r="AN363">
        <f t="shared" si="246"/>
        <v>166.46217261554492</v>
      </c>
      <c r="AO363">
        <f t="shared" si="247"/>
        <v>1.5647889198318867</v>
      </c>
      <c r="AP363" s="42" t="str">
        <f t="shared" si="248"/>
        <v>-0.0102454697846813+0.26133176925009i</v>
      </c>
      <c r="AQ363">
        <f t="shared" si="249"/>
        <v>-11.649485760471862</v>
      </c>
      <c r="AR363" s="44">
        <f t="shared" si="250"/>
        <v>92.245121983116817</v>
      </c>
      <c r="AS363" s="42" t="str">
        <f t="shared" si="251"/>
        <v>0.0345263720879135-0.0130461918405952i</v>
      </c>
      <c r="AT363" s="20">
        <f t="shared" si="252"/>
        <v>-28.657356943691102</v>
      </c>
      <c r="AU363" s="44">
        <f t="shared" si="253"/>
        <v>-20.69965584692472</v>
      </c>
    </row>
    <row r="364" spans="14:47" x14ac:dyDescent="0.3">
      <c r="N364" s="8">
        <v>46</v>
      </c>
      <c r="O364" s="35">
        <f t="shared" si="221"/>
        <v>28840.315031266062</v>
      </c>
      <c r="P364" s="34" t="str">
        <f t="shared" si="222"/>
        <v>545.10556621881</v>
      </c>
      <c r="Q364" s="4" t="str">
        <f t="shared" si="223"/>
        <v>1+3871.12601904673i</v>
      </c>
      <c r="R364" s="4">
        <f t="shared" si="231"/>
        <v>3871.1261482081127</v>
      </c>
      <c r="S364" s="4">
        <f t="shared" si="232"/>
        <v>1.5705380040296764</v>
      </c>
      <c r="T364" s="4" t="str">
        <f t="shared" si="224"/>
        <v>1+0.0906045218294405i</v>
      </c>
      <c r="U364" s="4">
        <f t="shared" si="233"/>
        <v>1.0040962002596872</v>
      </c>
      <c r="V364" s="4">
        <f t="shared" si="234"/>
        <v>9.0357806302661214E-2</v>
      </c>
      <c r="W364" t="str">
        <f t="shared" si="225"/>
        <v>1-0.0941199772764225i</v>
      </c>
      <c r="X364" s="4">
        <f t="shared" si="235"/>
        <v>1.004419518987218</v>
      </c>
      <c r="Y364" s="4">
        <f t="shared" si="236"/>
        <v>-9.3843522386298048E-2</v>
      </c>
      <c r="Z364" t="str">
        <f t="shared" si="226"/>
        <v>0.946767118649429+0.407580695160345i</v>
      </c>
      <c r="AA364" s="4">
        <f t="shared" si="237"/>
        <v>1.0307715556917216</v>
      </c>
      <c r="AB364" s="4">
        <f t="shared" si="238"/>
        <v>0.40651768653512554</v>
      </c>
      <c r="AC364" s="48" t="str">
        <f t="shared" si="239"/>
        <v>-0.0548863032408032-0.126370583300367i</v>
      </c>
      <c r="AD364" s="20">
        <f t="shared" si="240"/>
        <v>-17.216573306708892</v>
      </c>
      <c r="AE364" s="44">
        <f t="shared" si="241"/>
        <v>-113.47666375185889</v>
      </c>
      <c r="AF364" t="str">
        <f t="shared" si="227"/>
        <v>-0.0000333790427773504</v>
      </c>
      <c r="AG364" t="str">
        <f t="shared" si="228"/>
        <v>0.000982153016631138i</v>
      </c>
      <c r="AH364">
        <f t="shared" si="242"/>
        <v>9.8215301663113802E-4</v>
      </c>
      <c r="AI364">
        <f t="shared" si="243"/>
        <v>1.5707963267948966</v>
      </c>
      <c r="AJ364" t="str">
        <f t="shared" si="229"/>
        <v>1+22.6277270753378i</v>
      </c>
      <c r="AK364">
        <f t="shared" si="244"/>
        <v>22.64981308081758</v>
      </c>
      <c r="AL364">
        <f t="shared" si="245"/>
        <v>1.5266314959798573</v>
      </c>
      <c r="AM364" t="str">
        <f t="shared" si="230"/>
        <v>1+170.336501039349i</v>
      </c>
      <c r="AN364">
        <f t="shared" si="246"/>
        <v>170.33943638021157</v>
      </c>
      <c r="AO364">
        <f t="shared" si="247"/>
        <v>1.5649256619307212</v>
      </c>
      <c r="AP364" s="42" t="str">
        <f t="shared" si="248"/>
        <v>-0.00978524653357953+0.255403470837065i</v>
      </c>
      <c r="AQ364">
        <f t="shared" si="249"/>
        <v>-11.849093863854847</v>
      </c>
      <c r="AR364" s="44">
        <f t="shared" si="250"/>
        <v>92.194094088958082</v>
      </c>
      <c r="AS364" s="42" t="str">
        <f t="shared" si="251"/>
        <v>0.0328125615951462-0.0127815850369304i</v>
      </c>
      <c r="AT364" s="20">
        <f t="shared" si="252"/>
        <v>-29.065667170563753</v>
      </c>
      <c r="AU364" s="44">
        <f t="shared" si="253"/>
        <v>-21.282569662900759</v>
      </c>
    </row>
    <row r="365" spans="14:47" x14ac:dyDescent="0.3">
      <c r="N365" s="8">
        <v>47</v>
      </c>
      <c r="O365" s="35">
        <f t="shared" si="221"/>
        <v>29512.092266663854</v>
      </c>
      <c r="P365" s="34" t="str">
        <f t="shared" si="222"/>
        <v>545.10556621881</v>
      </c>
      <c r="Q365" s="4" t="str">
        <f t="shared" si="223"/>
        <v>1+3961.29612752623i</v>
      </c>
      <c r="R365" s="4">
        <f t="shared" si="231"/>
        <v>3961.2962537475419</v>
      </c>
      <c r="S365" s="4">
        <f t="shared" si="232"/>
        <v>1.5705438841734505</v>
      </c>
      <c r="T365" s="4" t="str">
        <f t="shared" si="224"/>
        <v>1+0.0927149722570155i</v>
      </c>
      <c r="U365" s="4">
        <f t="shared" si="233"/>
        <v>1.004288835983264</v>
      </c>
      <c r="V365" s="4">
        <f t="shared" si="234"/>
        <v>9.2450672742613441E-2</v>
      </c>
      <c r="W365" t="str">
        <f t="shared" si="225"/>
        <v>1-0.0963123131805874i</v>
      </c>
      <c r="X365" s="4">
        <f t="shared" si="235"/>
        <v>1.0046273247678441</v>
      </c>
      <c r="Y365" s="4">
        <f t="shared" si="236"/>
        <v>-9.6016160069935907E-2</v>
      </c>
      <c r="Z365" t="str">
        <f t="shared" si="226"/>
        <v>0.944258330242811+0.417074469146501i</v>
      </c>
      <c r="AA365" s="4">
        <f t="shared" si="237"/>
        <v>1.0322668778212238</v>
      </c>
      <c r="AB365" s="4">
        <f t="shared" si="238"/>
        <v>0.41592631401650243</v>
      </c>
      <c r="AC365" s="48" t="str">
        <f t="shared" si="239"/>
        <v>-0.05474942227596-0.122850060864256i</v>
      </c>
      <c r="AD365" s="20">
        <f t="shared" si="240"/>
        <v>-17.425701552749384</v>
      </c>
      <c r="AE365" s="44">
        <f t="shared" si="241"/>
        <v>-114.02064586056345</v>
      </c>
      <c r="AF365" t="str">
        <f t="shared" si="227"/>
        <v>-0.0000333790427773504</v>
      </c>
      <c r="AG365" t="str">
        <f t="shared" si="228"/>
        <v>0.00100503029926605i</v>
      </c>
      <c r="AH365">
        <f t="shared" si="242"/>
        <v>1.0050302992660499E-3</v>
      </c>
      <c r="AI365">
        <f t="shared" si="243"/>
        <v>1.5707963267948966</v>
      </c>
      <c r="AJ365" t="str">
        <f t="shared" si="229"/>
        <v>1+23.1547945474347i</v>
      </c>
      <c r="AK365">
        <f t="shared" si="244"/>
        <v>23.176378287685758</v>
      </c>
      <c r="AL365">
        <f t="shared" si="245"/>
        <v>1.5276355477228585</v>
      </c>
      <c r="AM365" t="str">
        <f t="shared" si="230"/>
        <v>1+174.30414784319i</v>
      </c>
      <c r="AN365">
        <f t="shared" si="246"/>
        <v>174.3070163686495</v>
      </c>
      <c r="AO365">
        <f t="shared" si="247"/>
        <v>1.5650592916115191</v>
      </c>
      <c r="AP365" s="42" t="str">
        <f t="shared" si="248"/>
        <v>-0.00934565779914175+0.249608762845614i</v>
      </c>
      <c r="AQ365">
        <f t="shared" si="249"/>
        <v>-12.048719571287545</v>
      </c>
      <c r="AR365" s="44">
        <f t="shared" si="250"/>
        <v>92.144222578398768</v>
      </c>
      <c r="AS365" s="42" t="str">
        <f t="shared" si="251"/>
        <v>0.0311761210731272-0.0125178209313734i</v>
      </c>
      <c r="AT365" s="20">
        <f t="shared" si="252"/>
        <v>-29.474421124036919</v>
      </c>
      <c r="AU365" s="44">
        <f t="shared" si="253"/>
        <v>-21.876423282164648</v>
      </c>
    </row>
    <row r="366" spans="14:47" x14ac:dyDescent="0.3">
      <c r="N366" s="8">
        <v>48</v>
      </c>
      <c r="O366" s="35">
        <f t="shared" si="221"/>
        <v>30199.517204020212</v>
      </c>
      <c r="P366" s="34" t="str">
        <f t="shared" si="222"/>
        <v>545.10556621881</v>
      </c>
      <c r="Q366" s="4" t="str">
        <f t="shared" si="223"/>
        <v>1+4053.56656764648i</v>
      </c>
      <c r="R366" s="4">
        <f t="shared" si="231"/>
        <v>4053.5666909946435</v>
      </c>
      <c r="S366" s="4">
        <f t="shared" si="232"/>
        <v>1.5705496304688278</v>
      </c>
      <c r="T366" s="4" t="str">
        <f t="shared" si="224"/>
        <v>1+0.0948745813901085i</v>
      </c>
      <c r="U366" s="4">
        <f t="shared" si="233"/>
        <v>1.0044905107535602</v>
      </c>
      <c r="V366" s="4">
        <f t="shared" si="234"/>
        <v>9.4591447690385091E-2</v>
      </c>
      <c r="W366" t="str">
        <f t="shared" si="225"/>
        <v>1-0.0985557151480444i</v>
      </c>
      <c r="X366" s="4">
        <f t="shared" si="235"/>
        <v>1.0048448780724029</v>
      </c>
      <c r="Y366" s="4">
        <f t="shared" si="236"/>
        <v>-9.8238463949391938E-2</v>
      </c>
      <c r="Z366" t="str">
        <f t="shared" si="226"/>
        <v>0.941631306281221+0.42678938153683i</v>
      </c>
      <c r="AA366" s="4">
        <f t="shared" si="237"/>
        <v>1.0338368793777231</v>
      </c>
      <c r="AB366" s="4">
        <f t="shared" si="238"/>
        <v>0.42554892712130327</v>
      </c>
      <c r="AC366" s="48" t="str">
        <f t="shared" si="239"/>
        <v>-0.0546061067517384-0.11939678966368i</v>
      </c>
      <c r="AD366" s="20">
        <f t="shared" si="240"/>
        <v>-17.635277294323952</v>
      </c>
      <c r="AE366" s="44">
        <f t="shared" si="241"/>
        <v>-114.57698148152249</v>
      </c>
      <c r="AF366" t="str">
        <f t="shared" si="227"/>
        <v>-0.0000333790427773504</v>
      </c>
      <c r="AG366" t="str">
        <f t="shared" si="228"/>
        <v>0.00102844046226878i</v>
      </c>
      <c r="AH366">
        <f t="shared" si="242"/>
        <v>1.0284404622687799E-3</v>
      </c>
      <c r="AI366">
        <f t="shared" si="243"/>
        <v>1.5707963267948966</v>
      </c>
      <c r="AJ366" t="str">
        <f t="shared" si="229"/>
        <v>1+23.6941389980906i</v>
      </c>
      <c r="AK366">
        <f t="shared" si="244"/>
        <v>23.71523187449024</v>
      </c>
      <c r="AL366">
        <f t="shared" si="245"/>
        <v>1.5286168286058739</v>
      </c>
      <c r="AM366" t="str">
        <f t="shared" si="230"/>
        <v>1+178.364213013404i</v>
      </c>
      <c r="AN366">
        <f t="shared" si="246"/>
        <v>178.36701624429043</v>
      </c>
      <c r="AO366">
        <f t="shared" si="247"/>
        <v>1.5651898797074051</v>
      </c>
      <c r="AP366" s="42" t="str">
        <f t="shared" si="248"/>
        <v>-0.0089257818021845+0.243944694398571i</v>
      </c>
      <c r="AQ366">
        <f t="shared" si="249"/>
        <v>-12.248362093461264</v>
      </c>
      <c r="AR366" s="44">
        <f t="shared" si="250"/>
        <v>92.095481472034024</v>
      </c>
      <c r="AS366" s="42" t="str">
        <f t="shared" si="251"/>
        <v>0.0296136155606097-0.0122551603314292i</v>
      </c>
      <c r="AT366" s="20">
        <f t="shared" si="252"/>
        <v>-29.883639387785216</v>
      </c>
      <c r="AU366" s="44">
        <f t="shared" si="253"/>
        <v>-22.481500009488393</v>
      </c>
    </row>
    <row r="367" spans="14:47" x14ac:dyDescent="0.3">
      <c r="N367" s="8">
        <v>49</v>
      </c>
      <c r="O367" s="35">
        <f t="shared" si="221"/>
        <v>30902.954325135954</v>
      </c>
      <c r="P367" s="34" t="str">
        <f t="shared" si="222"/>
        <v>545.10556621881</v>
      </c>
      <c r="Q367" s="4" t="str">
        <f t="shared" si="223"/>
        <v>1+4147.98626241619i</v>
      </c>
      <c r="R367" s="4">
        <f t="shared" si="231"/>
        <v>4147.9863829566066</v>
      </c>
      <c r="S367" s="4">
        <f t="shared" si="232"/>
        <v>1.5705552459625691</v>
      </c>
      <c r="T367" s="4" t="str">
        <f t="shared" si="224"/>
        <v>1+0.097084494282068i</v>
      </c>
      <c r="U367" s="4">
        <f t="shared" si="233"/>
        <v>1.0047016467738097</v>
      </c>
      <c r="V367" s="4">
        <f t="shared" si="234"/>
        <v>9.678118768194123E-2</v>
      </c>
      <c r="W367" t="str">
        <f t="shared" si="225"/>
        <v>1-0.100851372660212i</v>
      </c>
      <c r="X367" s="4">
        <f t="shared" si="235"/>
        <v>1.0050726338765019</v>
      </c>
      <c r="Y367" s="4">
        <f t="shared" si="236"/>
        <v>-0.10051152447015375</v>
      </c>
      <c r="Z367" t="str">
        <f t="shared" si="226"/>
        <v>0.938880474494628+0.436730583306475i</v>
      </c>
      <c r="AA367" s="4">
        <f t="shared" si="237"/>
        <v>1.035485464785707</v>
      </c>
      <c r="AB367" s="4">
        <f t="shared" si="238"/>
        <v>0.4353900440792679</v>
      </c>
      <c r="AC367" s="48" t="str">
        <f t="shared" si="239"/>
        <v>-0.054456080681627-0.116009095967592i</v>
      </c>
      <c r="AD367" s="20">
        <f t="shared" si="240"/>
        <v>-17.845323000572371</v>
      </c>
      <c r="AE367" s="44">
        <f t="shared" si="241"/>
        <v>-115.14593160766988</v>
      </c>
      <c r="AF367" t="str">
        <f t="shared" si="227"/>
        <v>-0.0000333790427773504</v>
      </c>
      <c r="AG367" t="str">
        <f t="shared" si="228"/>
        <v>0.00105239591801762i</v>
      </c>
      <c r="AH367">
        <f t="shared" si="242"/>
        <v>1.0523959180176201E-3</v>
      </c>
      <c r="AI367">
        <f t="shared" si="243"/>
        <v>1.5707963267948966</v>
      </c>
      <c r="AJ367" t="str">
        <f t="shared" si="229"/>
        <v>1+24.2460463948722i</v>
      </c>
      <c r="AK367">
        <f t="shared" si="244"/>
        <v>24.266659551374087</v>
      </c>
      <c r="AL367">
        <f t="shared" si="245"/>
        <v>1.5295758513536115</v>
      </c>
      <c r="AM367" t="str">
        <f t="shared" si="230"/>
        <v>1+182.518849250288i</v>
      </c>
      <c r="AN367">
        <f t="shared" si="246"/>
        <v>182.52158867281798</v>
      </c>
      <c r="AO367">
        <f t="shared" si="247"/>
        <v>1.5653174954400904</v>
      </c>
      <c r="AP367" s="42" t="str">
        <f t="shared" si="248"/>
        <v>-0.00852473764335803+0.238408375821133i</v>
      </c>
      <c r="AQ367">
        <f t="shared" si="249"/>
        <v>-12.448020676328294</v>
      </c>
      <c r="AR367" s="44">
        <f t="shared" si="250"/>
        <v>92.047845359013948</v>
      </c>
      <c r="AS367" s="42" t="str">
        <f t="shared" si="251"/>
        <v>0.028121763951008-0.0119938386415244i</v>
      </c>
      <c r="AT367" s="20">
        <f t="shared" si="252"/>
        <v>-30.293343676900658</v>
      </c>
      <c r="AU367" s="44">
        <f t="shared" si="253"/>
        <v>-23.09808624865591</v>
      </c>
    </row>
    <row r="368" spans="14:47" x14ac:dyDescent="0.3">
      <c r="N368" s="8">
        <v>50</v>
      </c>
      <c r="O368" s="35">
        <f t="shared" si="221"/>
        <v>31622.77660168384</v>
      </c>
      <c r="P368" s="34" t="str">
        <f t="shared" si="222"/>
        <v>545.10556621881</v>
      </c>
      <c r="Q368" s="4" t="str">
        <f t="shared" si="223"/>
        <v>1+4244.60527440732i</v>
      </c>
      <c r="R368" s="4">
        <f t="shared" si="231"/>
        <v>4244.6053922039018</v>
      </c>
      <c r="S368" s="4">
        <f t="shared" si="232"/>
        <v>1.5705607336320817</v>
      </c>
      <c r="T368" s="4" t="str">
        <f t="shared" si="224"/>
        <v>1+0.099345882657961i</v>
      </c>
      <c r="U368" s="4">
        <f t="shared" si="233"/>
        <v>1.0049226857828861</v>
      </c>
      <c r="V368" s="4">
        <f t="shared" si="234"/>
        <v>9.9020969702421885E-2</v>
      </c>
      <c r="W368" t="str">
        <f t="shared" si="225"/>
        <v>1-0.10320050290509i</v>
      </c>
      <c r="X368" s="4">
        <f t="shared" si="235"/>
        <v>1.0053110681773396</v>
      </c>
      <c r="Y368" s="4">
        <f t="shared" si="236"/>
        <v>-0.10283645283178092</v>
      </c>
      <c r="Z368" t="str">
        <f t="shared" si="226"/>
        <v>0.936+0.446903345412201i</v>
      </c>
      <c r="AA368" s="4">
        <f t="shared" si="237"/>
        <v>1.0372167565849566</v>
      </c>
      <c r="AB368" s="4">
        <f t="shared" si="238"/>
        <v>0.4454542445171899</v>
      </c>
      <c r="AC368" s="48" t="str">
        <f t="shared" si="239"/>
        <v>-0.0542990573056086-0.112685352508428i</v>
      </c>
      <c r="AD368" s="20">
        <f t="shared" si="240"/>
        <v>-18.055862292132872</v>
      </c>
      <c r="AE368" s="44">
        <f t="shared" si="241"/>
        <v>-115.72776076322774</v>
      </c>
      <c r="AF368" t="str">
        <f t="shared" si="227"/>
        <v>-0.0000333790427773504</v>
      </c>
      <c r="AG368" t="str">
        <f t="shared" si="228"/>
        <v>0.0010769093680123i</v>
      </c>
      <c r="AH368">
        <f t="shared" si="242"/>
        <v>1.0769093680122999E-3</v>
      </c>
      <c r="AI368">
        <f t="shared" si="243"/>
        <v>1.5707963267948966</v>
      </c>
      <c r="AJ368" t="str">
        <f t="shared" si="229"/>
        <v>1+24.8108093663867i</v>
      </c>
      <c r="AK368">
        <f t="shared" si="244"/>
        <v>24.830953695240584</v>
      </c>
      <c r="AL368">
        <f t="shared" si="245"/>
        <v>1.5305131173923103</v>
      </c>
      <c r="AM368" t="str">
        <f t="shared" si="230"/>
        <v>1+186.770259396967i</v>
      </c>
      <c r="AN368">
        <f t="shared" si="246"/>
        <v>186.77293646353141</v>
      </c>
      <c r="AO368">
        <f t="shared" si="247"/>
        <v>1.5654422064564895</v>
      </c>
      <c r="AP368" s="42" t="str">
        <f t="shared" si="248"/>
        <v>-0.00814168351635112+0.232996977641693i</v>
      </c>
      <c r="AQ368">
        <f t="shared" si="249"/>
        <v>-12.64769459953844</v>
      </c>
      <c r="AR368" s="44">
        <f t="shared" si="250"/>
        <v>92.001289385614015</v>
      </c>
      <c r="AS368" s="42" t="str">
        <f t="shared" si="251"/>
        <v>0.026697432298771-0.0117340677639478i</v>
      </c>
      <c r="AT368" s="20">
        <f t="shared" si="252"/>
        <v>-30.703556891671305</v>
      </c>
      <c r="AU368" s="44">
        <f t="shared" si="253"/>
        <v>-23.726471377613681</v>
      </c>
    </row>
    <row r="369" spans="14:47" x14ac:dyDescent="0.3">
      <c r="N369" s="8">
        <v>51</v>
      </c>
      <c r="O369" s="35">
        <f t="shared" si="221"/>
        <v>32359.365692962871</v>
      </c>
      <c r="P369" s="34" t="str">
        <f t="shared" si="222"/>
        <v>545.10556621881</v>
      </c>
      <c r="Q369" s="4" t="str">
        <f t="shared" si="223"/>
        <v>1+4343.47483229893i</v>
      </c>
      <c r="R369" s="4">
        <f t="shared" si="231"/>
        <v>4343.4749474141345</v>
      </c>
      <c r="S369" s="4">
        <f t="shared" si="232"/>
        <v>1.5705660963869994</v>
      </c>
      <c r="T369" s="4" t="str">
        <f t="shared" si="224"/>
        <v>1+0.101659945535838i</v>
      </c>
      <c r="U369" s="4">
        <f t="shared" si="233"/>
        <v>1.0051540899416116</v>
      </c>
      <c r="V369" s="4">
        <f t="shared" si="234"/>
        <v>0.10131189137537217</v>
      </c>
      <c r="W369" t="str">
        <f t="shared" si="225"/>
        <v>1-0.105604351422628i</v>
      </c>
      <c r="X369" s="4">
        <f t="shared" si="235"/>
        <v>1.0055606789445348</v>
      </c>
      <c r="Y369" s="4">
        <f t="shared" si="236"/>
        <v>-0.10521438115169469</v>
      </c>
      <c r="Z369" t="str">
        <f t="shared" si="226"/>
        <v>0.932983772924743+0.45731306158713i</v>
      </c>
      <c r="AA369" s="4">
        <f t="shared" si="237"/>
        <v>1.0390351085690428</v>
      </c>
      <c r="AB369" s="4">
        <f t="shared" si="238"/>
        <v>0.45574616668240314</v>
      </c>
      <c r="AC369" s="48" t="str">
        <f t="shared" si="239"/>
        <v>-0.0541347389093845-0.109423978464787i</v>
      </c>
      <c r="AD369" s="20">
        <f t="shared" si="240"/>
        <v>-18.266919998799814</v>
      </c>
      <c r="AE369" s="44">
        <f t="shared" si="241"/>
        <v>-116.3227368432555</v>
      </c>
      <c r="AF369" t="str">
        <f t="shared" si="227"/>
        <v>-0.0000333790427773504</v>
      </c>
      <c r="AG369" t="str">
        <f t="shared" si="228"/>
        <v>0.00110199380960848i</v>
      </c>
      <c r="AH369">
        <f t="shared" si="242"/>
        <v>1.10199380960848E-3</v>
      </c>
      <c r="AI369">
        <f t="shared" si="243"/>
        <v>1.5707963267948966</v>
      </c>
      <c r="AJ369" t="str">
        <f t="shared" si="229"/>
        <v>1+25.3887273574372i</v>
      </c>
      <c r="AK369">
        <f t="shared" si="244"/>
        <v>25.408413504787745</v>
      </c>
      <c r="AL369">
        <f t="shared" si="245"/>
        <v>1.5314291170822125</v>
      </c>
      <c r="AM369" t="str">
        <f t="shared" si="230"/>
        <v>1+191.120697607375i</v>
      </c>
      <c r="AN369">
        <f t="shared" si="246"/>
        <v>191.12331373730854</v>
      </c>
      <c r="AO369">
        <f t="shared" si="247"/>
        <v>1.5655640788645084</v>
      </c>
      <c r="AP369" s="42" t="str">
        <f t="shared" si="248"/>
        <v>-0.007775814996884+0.227707729589615i</v>
      </c>
      <c r="AQ369">
        <f t="shared" si="249"/>
        <v>-12.847383174942992</v>
      </c>
      <c r="AR369" s="44">
        <f t="shared" si="250"/>
        <v>91.955789243965924</v>
      </c>
      <c r="AS369" s="42" t="str">
        <f t="shared" si="251"/>
        <v>0.0253376274135436-0.0114760378762173i</v>
      </c>
      <c r="AT369" s="20">
        <f t="shared" si="252"/>
        <v>-31.114303173742801</v>
      </c>
      <c r="AU369" s="44">
        <f t="shared" si="253"/>
        <v>-24.366947599289503</v>
      </c>
    </row>
    <row r="370" spans="14:47" x14ac:dyDescent="0.3">
      <c r="N370" s="8">
        <v>52</v>
      </c>
      <c r="O370" s="35">
        <f t="shared" si="221"/>
        <v>33113.11214825909</v>
      </c>
      <c r="P370" s="34" t="str">
        <f t="shared" si="222"/>
        <v>545.10556621881</v>
      </c>
      <c r="Q370" s="4" t="str">
        <f t="shared" si="223"/>
        <v>1+4444.64735803931i</v>
      </c>
      <c r="R370" s="4">
        <f t="shared" si="231"/>
        <v>4444.6474705341734</v>
      </c>
      <c r="S370" s="4">
        <f t="shared" si="232"/>
        <v>1.5705713370707248</v>
      </c>
      <c r="T370" s="4" t="str">
        <f t="shared" si="224"/>
        <v>1+0.104027909862466i</v>
      </c>
      <c r="U370" s="4">
        <f t="shared" si="233"/>
        <v>1.0053963427575978</v>
      </c>
      <c r="V370" s="4">
        <f t="shared" si="234"/>
        <v>0.10365507113709313</v>
      </c>
      <c r="W370" t="str">
        <f t="shared" si="225"/>
        <v>1-0.108064192765129i</v>
      </c>
      <c r="X370" s="4">
        <f t="shared" si="235"/>
        <v>1.0058219871120231</v>
      </c>
      <c r="Y370" s="4">
        <f t="shared" si="236"/>
        <v>-0.10764646261142639</v>
      </c>
      <c r="Z370" t="str">
        <f t="shared" si="226"/>
        <v>0.929825395446836+0.467965251200567i</v>
      </c>
      <c r="AA370" s="4">
        <f t="shared" si="237"/>
        <v>1.0409451197585178</v>
      </c>
      <c r="AB370" s="4">
        <f t="shared" si="238"/>
        <v>0.46627050420503818</v>
      </c>
      <c r="AC370" s="48" t="str">
        <f t="shared" si="239"/>
        <v>-0.0539628166719032-0.106223439523316i</v>
      </c>
      <c r="AD370" s="20">
        <f t="shared" si="240"/>
        <v>-18.478522219497734</v>
      </c>
      <c r="AE370" s="44">
        <f t="shared" si="241"/>
        <v>-116.93113092662061</v>
      </c>
      <c r="AF370" t="str">
        <f t="shared" si="227"/>
        <v>-0.0000333790427773504</v>
      </c>
      <c r="AG370" t="str">
        <f t="shared" si="228"/>
        <v>0.00112766254290913i</v>
      </c>
      <c r="AH370">
        <f t="shared" si="242"/>
        <v>1.12766254290913E-3</v>
      </c>
      <c r="AI370">
        <f t="shared" si="243"/>
        <v>1.5707963267948966</v>
      </c>
      <c r="AJ370" t="str">
        <f t="shared" si="229"/>
        <v>1+25.9801067877921i</v>
      </c>
      <c r="AK370">
        <f t="shared" si="244"/>
        <v>25.999345159158931</v>
      </c>
      <c r="AL370">
        <f t="shared" si="245"/>
        <v>1.5323243299463751</v>
      </c>
      <c r="AM370" t="str">
        <f t="shared" si="230"/>
        <v>1+195.572470541436i</v>
      </c>
      <c r="AN370">
        <f t="shared" si="246"/>
        <v>195.57502712176941</v>
      </c>
      <c r="AO370">
        <f t="shared" si="247"/>
        <v>1.5656831772680213</v>
      </c>
      <c r="AP370" s="42" t="str">
        <f t="shared" si="248"/>
        <v>-0.0074263634044791+0.222537919591651i</v>
      </c>
      <c r="AQ370">
        <f t="shared" si="249"/>
        <v>-13.047085745164837</v>
      </c>
      <c r="AR370" s="44">
        <f t="shared" si="250"/>
        <v>91.911321160951616</v>
      </c>
      <c r="AS370" s="42" t="str">
        <f t="shared" si="251"/>
        <v>0.0240394907303231-0.0112199190934971i</v>
      </c>
      <c r="AT370" s="20">
        <f t="shared" si="252"/>
        <v>-31.525607964662584</v>
      </c>
      <c r="AU370" s="44">
        <f t="shared" si="253"/>
        <v>-25.019809765668924</v>
      </c>
    </row>
    <row r="371" spans="14:47" x14ac:dyDescent="0.3">
      <c r="N371" s="8">
        <v>53</v>
      </c>
      <c r="O371" s="35">
        <f t="shared" si="221"/>
        <v>33884.41561392029</v>
      </c>
      <c r="P371" s="34" t="str">
        <f t="shared" si="222"/>
        <v>545.10556621881</v>
      </c>
      <c r="Q371" s="4" t="str">
        <f t="shared" si="223"/>
        <v>1+4548.17649464082i</v>
      </c>
      <c r="R371" s="4">
        <f t="shared" si="231"/>
        <v>4548.1766045749873</v>
      </c>
      <c r="S371" s="4">
        <f t="shared" si="232"/>
        <v>1.5705764584619364</v>
      </c>
      <c r="T371" s="4" t="str">
        <f t="shared" si="224"/>
        <v>1+0.106451031163875i</v>
      </c>
      <c r="U371" s="4">
        <f t="shared" si="233"/>
        <v>1.0056499500501417</v>
      </c>
      <c r="V371" s="4">
        <f t="shared" si="234"/>
        <v>0.10605164839454306</v>
      </c>
      <c r="W371" t="str">
        <f t="shared" si="225"/>
        <v>1-0.110581331173034i</v>
      </c>
      <c r="X371" s="4">
        <f t="shared" si="235"/>
        <v>1.0060955376126068</v>
      </c>
      <c r="Y371" s="4">
        <f t="shared" si="236"/>
        <v>-0.11013387158356075</v>
      </c>
      <c r="Z371" t="str">
        <f t="shared" si="226"/>
        <v>0.926518168224199+0.478865562184446i</v>
      </c>
      <c r="AA371" s="4">
        <f t="shared" si="237"/>
        <v>1.0429516492607656</v>
      </c>
      <c r="AB371" s="4">
        <f t="shared" si="238"/>
        <v>0.47703200235389698</v>
      </c>
      <c r="AC371" s="48" t="str">
        <f t="shared" si="239"/>
        <v>-0.0537829705466935-0.103082248022023i</v>
      </c>
      <c r="AD371" s="20">
        <f t="shared" si="240"/>
        <v>-18.690696384552112</v>
      </c>
      <c r="AE371" s="44">
        <f t="shared" si="241"/>
        <v>-117.55321705978693</v>
      </c>
      <c r="AF371" t="str">
        <f t="shared" si="227"/>
        <v>-0.0000333790427773504</v>
      </c>
      <c r="AG371" t="str">
        <f t="shared" si="228"/>
        <v>0.00115392917781641i</v>
      </c>
      <c r="AH371">
        <f t="shared" si="242"/>
        <v>1.15392917781641E-3</v>
      </c>
      <c r="AI371">
        <f t="shared" si="243"/>
        <v>1.5707963267948966</v>
      </c>
      <c r="AJ371" t="str">
        <f t="shared" si="229"/>
        <v>1+26.5852612146535i</v>
      </c>
      <c r="AK371">
        <f t="shared" si="244"/>
        <v>26.604061980294656</v>
      </c>
      <c r="AL371">
        <f t="shared" si="245"/>
        <v>1.5331992248958022</v>
      </c>
      <c r="AM371" t="str">
        <f t="shared" si="230"/>
        <v>1+200.127938588086i</v>
      </c>
      <c r="AN371">
        <f t="shared" si="246"/>
        <v>200.1304369742812</v>
      </c>
      <c r="AO371">
        <f t="shared" si="247"/>
        <v>1.5657995648010556</v>
      </c>
      <c r="AP371" s="42" t="str">
        <f t="shared" si="248"/>
        <v>-0.00709259423410219+0.217484892768616i</v>
      </c>
      <c r="AQ371">
        <f t="shared" si="249"/>
        <v>-13.246801682231247</v>
      </c>
      <c r="AR371" s="44">
        <f t="shared" si="250"/>
        <v>91.867861887262947</v>
      </c>
      <c r="AS371" s="42" t="str">
        <f t="shared" si="251"/>
        <v>0.0228002924442099-0.010965863024166i</v>
      </c>
      <c r="AT371" s="20">
        <f t="shared" si="252"/>
        <v>-31.937498066783363</v>
      </c>
      <c r="AU371" s="44">
        <f t="shared" si="253"/>
        <v>-25.685355172524055</v>
      </c>
    </row>
    <row r="372" spans="14:47" x14ac:dyDescent="0.3">
      <c r="N372" s="8">
        <v>54</v>
      </c>
      <c r="O372" s="35">
        <f t="shared" si="221"/>
        <v>34673.685045253202</v>
      </c>
      <c r="P372" s="34" t="str">
        <f t="shared" si="222"/>
        <v>545.10556621881</v>
      </c>
      <c r="Q372" s="4" t="str">
        <f t="shared" si="223"/>
        <v>1+4654.11713462198i</v>
      </c>
      <c r="R372" s="4">
        <f t="shared" si="231"/>
        <v>4654.1172420537396</v>
      </c>
      <c r="S372" s="4">
        <f t="shared" si="232"/>
        <v>1.5705814632760624</v>
      </c>
      <c r="T372" s="4" t="str">
        <f t="shared" si="224"/>
        <v>1+0.108930594211053i</v>
      </c>
      <c r="U372" s="4">
        <f t="shared" si="233"/>
        <v>1.0059154409567304</v>
      </c>
      <c r="V372" s="4">
        <f t="shared" si="234"/>
        <v>0.10850278366509331</v>
      </c>
      <c r="W372" t="str">
        <f t="shared" si="225"/>
        <v>1-0.113157101266442i</v>
      </c>
      <c r="X372" s="4">
        <f t="shared" si="235"/>
        <v>1.0063819004567918</v>
      </c>
      <c r="Y372" s="4">
        <f t="shared" si="236"/>
        <v>-0.11267780373749366</v>
      </c>
      <c r="Z372" t="str">
        <f t="shared" si="226"/>
        <v>0.923055076184486+0.490019774027925i</v>
      </c>
      <c r="AA372" s="4">
        <f t="shared" si="237"/>
        <v>1.0450598320710283</v>
      </c>
      <c r="AB372" s="4">
        <f t="shared" si="238"/>
        <v>0.48803545373739765</v>
      </c>
      <c r="AC372" s="48" t="str">
        <f t="shared" si="239"/>
        <v>-0.0535948691831645-0.0999989631770828i</v>
      </c>
      <c r="AD372" s="20">
        <f t="shared" si="240"/>
        <v>-18.903471320214969</v>
      </c>
      <c r="AE372" s="44">
        <f t="shared" si="241"/>
        <v>-118.18927200863546</v>
      </c>
      <c r="AF372" t="str">
        <f t="shared" si="227"/>
        <v>-0.0000333790427773504</v>
      </c>
      <c r="AG372" t="str">
        <f t="shared" si="228"/>
        <v>0.00118080764124782i</v>
      </c>
      <c r="AH372">
        <f t="shared" si="242"/>
        <v>1.1808076412478199E-3</v>
      </c>
      <c r="AI372">
        <f t="shared" si="243"/>
        <v>1.5707963267948966</v>
      </c>
      <c r="AJ372" t="str">
        <f t="shared" si="229"/>
        <v>1+27.2045114989081i</v>
      </c>
      <c r="AK372">
        <f t="shared" si="244"/>
        <v>27.222884599068905</v>
      </c>
      <c r="AL372">
        <f t="shared" si="245"/>
        <v>1.5340542604508738</v>
      </c>
      <c r="AM372" t="str">
        <f t="shared" si="230"/>
        <v>1+204.789517116781i</v>
      </c>
      <c r="AN372">
        <f t="shared" si="246"/>
        <v>204.79195863344913</v>
      </c>
      <c r="AO372">
        <f t="shared" si="247"/>
        <v>1.5659133031612023</v>
      </c>
      <c r="AP372" s="42" t="str">
        <f t="shared" si="248"/>
        <v>-0.00677380565486632+0.2125460504338i</v>
      </c>
      <c r="AQ372">
        <f t="shared" si="249"/>
        <v>-13.446530386265936</v>
      </c>
      <c r="AR372" s="44">
        <f t="shared" si="250"/>
        <v>91.825388686628855</v>
      </c>
      <c r="AS372" s="42" t="str">
        <f t="shared" si="251"/>
        <v>0.0216174258987087-0.0107140042261481i</v>
      </c>
      <c r="AT372" s="20">
        <f t="shared" si="252"/>
        <v>-32.350001706480903</v>
      </c>
      <c r="AU372" s="44">
        <f t="shared" si="253"/>
        <v>-26.363883322006586</v>
      </c>
    </row>
    <row r="373" spans="14:47" x14ac:dyDescent="0.3">
      <c r="N373" s="8">
        <v>55</v>
      </c>
      <c r="O373" s="35">
        <f t="shared" si="221"/>
        <v>35481.33892335758</v>
      </c>
      <c r="P373" s="34" t="str">
        <f t="shared" si="222"/>
        <v>545.10556621881</v>
      </c>
      <c r="Q373" s="4" t="str">
        <f t="shared" si="223"/>
        <v>1+4762.52544911247i</v>
      </c>
      <c r="R373" s="4">
        <f t="shared" si="231"/>
        <v>4762.5255540987837</v>
      </c>
      <c r="S373" s="4">
        <f t="shared" si="232"/>
        <v>1.5705863541667209</v>
      </c>
      <c r="T373" s="4" t="str">
        <f t="shared" si="224"/>
        <v>1+0.11146791370115i</v>
      </c>
      <c r="U373" s="4">
        <f t="shared" si="233"/>
        <v>1.0061933689827651</v>
      </c>
      <c r="V373" s="4">
        <f t="shared" si="234"/>
        <v>0.11100965869634617</v>
      </c>
      <c r="W373" t="str">
        <f t="shared" si="225"/>
        <v>1-0.115792868752754i</v>
      </c>
      <c r="X373" s="4">
        <f t="shared" si="235"/>
        <v>1.0066816718575899</v>
      </c>
      <c r="Y373" s="4">
        <f t="shared" si="236"/>
        <v>-0.11527947612202563</v>
      </c>
      <c r="Z373" t="str">
        <f t="shared" si="226"/>
        <v>0.919428773645173+0.501433800841776i</v>
      </c>
      <c r="AA373" s="4">
        <f t="shared" si="237"/>
        <v>1.0472750958718042</v>
      </c>
      <c r="AB373" s="4">
        <f t="shared" si="238"/>
        <v>0.4992856933976082</v>
      </c>
      <c r="AC373" s="48" t="str">
        <f t="shared" si="239"/>
        <v>-0.0533981698947084-0.0969721913949996i</v>
      </c>
      <c r="AD373" s="20">
        <f t="shared" si="240"/>
        <v>-19.116877315376467</v>
      </c>
      <c r="AE373" s="44">
        <f t="shared" si="241"/>
        <v>-118.83957497532091</v>
      </c>
      <c r="AF373" t="str">
        <f t="shared" si="227"/>
        <v>-0.0000333790427773504</v>
      </c>
      <c r="AG373" t="str">
        <f t="shared" si="228"/>
        <v>0.00120831218452046i</v>
      </c>
      <c r="AH373">
        <f t="shared" si="242"/>
        <v>1.2083121845204599E-3</v>
      </c>
      <c r="AI373">
        <f t="shared" si="243"/>
        <v>1.5707963267948966</v>
      </c>
      <c r="AJ373" t="str">
        <f t="shared" si="229"/>
        <v>1+27.838185975254i</v>
      </c>
      <c r="AK373">
        <f t="shared" si="244"/>
        <v>27.856141125303566</v>
      </c>
      <c r="AL373">
        <f t="shared" si="245"/>
        <v>1.5348898849590698</v>
      </c>
      <c r="AM373" t="str">
        <f t="shared" si="230"/>
        <v>1+209.559677758163i</v>
      </c>
      <c r="AN373">
        <f t="shared" si="246"/>
        <v>209.56206369976678</v>
      </c>
      <c r="AO373">
        <f t="shared" si="247"/>
        <v>1.5660244526422673</v>
      </c>
      <c r="AP373" s="42" t="str">
        <f t="shared" si="248"/>
        <v>-0.00646932707308397+0.2077188490944i</v>
      </c>
      <c r="AQ373">
        <f t="shared" si="249"/>
        <v>-13.646271284239926</v>
      </c>
      <c r="AR373" s="44">
        <f t="shared" si="250"/>
        <v>91.783879325211629</v>
      </c>
      <c r="AS373" s="42" t="str">
        <f t="shared" si="251"/>
        <v>0.0204884022168842-0.0104644615711481i</v>
      </c>
      <c r="AT373" s="20">
        <f t="shared" si="252"/>
        <v>-32.763148599616386</v>
      </c>
      <c r="AU373" s="44">
        <f t="shared" si="253"/>
        <v>-27.055695650109222</v>
      </c>
    </row>
    <row r="374" spans="14:47" x14ac:dyDescent="0.3">
      <c r="N374" s="8">
        <v>56</v>
      </c>
      <c r="O374" s="35">
        <f t="shared" si="221"/>
        <v>36307.805477010232</v>
      </c>
      <c r="P374" s="34" t="str">
        <f t="shared" si="222"/>
        <v>545.10556621881</v>
      </c>
      <c r="Q374" s="4" t="str">
        <f t="shared" si="223"/>
        <v>1+4873.45891763554i</v>
      </c>
      <c r="R374" s="4">
        <f t="shared" si="231"/>
        <v>4873.4590202320751</v>
      </c>
      <c r="S374" s="4">
        <f t="shared" si="232"/>
        <v>1.5705911337271257</v>
      </c>
      <c r="T374" s="4" t="str">
        <f t="shared" si="224"/>
        <v>1+0.114064334954543i</v>
      </c>
      <c r="U374" s="4">
        <f t="shared" si="233"/>
        <v>1.0064843130961467</v>
      </c>
      <c r="V374" s="4">
        <f t="shared" si="234"/>
        <v>0.1135734765640873</v>
      </c>
      <c r="W374" t="str">
        <f t="shared" si="225"/>
        <v>1-0.118490031150778i</v>
      </c>
      <c r="X374" s="4">
        <f t="shared" si="235"/>
        <v>1.0069954754029993</v>
      </c>
      <c r="Y374" s="4">
        <f t="shared" si="236"/>
        <v>-0.11794012722262469</v>
      </c>
      <c r="Z374" t="str">
        <f t="shared" si="226"/>
        <v>0.915631568732389+0.513113694494092i</v>
      </c>
      <c r="AA374" s="4">
        <f t="shared" si="237"/>
        <v>1.0496031788903424</v>
      </c>
      <c r="AB374" s="4">
        <f t="shared" si="238"/>
        <v>0.51078759324168654</v>
      </c>
      <c r="AC374" s="48" t="str">
        <f t="shared" si="239"/>
        <v>-0.0531925186811994-0.0940005866717233i</v>
      </c>
      <c r="AD374" s="20">
        <f t="shared" si="240"/>
        <v>-19.330946190361026</v>
      </c>
      <c r="AE374" s="44">
        <f t="shared" si="241"/>
        <v>-119.50440727696727</v>
      </c>
      <c r="AF374" t="str">
        <f t="shared" si="227"/>
        <v>-0.0000333790427773504</v>
      </c>
      <c r="AG374" t="str">
        <f t="shared" si="228"/>
        <v>0.00123645739090724i</v>
      </c>
      <c r="AH374">
        <f t="shared" si="242"/>
        <v>1.23645739090724E-3</v>
      </c>
      <c r="AI374">
        <f t="shared" si="243"/>
        <v>1.5707963267948966</v>
      </c>
      <c r="AJ374" t="str">
        <f t="shared" si="229"/>
        <v>1+28.4866206262857i</v>
      </c>
      <c r="AK374">
        <f t="shared" si="244"/>
        <v>28.504167321743076</v>
      </c>
      <c r="AL374">
        <f t="shared" si="245"/>
        <v>1.5357065368089784</v>
      </c>
      <c r="AM374" t="str">
        <f t="shared" si="230"/>
        <v>1+214.44094971454i</v>
      </c>
      <c r="AN374">
        <f t="shared" si="246"/>
        <v>214.44328134607966</v>
      </c>
      <c r="AO374">
        <f t="shared" si="247"/>
        <v>1.5661330721661852</v>
      </c>
      <c r="AP374" s="42" t="str">
        <f t="shared" si="248"/>
        <v>-0.00617851775705579+0.203000799457258i</v>
      </c>
      <c r="AQ374">
        <f t="shared" si="249"/>
        <v>-13.846023828775893</v>
      </c>
      <c r="AR374" s="44">
        <f t="shared" si="250"/>
        <v>91.743312061173512</v>
      </c>
      <c r="AS374" s="42" t="str">
        <f t="shared" si="251"/>
        <v>0.0194108451650254-0.0102173395235037i</v>
      </c>
      <c r="AT374" s="20">
        <f t="shared" si="252"/>
        <v>-33.176970019136924</v>
      </c>
      <c r="AU374" s="44">
        <f t="shared" si="253"/>
        <v>-27.76109521579377</v>
      </c>
    </row>
    <row r="375" spans="14:47" x14ac:dyDescent="0.3">
      <c r="N375" s="8">
        <v>57</v>
      </c>
      <c r="O375" s="35">
        <f t="shared" si="221"/>
        <v>37153.522909717351</v>
      </c>
      <c r="P375" s="34" t="str">
        <f t="shared" si="222"/>
        <v>545.10556621881</v>
      </c>
      <c r="Q375" s="4" t="str">
        <f t="shared" si="223"/>
        <v>1+4986.9763585846i</v>
      </c>
      <c r="R375" s="4">
        <f t="shared" si="231"/>
        <v>4986.9764588457529</v>
      </c>
      <c r="S375" s="4">
        <f t="shared" si="232"/>
        <v>1.5705958044914621</v>
      </c>
      <c r="T375" s="4" t="str">
        <f t="shared" si="224"/>
        <v>1+0.116721234628148i</v>
      </c>
      <c r="U375" s="4">
        <f t="shared" si="233"/>
        <v>1.0067888788684145</v>
      </c>
      <c r="V375" s="4">
        <f t="shared" si="234"/>
        <v>0.11619546174634438</v>
      </c>
      <c r="W375" t="str">
        <f t="shared" si="225"/>
        <v>1-0.12125001853172i</v>
      </c>
      <c r="X375" s="4">
        <f t="shared" si="235"/>
        <v>1.0073239632779232</v>
      </c>
      <c r="Y375" s="4">
        <f t="shared" si="236"/>
        <v>-0.12066101699113482</v>
      </c>
      <c r="Z375" t="str">
        <f t="shared" si="226"/>
        <v>0.911655407065415+0.525065647819092i</v>
      </c>
      <c r="AA375" s="4">
        <f t="shared" si="237"/>
        <v>1.0520501488766067</v>
      </c>
      <c r="AB375" s="4">
        <f t="shared" si="238"/>
        <v>0.52254605575164093</v>
      </c>
      <c r="AC375" s="48" t="str">
        <f t="shared" si="239"/>
        <v>-0.0529775503142613-0.0910828510799094i</v>
      </c>
      <c r="AD375" s="20">
        <f t="shared" si="240"/>
        <v>-19.545711367672503</v>
      </c>
      <c r="AE375" s="44">
        <f t="shared" si="241"/>
        <v>-120.18405198280078</v>
      </c>
      <c r="AF375" t="str">
        <f t="shared" si="227"/>
        <v>-0.0000333790427773504</v>
      </c>
      <c r="AG375" t="str">
        <f t="shared" si="228"/>
        <v>0.00126525818336913i</v>
      </c>
      <c r="AH375">
        <f t="shared" si="242"/>
        <v>1.26525818336913E-3</v>
      </c>
      <c r="AI375">
        <f t="shared" si="243"/>
        <v>1.5707963267948966</v>
      </c>
      <c r="AJ375" t="str">
        <f t="shared" si="229"/>
        <v>1+29.1501592606386i</v>
      </c>
      <c r="AK375">
        <f t="shared" si="244"/>
        <v>29.167306782090701</v>
      </c>
      <c r="AL375">
        <f t="shared" si="245"/>
        <v>1.536504644640599</v>
      </c>
      <c r="AM375" t="str">
        <f t="shared" si="230"/>
        <v>1+219.435921100919i</v>
      </c>
      <c r="AN375">
        <f t="shared" si="246"/>
        <v>219.43819965860257</v>
      </c>
      <c r="AO375">
        <f t="shared" si="247"/>
        <v>1.5662392193142076</v>
      </c>
      <c r="AP375" s="42" t="str">
        <f t="shared" si="248"/>
        <v>-0.00590076552106955+0.198389465439953i</v>
      </c>
      <c r="AQ375">
        <f t="shared" si="249"/>
        <v>-14.04578749700603</v>
      </c>
      <c r="AR375" s="44">
        <f t="shared" si="250"/>
        <v>91.703665634414364</v>
      </c>
      <c r="AS375" s="42" t="str">
        <f t="shared" si="251"/>
        <v>0.0183824862387752-0.00997272933995147i</v>
      </c>
      <c r="AT375" s="20">
        <f t="shared" si="252"/>
        <v>-33.591498864678535</v>
      </c>
      <c r="AU375" s="44">
        <f t="shared" si="253"/>
        <v>-28.480386348386407</v>
      </c>
    </row>
    <row r="376" spans="14:47" x14ac:dyDescent="0.3">
      <c r="N376" s="8">
        <v>58</v>
      </c>
      <c r="O376" s="35">
        <f t="shared" si="221"/>
        <v>38018.939632056143</v>
      </c>
      <c r="P376" s="34" t="str">
        <f t="shared" si="222"/>
        <v>545.10556621881</v>
      </c>
      <c r="Q376" s="4" t="str">
        <f t="shared" si="223"/>
        <v>1+5103.13796040941i</v>
      </c>
      <c r="R376" s="4">
        <f t="shared" si="231"/>
        <v>5103.1380583883401</v>
      </c>
      <c r="S376" s="4">
        <f t="shared" si="232"/>
        <v>1.5706003689362305</v>
      </c>
      <c r="T376" s="4" t="str">
        <f t="shared" si="224"/>
        <v>1+0.119440021445341i</v>
      </c>
      <c r="U376" s="4">
        <f t="shared" si="233"/>
        <v>1.0071076996641737</v>
      </c>
      <c r="V376" s="4">
        <f t="shared" si="234"/>
        <v>0.11887686017136119</v>
      </c>
      <c r="W376" t="str">
        <f t="shared" si="225"/>
        <v>1-0.12407429427742i</v>
      </c>
      <c r="X376" s="4">
        <f t="shared" si="235"/>
        <v>1.007667817537327</v>
      </c>
      <c r="Y376" s="4">
        <f t="shared" si="236"/>
        <v>-0.12344342684549092</v>
      </c>
      <c r="Z376" t="str">
        <f t="shared" si="226"/>
        <v>0.90749185467226+0.537295997900631i</v>
      </c>
      <c r="AA376" s="4">
        <f t="shared" si="237"/>
        <v>1.0546224232665136</v>
      </c>
      <c r="AB376" s="4">
        <f t="shared" si="238"/>
        <v>0.53456600690952272</v>
      </c>
      <c r="AC376" s="48" t="str">
        <f t="shared" si="239"/>
        <v>-0.0527528884945156-0.0882177353450776i</v>
      </c>
      <c r="AD376" s="20">
        <f t="shared" si="240"/>
        <v>-19.761207944508332</v>
      </c>
      <c r="AE376" s="44">
        <f t="shared" si="241"/>
        <v>-120.87879350610558</v>
      </c>
      <c r="AF376" t="str">
        <f t="shared" si="227"/>
        <v>-0.0000333790427773504</v>
      </c>
      <c r="AG376" t="str">
        <f t="shared" si="228"/>
        <v>0.0012947298324675i</v>
      </c>
      <c r="AH376">
        <f t="shared" si="242"/>
        <v>1.2947298324675E-3</v>
      </c>
      <c r="AI376">
        <f t="shared" si="243"/>
        <v>1.5707963267948966</v>
      </c>
      <c r="AJ376" t="str">
        <f t="shared" si="229"/>
        <v>1+29.8291536952794i</v>
      </c>
      <c r="AK376">
        <f t="shared" si="244"/>
        <v>29.845911113192717</v>
      </c>
      <c r="AL376">
        <f t="shared" si="245"/>
        <v>1.5372846275519387</v>
      </c>
      <c r="AM376" t="str">
        <f t="shared" si="230"/>
        <v>1+224.547240317243i</v>
      </c>
      <c r="AN376">
        <f t="shared" si="246"/>
        <v>224.54946700914184</v>
      </c>
      <c r="AO376">
        <f t="shared" si="247"/>
        <v>1.5663429503573838</v>
      </c>
      <c r="AP376" s="42" t="str">
        <f t="shared" si="248"/>
        <v>-0.00563548546618031+0.193882463188279i</v>
      </c>
      <c r="AQ376">
        <f t="shared" si="249"/>
        <v>-14.245561789479995</v>
      </c>
      <c r="AR376" s="44">
        <f t="shared" si="250"/>
        <v>91.664919256480744</v>
      </c>
      <c r="AS376" s="42" t="str">
        <f t="shared" si="251"/>
        <v>0.0174011599620052-0.00973071019621678i</v>
      </c>
      <c r="AT376" s="20">
        <f t="shared" si="252"/>
        <v>-34.006769733988335</v>
      </c>
      <c r="AU376" s="44">
        <f t="shared" si="253"/>
        <v>-29.213874249624869</v>
      </c>
    </row>
    <row r="377" spans="14:47" x14ac:dyDescent="0.3">
      <c r="N377" s="8">
        <v>59</v>
      </c>
      <c r="O377" s="35">
        <f t="shared" si="221"/>
        <v>38904.514499428085</v>
      </c>
      <c r="P377" s="34" t="str">
        <f t="shared" si="222"/>
        <v>545.10556621881</v>
      </c>
      <c r="Q377" s="4" t="str">
        <f t="shared" si="223"/>
        <v>1+5222.00531352885i</v>
      </c>
      <c r="R377" s="4">
        <f t="shared" si="231"/>
        <v>5222.0054092775072</v>
      </c>
      <c r="S377" s="4">
        <f t="shared" si="232"/>
        <v>1.5706048294815589</v>
      </c>
      <c r="T377" s="4" t="str">
        <f t="shared" si="224"/>
        <v>1+0.122222136942881i</v>
      </c>
      <c r="U377" s="4">
        <f t="shared" si="233"/>
        <v>1.0074414378805769</v>
      </c>
      <c r="V377" s="4">
        <f t="shared" si="234"/>
        <v>0.1216189392371803</v>
      </c>
      <c r="W377" t="str">
        <f t="shared" si="225"/>
        <v>1-0.126964355856264i</v>
      </c>
      <c r="X377" s="4">
        <f t="shared" si="235"/>
        <v>1.0080277514324674</v>
      </c>
      <c r="Y377" s="4">
        <f t="shared" si="236"/>
        <v>-0.12628865963691627</v>
      </c>
      <c r="Z377" t="str">
        <f t="shared" si="226"/>
        <v>0.903132080100082+0.549811229432211i</v>
      </c>
      <c r="AA377" s="4">
        <f t="shared" si="237"/>
        <v>1.0573267905977131</v>
      </c>
      <c r="AB377" s="4">
        <f t="shared" si="238"/>
        <v>0.54685238827175464</v>
      </c>
      <c r="AC377" s="48" t="str">
        <f t="shared" si="239"/>
        <v>-0.0525181460908863-0.0854040395107911i</v>
      </c>
      <c r="AD377" s="20">
        <f t="shared" si="240"/>
        <v>-19.977472766817346</v>
      </c>
      <c r="AE377" s="44">
        <f t="shared" si="241"/>
        <v>-121.58891714718965</v>
      </c>
      <c r="AF377" t="str">
        <f t="shared" si="227"/>
        <v>-0.0000333790427773504</v>
      </c>
      <c r="AG377" t="str">
        <f t="shared" si="228"/>
        <v>0.00132488796446083i</v>
      </c>
      <c r="AH377">
        <f t="shared" si="242"/>
        <v>1.3248879644608301E-3</v>
      </c>
      <c r="AI377">
        <f t="shared" si="243"/>
        <v>1.5707963267948966</v>
      </c>
      <c r="AJ377" t="str">
        <f t="shared" si="229"/>
        <v>1+30.523963942045i</v>
      </c>
      <c r="AK377">
        <f t="shared" si="244"/>
        <v>30.540340121473168</v>
      </c>
      <c r="AL377">
        <f t="shared" si="245"/>
        <v>1.5380468953019264</v>
      </c>
      <c r="AM377" t="str">
        <f t="shared" si="230"/>
        <v>1+229.777617452617i</v>
      </c>
      <c r="AN377">
        <f t="shared" si="246"/>
        <v>229.77979345930569</v>
      </c>
      <c r="AO377">
        <f t="shared" si="247"/>
        <v>1.5664443202863514</v>
      </c>
      <c r="AP377" s="42" t="str">
        <f t="shared" si="248"/>
        <v>-0.00538211877542878+0.189477460101002i</v>
      </c>
      <c r="AQ377">
        <f t="shared" si="249"/>
        <v>-14.445346229121462</v>
      </c>
      <c r="AR377" s="44">
        <f t="shared" si="250"/>
        <v>91.627052600646905</v>
      </c>
      <c r="AS377" s="42" t="str">
        <f t="shared" si="251"/>
        <v>0.0164647993889968-0.00949135024596601i</v>
      </c>
      <c r="AT377" s="20">
        <f t="shared" si="252"/>
        <v>-34.422818995938805</v>
      </c>
      <c r="AU377" s="44">
        <f t="shared" si="253"/>
        <v>-29.961864546542731</v>
      </c>
    </row>
    <row r="378" spans="14:47" x14ac:dyDescent="0.3">
      <c r="N378" s="8">
        <v>60</v>
      </c>
      <c r="O378" s="35">
        <f t="shared" si="221"/>
        <v>39810.717055349742</v>
      </c>
      <c r="P378" s="34" t="str">
        <f t="shared" si="222"/>
        <v>545.10556621881</v>
      </c>
      <c r="Q378" s="4" t="str">
        <f t="shared" si="223"/>
        <v>1+5343.64144298692i</v>
      </c>
      <c r="R378" s="4">
        <f t="shared" si="231"/>
        <v>5343.6415365560706</v>
      </c>
      <c r="S378" s="4">
        <f t="shared" si="232"/>
        <v>1.5706091884924869</v>
      </c>
      <c r="T378" s="4" t="str">
        <f t="shared" si="224"/>
        <v>1+0.125069056235229i</v>
      </c>
      <c r="U378" s="4">
        <f t="shared" si="233"/>
        <v>1.007790786238677</v>
      </c>
      <c r="V378" s="4">
        <f t="shared" si="234"/>
        <v>0.1244229878003765</v>
      </c>
      <c r="W378" t="str">
        <f t="shared" si="225"/>
        <v>1-0.129921735617155i</v>
      </c>
      <c r="X378" s="4">
        <f t="shared" si="235"/>
        <v>1.0084045107920601</v>
      </c>
      <c r="Y378" s="4">
        <f t="shared" si="236"/>
        <v>-0.12919803958186771</v>
      </c>
      <c r="Z378" t="str">
        <f t="shared" si="226"/>
        <v>0.898566835682489+0.562617978155246i</v>
      </c>
      <c r="AA378" s="4">
        <f t="shared" si="237"/>
        <v>1.0601704332473803</v>
      </c>
      <c r="AB378" s="4">
        <f t="shared" si="238"/>
        <v>0.55941014812282541</v>
      </c>
      <c r="AC378" s="48" t="str">
        <f t="shared" si="239"/>
        <v>-0.0522729254729452-0.0826406136922735i</v>
      </c>
      <c r="AD378" s="20">
        <f t="shared" si="240"/>
        <v>-20.194544504619934</v>
      </c>
      <c r="AE378" s="44">
        <f t="shared" si="241"/>
        <v>-122.3147085833487</v>
      </c>
      <c r="AF378" t="str">
        <f t="shared" si="227"/>
        <v>-0.0000333790427773504</v>
      </c>
      <c r="AG378" t="str">
        <f t="shared" si="228"/>
        <v>0.00135574856958988i</v>
      </c>
      <c r="AH378">
        <f t="shared" si="242"/>
        <v>1.35574856958988E-3</v>
      </c>
      <c r="AI378">
        <f t="shared" si="243"/>
        <v>1.5707963267948966</v>
      </c>
      <c r="AJ378" t="str">
        <f t="shared" si="229"/>
        <v>1+31.234958398525i</v>
      </c>
      <c r="AK378">
        <f t="shared" si="244"/>
        <v>31.250962003714182</v>
      </c>
      <c r="AL378">
        <f t="shared" si="245"/>
        <v>1.5387918485096486</v>
      </c>
      <c r="AM378" t="str">
        <f t="shared" si="230"/>
        <v>1+235.12982572223i</v>
      </c>
      <c r="AN378">
        <f t="shared" si="246"/>
        <v>235.13195219741243</v>
      </c>
      <c r="AO378">
        <f t="shared" si="247"/>
        <v>1.5665433828404507</v>
      </c>
      <c r="AP378" s="42" t="str">
        <f t="shared" si="248"/>
        <v>-0.00514013156124376+0.185172173862749i</v>
      </c>
      <c r="AQ378">
        <f t="shared" si="249"/>
        <v>-14.645140360229709</v>
      </c>
      <c r="AR378" s="44">
        <f t="shared" si="250"/>
        <v>91.590045792167359</v>
      </c>
      <c r="AS378" s="42" t="str">
        <f t="shared" si="251"/>
        <v>0.015571431800772-0.00925470761731052i</v>
      </c>
      <c r="AT378" s="20">
        <f t="shared" si="252"/>
        <v>-34.839684864849637</v>
      </c>
      <c r="AU378" s="44">
        <f t="shared" si="253"/>
        <v>-30.724662791181281</v>
      </c>
    </row>
    <row r="379" spans="14:47" x14ac:dyDescent="0.3">
      <c r="N379" s="8">
        <v>61</v>
      </c>
      <c r="O379" s="35">
        <f t="shared" si="221"/>
        <v>40738.027780411358</v>
      </c>
      <c r="P379" s="34" t="str">
        <f t="shared" si="222"/>
        <v>545.10556621881</v>
      </c>
      <c r="Q379" s="4" t="str">
        <f t="shared" si="223"/>
        <v>1+5468.11084186954i</v>
      </c>
      <c r="R379" s="4">
        <f t="shared" si="231"/>
        <v>5468.1109333087979</v>
      </c>
      <c r="S379" s="4">
        <f t="shared" si="232"/>
        <v>1.5706134482802194</v>
      </c>
      <c r="T379" s="4" t="str">
        <f t="shared" si="224"/>
        <v>1+0.127982288796677i</v>
      </c>
      <c r="U379" s="4">
        <f t="shared" si="233"/>
        <v>1.0081564691284959</v>
      </c>
      <c r="V379" s="4">
        <f t="shared" si="234"/>
        <v>0.12729031613134431</v>
      </c>
      <c r="W379" t="str">
        <f t="shared" si="225"/>
        <v>1-0.132948001601988i</v>
      </c>
      <c r="X379" s="4">
        <f t="shared" si="235"/>
        <v>1.0087988754602983</v>
      </c>
      <c r="Y379" s="4">
        <f t="shared" si="236"/>
        <v>-0.13217291215588606</v>
      </c>
      <c r="Z379" t="str">
        <f t="shared" si="226"/>
        <v>0.893786437923996+0.57572303437743i</v>
      </c>
      <c r="AA379" s="4">
        <f t="shared" si="237"/>
        <v>1.0631609515636007</v>
      </c>
      <c r="AB379" s="4">
        <f t="shared" si="238"/>
        <v>0.5722442316354146</v>
      </c>
      <c r="AC379" s="48" t="str">
        <f t="shared" si="239"/>
        <v>-0.0520168189481984-0.079926358916976i</v>
      </c>
      <c r="AD379" s="20">
        <f t="shared" si="240"/>
        <v>-20.412463728249115</v>
      </c>
      <c r="AE379" s="44">
        <f t="shared" si="241"/>
        <v>-123.05645330163485</v>
      </c>
      <c r="AF379" t="str">
        <f t="shared" si="227"/>
        <v>-0.0000333790427773504</v>
      </c>
      <c r="AG379" t="str">
        <f t="shared" si="228"/>
        <v>0.00138732801055598i</v>
      </c>
      <c r="AH379">
        <f t="shared" si="242"/>
        <v>1.3873280105559801E-3</v>
      </c>
      <c r="AI379">
        <f t="shared" si="243"/>
        <v>1.5707963267948966</v>
      </c>
      <c r="AJ379" t="str">
        <f t="shared" si="229"/>
        <v>1+31.9625140433915i</v>
      </c>
      <c r="AK379">
        <f t="shared" si="244"/>
        <v>31.978153542285689</v>
      </c>
      <c r="AL379">
        <f t="shared" si="245"/>
        <v>1.5395198788499402</v>
      </c>
      <c r="AM379" t="str">
        <f t="shared" si="230"/>
        <v>1+240.606702937753i</v>
      </c>
      <c r="AN379">
        <f t="shared" si="246"/>
        <v>240.60878100887368</v>
      </c>
      <c r="AO379">
        <f t="shared" si="247"/>
        <v>1.5666401905361773</v>
      </c>
      <c r="AP379" s="42" t="str">
        <f t="shared" si="248"/>
        <v>-0.00490901376285678+0.180964371485719i</v>
      </c>
      <c r="AQ379">
        <f t="shared" si="249"/>
        <v>-14.844943747526372</v>
      </c>
      <c r="AR379" s="44">
        <f t="shared" si="250"/>
        <v>91.553879398700715</v>
      </c>
      <c r="AS379" s="42" t="str">
        <f t="shared" si="251"/>
        <v>0.0147191745866693-0.0090208313517087i</v>
      </c>
      <c r="AT379" s="20">
        <f t="shared" si="252"/>
        <v>-35.25740747577548</v>
      </c>
      <c r="AU379" s="44">
        <f t="shared" si="253"/>
        <v>-31.502573902934142</v>
      </c>
    </row>
    <row r="380" spans="14:47" x14ac:dyDescent="0.3">
      <c r="N380" s="8">
        <v>62</v>
      </c>
      <c r="O380" s="35">
        <f t="shared" si="221"/>
        <v>41686.938347033625</v>
      </c>
      <c r="P380" s="34" t="str">
        <f t="shared" si="222"/>
        <v>545.10556621881</v>
      </c>
      <c r="Q380" s="4" t="str">
        <f t="shared" si="223"/>
        <v>1+5595.47950549952i</v>
      </c>
      <c r="R380" s="4">
        <f t="shared" si="231"/>
        <v>5595.4795948573665</v>
      </c>
      <c r="S380" s="4">
        <f t="shared" si="232"/>
        <v>1.5706176111033512</v>
      </c>
      <c r="T380" s="4" t="str">
        <f t="shared" si="224"/>
        <v>1+0.130963379261691i</v>
      </c>
      <c r="U380" s="4">
        <f t="shared" si="233"/>
        <v>1.0085392440096923</v>
      </c>
      <c r="V380" s="4">
        <f t="shared" si="234"/>
        <v>0.13022225583336722</v>
      </c>
      <c r="W380" t="str">
        <f t="shared" si="225"/>
        <v>1-0.136044758377045i</v>
      </c>
      <c r="X380" s="4">
        <f t="shared" si="235"/>
        <v>1.0092116607936457</v>
      </c>
      <c r="Y380" s="4">
        <f t="shared" si="236"/>
        <v>-0.13521464394630525</v>
      </c>
      <c r="Z380" t="str">
        <f t="shared" si="226"/>
        <v>0.888780746960039+0.589133346573037i</v>
      </c>
      <c r="AA380" s="4">
        <f t="shared" si="237"/>
        <v>1.0663063894637372</v>
      </c>
      <c r="AB380" s="4">
        <f t="shared" si="238"/>
        <v>0.58535956996106964</v>
      </c>
      <c r="AC380" s="48" t="str">
        <f t="shared" si="239"/>
        <v>-0.0517494093171415-0.0772602280495659i</v>
      </c>
      <c r="AD380" s="20">
        <f t="shared" si="240"/>
        <v>-20.631272985101354</v>
      </c>
      <c r="AE380" s="44">
        <f t="shared" si="241"/>
        <v>-123.81443597006641</v>
      </c>
      <c r="AF380" t="str">
        <f t="shared" si="227"/>
        <v>-0.0000333790427773504</v>
      </c>
      <c r="AG380" t="str">
        <f t="shared" si="228"/>
        <v>0.00141964303119674i</v>
      </c>
      <c r="AH380">
        <f t="shared" si="242"/>
        <v>1.41964303119674E-3</v>
      </c>
      <c r="AI380">
        <f t="shared" si="243"/>
        <v>1.5707963267948966</v>
      </c>
      <c r="AJ380" t="str">
        <f t="shared" si="229"/>
        <v>1+32.7070166362778i</v>
      </c>
      <c r="AK380">
        <f t="shared" si="244"/>
        <v>32.722300304925888</v>
      </c>
      <c r="AL380">
        <f t="shared" si="245"/>
        <v>1.5402313692453466</v>
      </c>
      <c r="AM380" t="str">
        <f t="shared" si="230"/>
        <v>1+246.211153011981i</v>
      </c>
      <c r="AN380">
        <f t="shared" si="246"/>
        <v>246.21318378082256</v>
      </c>
      <c r="AO380">
        <f t="shared" si="247"/>
        <v>1.566734794694991</v>
      </c>
      <c r="AP380" s="42" t="str">
        <f t="shared" si="248"/>
        <v>-0.00468827809164124+0.176851868360908i</v>
      </c>
      <c r="AQ380">
        <f t="shared" si="249"/>
        <v>-15.044755975244108</v>
      </c>
      <c r="AR380" s="44">
        <f t="shared" si="250"/>
        <v>91.518534420904217</v>
      </c>
      <c r="AS380" s="42" t="str">
        <f t="shared" si="251"/>
        <v>0.0139062313025125-0.00878976228978987i</v>
      </c>
      <c r="AT380" s="20">
        <f t="shared" si="252"/>
        <v>-35.676028960345455</v>
      </c>
      <c r="AU380" s="44">
        <f t="shared" si="253"/>
        <v>-32.29590154916216</v>
      </c>
    </row>
    <row r="381" spans="14:47" x14ac:dyDescent="0.3">
      <c r="N381" s="8">
        <v>63</v>
      </c>
      <c r="O381" s="35">
        <f t="shared" si="221"/>
        <v>42657.951880159271</v>
      </c>
      <c r="P381" s="34" t="str">
        <f t="shared" si="222"/>
        <v>545.10556621881</v>
      </c>
      <c r="Q381" s="4" t="str">
        <f t="shared" si="223"/>
        <v>1+5725.81496642824i</v>
      </c>
      <c r="R381" s="4">
        <f t="shared" si="231"/>
        <v>5725.8150537520532</v>
      </c>
      <c r="S381" s="4">
        <f t="shared" si="232"/>
        <v>1.5706216791690659</v>
      </c>
      <c r="T381" s="4" t="str">
        <f t="shared" si="224"/>
        <v>1+0.134013908243896i</v>
      </c>
      <c r="U381" s="4">
        <f t="shared" si="233"/>
        <v>1.0089399028697414</v>
      </c>
      <c r="V381" s="4">
        <f t="shared" si="234"/>
        <v>0.13322015972255005</v>
      </c>
      <c r="W381" t="str">
        <f t="shared" si="225"/>
        <v>1-0.139213647883758i</v>
      </c>
      <c r="X381" s="4">
        <f t="shared" si="235"/>
        <v>1.00964371921837</v>
      </c>
      <c r="Y381" s="4">
        <f t="shared" si="236"/>
        <v>-0.13832462246062371</v>
      </c>
      <c r="Z381" t="str">
        <f t="shared" si="226"/>
        <v>0.88353914504896+0.602856025067098i</v>
      </c>
      <c r="AA381" s="4">
        <f t="shared" si="237"/>
        <v>1.0696152615747163</v>
      </c>
      <c r="AB381" s="4">
        <f t="shared" si="238"/>
        <v>0.59876106817316188</v>
      </c>
      <c r="AC381" s="48" t="str">
        <f t="shared" si="239"/>
        <v>-0.0514702705598295-0.0746412267975431i</v>
      </c>
      <c r="AD381" s="20">
        <f t="shared" si="240"/>
        <v>-20.851016876410196</v>
      </c>
      <c r="AE381" s="44">
        <f t="shared" si="241"/>
        <v>-124.58893974277851</v>
      </c>
      <c r="AF381" t="str">
        <f t="shared" si="227"/>
        <v>-0.0000333790427773504</v>
      </c>
      <c r="AG381" t="str">
        <f t="shared" si="228"/>
        <v>0.00145271076536382i</v>
      </c>
      <c r="AH381">
        <f t="shared" si="242"/>
        <v>1.4527107653638199E-3</v>
      </c>
      <c r="AI381">
        <f t="shared" si="243"/>
        <v>1.5707963267948966</v>
      </c>
      <c r="AJ381" t="str">
        <f t="shared" si="229"/>
        <v>1+33.4688609223131i</v>
      </c>
      <c r="AK381">
        <f t="shared" si="244"/>
        <v>33.483796849179711</v>
      </c>
      <c r="AL381">
        <f t="shared" si="245"/>
        <v>1.5409266940544872</v>
      </c>
      <c r="AM381" t="str">
        <f t="shared" si="230"/>
        <v>1+251.946147498524i</v>
      </c>
      <c r="AN381">
        <f t="shared" si="246"/>
        <v>251.94813204179152</v>
      </c>
      <c r="AO381">
        <f t="shared" si="247"/>
        <v>1.5668272454704912</v>
      </c>
      <c r="AP381" s="42" t="str">
        <f t="shared" si="248"/>
        <v>-0.00447745902236816+0.172832527319444i</v>
      </c>
      <c r="AQ381">
        <f t="shared" si="249"/>
        <v>-15.244576646255029</v>
      </c>
      <c r="AR381" s="44">
        <f t="shared" si="250"/>
        <v>91.483992283198603</v>
      </c>
      <c r="AS381" s="42" t="str">
        <f t="shared" si="251"/>
        <v>0.013130887896945-0.00856153390830562i</v>
      </c>
      <c r="AT381" s="20">
        <f t="shared" si="252"/>
        <v>-36.095593522665233</v>
      </c>
      <c r="AU381" s="44">
        <f t="shared" si="253"/>
        <v>-33.104947459579954</v>
      </c>
    </row>
    <row r="382" spans="14:47" x14ac:dyDescent="0.3">
      <c r="N382" s="8">
        <v>64</v>
      </c>
      <c r="O382" s="35">
        <f t="shared" si="221"/>
        <v>43651.583224016598</v>
      </c>
      <c r="P382" s="34" t="str">
        <f t="shared" si="222"/>
        <v>545.10556621881</v>
      </c>
      <c r="Q382" s="4" t="str">
        <f t="shared" si="223"/>
        <v>1+5859.18633024227i</v>
      </c>
      <c r="R382" s="4">
        <f t="shared" si="231"/>
        <v>5859.1864155783505</v>
      </c>
      <c r="S382" s="4">
        <f t="shared" si="232"/>
        <v>1.5706256546343051</v>
      </c>
      <c r="T382" s="4" t="str">
        <f t="shared" si="224"/>
        <v>1+0.137135493174134i</v>
      </c>
      <c r="U382" s="4">
        <f t="shared" si="233"/>
        <v>1.0093592737415717</v>
      </c>
      <c r="V382" s="4">
        <f t="shared" si="234"/>
        <v>0.13628540166551975</v>
      </c>
      <c r="W382" t="str">
        <f t="shared" si="225"/>
        <v>1-0.14245635030929i</v>
      </c>
      <c r="X382" s="4">
        <f t="shared" si="235"/>
        <v>1.0100959418507942</v>
      </c>
      <c r="Y382" s="4">
        <f t="shared" si="236"/>
        <v>-0.14150425588715693</v>
      </c>
      <c r="Z382" t="str">
        <f t="shared" si="226"/>
        <v>0.878050514050352+0.616898345805391i</v>
      </c>
      <c r="AA382" s="4">
        <f t="shared" si="237"/>
        <v>1.0730965819913487</v>
      </c>
      <c r="AB382" s="4">
        <f t="shared" si="238"/>
        <v>0.61245359198188631</v>
      </c>
      <c r="AC382" s="48" t="str">
        <f t="shared" si="239"/>
        <v>-0.0511789686685886-0.0720684147922453i</v>
      </c>
      <c r="AD382" s="20">
        <f t="shared" si="240"/>
        <v>-21.071742133469336</v>
      </c>
      <c r="AE382" s="44">
        <f t="shared" si="241"/>
        <v>-125.38024549450105</v>
      </c>
      <c r="AF382" t="str">
        <f t="shared" si="227"/>
        <v>-0.0000333790427773504</v>
      </c>
      <c r="AG382" t="str">
        <f t="shared" si="228"/>
        <v>0.00148654874600761i</v>
      </c>
      <c r="AH382">
        <f t="shared" si="242"/>
        <v>1.4865487460076099E-3</v>
      </c>
      <c r="AI382">
        <f t="shared" si="243"/>
        <v>1.5707963267948966</v>
      </c>
      <c r="AJ382" t="str">
        <f t="shared" si="229"/>
        <v>1+34.2484508414221i</v>
      </c>
      <c r="AK382">
        <f t="shared" si="244"/>
        <v>34.263046931604116</v>
      </c>
      <c r="AL382">
        <f t="shared" si="245"/>
        <v>1.5416062192568551</v>
      </c>
      <c r="AM382" t="str">
        <f t="shared" si="230"/>
        <v>1+257.814727167373i</v>
      </c>
      <c r="AN382">
        <f t="shared" si="246"/>
        <v>257.81666653726438</v>
      </c>
      <c r="AO382">
        <f t="shared" si="247"/>
        <v>1.5669175918749778</v>
      </c>
      <c r="AP382" s="42" t="str">
        <f t="shared" si="248"/>
        <v>-0.00427611182844576+0.168904257704523i</v>
      </c>
      <c r="AQ382">
        <f t="shared" si="249"/>
        <v>-15.444405381238779</v>
      </c>
      <c r="AR382" s="44">
        <f t="shared" si="250"/>
        <v>91.450234824701411</v>
      </c>
      <c r="AS382" s="42" t="str">
        <f t="shared" si="251"/>
        <v>0.0123915090977173-0.00833617311210054i</v>
      </c>
      <c r="AT382" s="20">
        <f t="shared" si="252"/>
        <v>-36.516147514708102</v>
      </c>
      <c r="AU382" s="44">
        <f t="shared" si="253"/>
        <v>-33.930010669799543</v>
      </c>
    </row>
    <row r="383" spans="14:47" x14ac:dyDescent="0.3">
      <c r="N383" s="8">
        <v>65</v>
      </c>
      <c r="O383" s="35">
        <f t="shared" si="221"/>
        <v>44668.359215096389</v>
      </c>
      <c r="P383" s="34" t="str">
        <f t="shared" si="222"/>
        <v>545.10556621881</v>
      </c>
      <c r="Q383" s="4" t="str">
        <f t="shared" si="223"/>
        <v>1+5995.66431220412i</v>
      </c>
      <c r="R383" s="4">
        <f t="shared" si="231"/>
        <v>5995.6643955977142</v>
      </c>
      <c r="S383" s="4">
        <f t="shared" si="232"/>
        <v>1.5706295396069128</v>
      </c>
      <c r="T383" s="4" t="str">
        <f t="shared" si="224"/>
        <v>1+0.140329789158057i</v>
      </c>
      <c r="U383" s="4">
        <f t="shared" si="233"/>
        <v>1.0097982222826225</v>
      </c>
      <c r="V383" s="4">
        <f t="shared" si="234"/>
        <v>0.13941937637164806</v>
      </c>
      <c r="W383" t="str">
        <f t="shared" si="225"/>
        <v>1-0.145774584977389i</v>
      </c>
      <c r="X383" s="4">
        <f t="shared" si="235"/>
        <v>1.0105692601822649</v>
      </c>
      <c r="Y383" s="4">
        <f t="shared" si="236"/>
        <v>-0.14475497280440153</v>
      </c>
      <c r="Z383" t="str">
        <f t="shared" si="226"/>
        <v>0.872303211841991+0.631267754212248i</v>
      </c>
      <c r="AA383" s="4">
        <f t="shared" si="237"/>
        <v>1.0767598947295671</v>
      </c>
      <c r="AB383" s="4">
        <f t="shared" si="238"/>
        <v>0.62644195313988782</v>
      </c>
      <c r="AC383" s="48" t="str">
        <f t="shared" si="239"/>
        <v>-0.0508750626423142-0.0695409067383051i</v>
      </c>
      <c r="AD383" s="20">
        <f t="shared" si="240"/>
        <v>-21.29349769263883</v>
      </c>
      <c r="AE383" s="44">
        <f t="shared" si="241"/>
        <v>-126.18863097968116</v>
      </c>
      <c r="AF383" t="str">
        <f t="shared" si="227"/>
        <v>-0.0000333790427773504</v>
      </c>
      <c r="AG383" t="str">
        <f t="shared" si="228"/>
        <v>0.00152117491447334i</v>
      </c>
      <c r="AH383">
        <f t="shared" si="242"/>
        <v>1.5211749144733401E-3</v>
      </c>
      <c r="AI383">
        <f t="shared" si="243"/>
        <v>1.5707963267948966</v>
      </c>
      <c r="AJ383" t="str">
        <f t="shared" si="229"/>
        <v>1+35.0461997424992i</v>
      </c>
      <c r="AK383">
        <f t="shared" si="244"/>
        <v>35.060463721849871</v>
      </c>
      <c r="AL383">
        <f t="shared" si="245"/>
        <v>1.5422703026340807</v>
      </c>
      <c r="AM383" t="str">
        <f t="shared" si="230"/>
        <v>1+263.820003617148i</v>
      </c>
      <c r="AN383">
        <f t="shared" si="246"/>
        <v>263.82189884191189</v>
      </c>
      <c r="AO383">
        <f t="shared" si="247"/>
        <v>1.5670058818054073</v>
      </c>
      <c r="AP383" s="42" t="str">
        <f t="shared" si="248"/>
        <v>-0.00408381165928911+0.165065014454456i</v>
      </c>
      <c r="AQ383">
        <f t="shared" si="249"/>
        <v>-15.64424181788632</v>
      </c>
      <c r="AR383" s="44">
        <f t="shared" si="250"/>
        <v>91.417244290328739</v>
      </c>
      <c r="AS383" s="42" t="str">
        <f t="shared" si="251"/>
        <v>0.0116865349499201-0.00811370098468952i</v>
      </c>
      <c r="AT383" s="20">
        <f t="shared" si="252"/>
        <v>-36.937739510525134</v>
      </c>
      <c r="AU383" s="44">
        <f t="shared" si="253"/>
        <v>-34.771386689352326</v>
      </c>
    </row>
    <row r="384" spans="14:47" x14ac:dyDescent="0.3">
      <c r="N384" s="8">
        <v>66</v>
      </c>
      <c r="O384" s="35">
        <f t="shared" ref="O384:O418" si="254">10^(4+(N384/100))</f>
        <v>45708.818961487581</v>
      </c>
      <c r="P384" s="34" t="str">
        <f t="shared" si="222"/>
        <v>545.10556621881</v>
      </c>
      <c r="Q384" s="4" t="str">
        <f t="shared" si="223"/>
        <v>1+6135.32127474627i</v>
      </c>
      <c r="R384" s="4">
        <f t="shared" si="231"/>
        <v>6135.3213562415949</v>
      </c>
      <c r="S384" s="4">
        <f t="shared" si="232"/>
        <v>1.5706333361467524</v>
      </c>
      <c r="T384" s="4" t="str">
        <f t="shared" si="224"/>
        <v>1+0.143598489853675i</v>
      </c>
      <c r="U384" s="4">
        <f t="shared" si="233"/>
        <v>1.0102576534173131</v>
      </c>
      <c r="V384" s="4">
        <f t="shared" si="234"/>
        <v>0.14262349913631919</v>
      </c>
      <c r="W384" t="str">
        <f t="shared" si="225"/>
        <v>1-0.149170111259997i</v>
      </c>
      <c r="X384" s="4">
        <f t="shared" si="235"/>
        <v>1.0110646478308496</v>
      </c>
      <c r="Y384" s="4">
        <f t="shared" si="236"/>
        <v>-0.14807822183537098</v>
      </c>
      <c r="Z384" t="str">
        <f t="shared" si="226"/>
        <v>0.866285047625341+0.6459718691382i</v>
      </c>
      <c r="AA384" s="4">
        <f t="shared" si="237"/>
        <v>1.0806153059517243</v>
      </c>
      <c r="AB384" s="4">
        <f t="shared" si="238"/>
        <v>0.64073089345676648</v>
      </c>
      <c r="AC384" s="48" t="str">
        <f t="shared" si="239"/>
        <v>-0.0505581056585345-0.0670578736226949i</v>
      </c>
      <c r="AD384" s="20">
        <f t="shared" si="240"/>
        <v>-21.516334768364121</v>
      </c>
      <c r="AE384" s="44">
        <f t="shared" si="241"/>
        <v>-127.01436991155026</v>
      </c>
      <c r="AF384" t="str">
        <f t="shared" si="227"/>
        <v>-0.0000333790427773504</v>
      </c>
      <c r="AG384" t="str">
        <f t="shared" si="228"/>
        <v>0.00155660763001384i</v>
      </c>
      <c r="AH384">
        <f t="shared" si="242"/>
        <v>1.5566076300138399E-3</v>
      </c>
      <c r="AI384">
        <f t="shared" si="243"/>
        <v>1.5707963267948966</v>
      </c>
      <c r="AJ384" t="str">
        <f t="shared" si="229"/>
        <v>1+35.8625306025709i</v>
      </c>
      <c r="AK384">
        <f t="shared" si="244"/>
        <v>35.876470021733383</v>
      </c>
      <c r="AL384">
        <f t="shared" si="245"/>
        <v>1.5429192939476972</v>
      </c>
      <c r="AM384" t="str">
        <f t="shared" si="230"/>
        <v>1+269.96516092491i</v>
      </c>
      <c r="AN384">
        <f t="shared" si="246"/>
        <v>269.96701300939077</v>
      </c>
      <c r="AO384">
        <f t="shared" si="247"/>
        <v>1.5670921620687606</v>
      </c>
      <c r="AP384" s="42" t="str">
        <f t="shared" si="248"/>
        <v>-0.00390015265803501+0.161312797197193i</v>
      </c>
      <c r="AQ384">
        <f t="shared" si="249"/>
        <v>-15.844085610139837</v>
      </c>
      <c r="AR384" s="44">
        <f t="shared" si="250"/>
        <v>91.385003322063255</v>
      </c>
      <c r="AS384" s="42" t="str">
        <f t="shared" si="251"/>
        <v>0.0110144774983421-0.0078941335007177i</v>
      </c>
      <c r="AT384" s="20">
        <f t="shared" si="252"/>
        <v>-37.360420378503974</v>
      </c>
      <c r="AU384" s="44">
        <f t="shared" si="253"/>
        <v>-35.62936658948707</v>
      </c>
    </row>
    <row r="385" spans="14:47" x14ac:dyDescent="0.3">
      <c r="N385" s="8">
        <v>67</v>
      </c>
      <c r="O385" s="35">
        <f t="shared" si="254"/>
        <v>46773.514128719893</v>
      </c>
      <c r="P385" s="34" t="str">
        <f t="shared" si="222"/>
        <v>545.10556621881</v>
      </c>
      <c r="Q385" s="4" t="str">
        <f t="shared" si="223"/>
        <v>1+6278.2312658389i</v>
      </c>
      <c r="R385" s="4">
        <f t="shared" si="231"/>
        <v>6278.2313454791638</v>
      </c>
      <c r="S385" s="4">
        <f t="shared" si="232"/>
        <v>1.5706370462667987</v>
      </c>
      <c r="T385" s="4" t="str">
        <f t="shared" si="224"/>
        <v>1+0.146943328369365i</v>
      </c>
      <c r="U385" s="4">
        <f t="shared" si="233"/>
        <v>1.0107385130449256</v>
      </c>
      <c r="V385" s="4">
        <f t="shared" si="234"/>
        <v>0.14589920553165492</v>
      </c>
      <c r="W385" t="str">
        <f t="shared" si="225"/>
        <v>1-0.152644729510096i</v>
      </c>
      <c r="X385" s="4">
        <f t="shared" si="235"/>
        <v>1.0115831223617813</v>
      </c>
      <c r="Y385" s="4">
        <f t="shared" si="236"/>
        <v>-0.15147547124296046</v>
      </c>
      <c r="Z385" t="str">
        <f t="shared" si="226"/>
        <v>0.859983256067228+0.661018486899623i</v>
      </c>
      <c r="AA385" s="4">
        <f t="shared" si="237"/>
        <v>1.0846735180408245</v>
      </c>
      <c r="AB385" s="4">
        <f t="shared" si="238"/>
        <v>0.65532506734156049</v>
      </c>
      <c r="AC385" s="48" t="str">
        <f t="shared" si="239"/>
        <v>-0.0502276464400105-0.0646185439722858i</v>
      </c>
      <c r="AD385" s="20">
        <f t="shared" si="240"/>
        <v>-21.740306923326486</v>
      </c>
      <c r="AE385" s="44">
        <f t="shared" si="241"/>
        <v>-127.85773095648054</v>
      </c>
      <c r="AF385" t="str">
        <f t="shared" si="227"/>
        <v>-0.0000333790427773504</v>
      </c>
      <c r="AG385" t="str">
        <f t="shared" si="228"/>
        <v>0.00159286567952391i</v>
      </c>
      <c r="AH385">
        <f t="shared" si="242"/>
        <v>1.59286567952391E-3</v>
      </c>
      <c r="AI385">
        <f t="shared" si="243"/>
        <v>1.5707963267948966</v>
      </c>
      <c r="AJ385" t="str">
        <f t="shared" si="229"/>
        <v>1+36.697876251065i</v>
      </c>
      <c r="AK385">
        <f t="shared" si="244"/>
        <v>36.711498489417188</v>
      </c>
      <c r="AL385">
        <f t="shared" si="245"/>
        <v>1.5435535351134506</v>
      </c>
      <c r="AM385" t="str">
        <f t="shared" si="230"/>
        <v>1+276.253457334407i</v>
      </c>
      <c r="AN385">
        <f t="shared" si="246"/>
        <v>276.25526726057734</v>
      </c>
      <c r="AO385">
        <f t="shared" si="247"/>
        <v>1.5671764784068338</v>
      </c>
      <c r="AP385" s="42" t="str">
        <f t="shared" si="248"/>
        <v>-0.00372474711788996+0.157645649356696i</v>
      </c>
      <c r="AQ385">
        <f t="shared" si="249"/>
        <v>-16.043936427466434</v>
      </c>
      <c r="AR385" s="44">
        <f t="shared" si="250"/>
        <v>91.353494950387727</v>
      </c>
      <c r="AS385" s="42" t="str">
        <f t="shared" si="251"/>
        <v>0.010373917606311-0.00767748220327098i</v>
      </c>
      <c r="AT385" s="20">
        <f t="shared" si="252"/>
        <v>-37.784243350792941</v>
      </c>
      <c r="AU385" s="44">
        <f t="shared" si="253"/>
        <v>-36.504236006092917</v>
      </c>
    </row>
    <row r="386" spans="14:47" x14ac:dyDescent="0.3">
      <c r="N386" s="8">
        <v>68</v>
      </c>
      <c r="O386" s="35">
        <f t="shared" si="254"/>
        <v>47863.009232263823</v>
      </c>
      <c r="P386" s="34" t="str">
        <f t="shared" si="222"/>
        <v>545.10556621881</v>
      </c>
      <c r="Q386" s="4" t="str">
        <f t="shared" si="223"/>
        <v>1+6424.47005825085i</v>
      </c>
      <c r="R386" s="4">
        <f t="shared" si="231"/>
        <v>6424.4701360782819</v>
      </c>
      <c r="S386" s="4">
        <f t="shared" si="232"/>
        <v>1.5706406719342068</v>
      </c>
      <c r="T386" s="4" t="str">
        <f t="shared" si="224"/>
        <v>1+0.15036607818278i</v>
      </c>
      <c r="U386" s="4">
        <f t="shared" si="233"/>
        <v>1.0112417898149135</v>
      </c>
      <c r="V386" s="4">
        <f t="shared" si="234"/>
        <v>0.14924795104084543</v>
      </c>
      <c r="W386" t="str">
        <f t="shared" si="225"/>
        <v>1-0.156200282016272i</v>
      </c>
      <c r="X386" s="4">
        <f t="shared" si="235"/>
        <v>1.0121257471786611</v>
      </c>
      <c r="Y386" s="4">
        <f t="shared" si="236"/>
        <v>-0.15494820846219148</v>
      </c>
      <c r="Z386" t="str">
        <f t="shared" si="226"/>
        <v>0.853384470222862+0.676415585412409i</v>
      </c>
      <c r="AA386" s="4">
        <f t="shared" si="237"/>
        <v>1.0889458655995563</v>
      </c>
      <c r="AB386" s="4">
        <f t="shared" si="238"/>
        <v>0.67022902279421537</v>
      </c>
      <c r="AC386" s="48" t="str">
        <f t="shared" si="239"/>
        <v>-0.049883230833068-0.0622222051463939i</v>
      </c>
      <c r="AD386" s="20">
        <f t="shared" si="240"/>
        <v>-21.965470134720896</v>
      </c>
      <c r="AE386" s="44">
        <f t="shared" si="241"/>
        <v>-128.71897663908902</v>
      </c>
      <c r="AF386" t="str">
        <f t="shared" si="227"/>
        <v>-0.0000333790427773504</v>
      </c>
      <c r="AG386" t="str">
        <f t="shared" si="228"/>
        <v>0.00162996828750134i</v>
      </c>
      <c r="AH386">
        <f t="shared" si="242"/>
        <v>1.6299682875013401E-3</v>
      </c>
      <c r="AI386">
        <f t="shared" si="243"/>
        <v>1.5707963267948966</v>
      </c>
      <c r="AJ386" t="str">
        <f t="shared" si="229"/>
        <v>1+37.552679599301i</v>
      </c>
      <c r="AK386">
        <f t="shared" si="244"/>
        <v>37.565991868813441</v>
      </c>
      <c r="AL386">
        <f t="shared" si="245"/>
        <v>1.5441733603721852</v>
      </c>
      <c r="AM386" t="str">
        <f t="shared" si="230"/>
        <v>1+282.688226983628i</v>
      </c>
      <c r="AN386">
        <f t="shared" si="246"/>
        <v>282.68999571110965</v>
      </c>
      <c r="AO386">
        <f t="shared" si="247"/>
        <v>1.5672588755204675</v>
      </c>
      <c r="AP386" s="42" t="str">
        <f t="shared" si="248"/>
        <v>-0.00355722467546685+0.15406165727148i</v>
      </c>
      <c r="AQ386">
        <f t="shared" si="249"/>
        <v>-16.243793954163483</v>
      </c>
      <c r="AR386" s="44">
        <f t="shared" si="250"/>
        <v>91.322702585881899</v>
      </c>
      <c r="AS386" s="42" t="str">
        <f t="shared" si="251"/>
        <v>0.00976350190355085-0.00746375484868953i</v>
      </c>
      <c r="AT386" s="20">
        <f t="shared" si="252"/>
        <v>-38.209264088884382</v>
      </c>
      <c r="AU386" s="44">
        <f t="shared" si="253"/>
        <v>-37.396274053207122</v>
      </c>
    </row>
    <row r="387" spans="14:47" x14ac:dyDescent="0.3">
      <c r="N387" s="8">
        <v>69</v>
      </c>
      <c r="O387" s="35">
        <f t="shared" si="254"/>
        <v>48977.881936844598</v>
      </c>
      <c r="P387" s="34" t="str">
        <f t="shared" si="222"/>
        <v>545.10556621881</v>
      </c>
      <c r="Q387" s="4" t="str">
        <f t="shared" si="223"/>
        <v>1+6574.11518972561i</v>
      </c>
      <c r="R387" s="4">
        <f t="shared" si="231"/>
        <v>6574.1152657814728</v>
      </c>
      <c r="S387" s="4">
        <f t="shared" si="232"/>
        <v>1.5706442150713524</v>
      </c>
      <c r="T387" s="4" t="str">
        <f t="shared" si="224"/>
        <v>1+0.153868554081179i</v>
      </c>
      <c r="U387" s="4">
        <f t="shared" si="233"/>
        <v>1.0117685169716604</v>
      </c>
      <c r="V387" s="4">
        <f t="shared" si="234"/>
        <v>0.15267121063211081</v>
      </c>
      <c r="W387" t="str">
        <f t="shared" si="225"/>
        <v>1-0.159838653979528i</v>
      </c>
      <c r="X387" s="4">
        <f t="shared" si="235"/>
        <v>1.0126936334874368</v>
      </c>
      <c r="Y387" s="4">
        <f t="shared" si="236"/>
        <v>-0.15849793956502711</v>
      </c>
      <c r="Z387" t="str">
        <f t="shared" si="226"/>
        <v>0.846474693182753+0.692171328422001i</v>
      </c>
      <c r="AA387" s="4">
        <f t="shared" si="237"/>
        <v>1.0934443534484566</v>
      </c>
      <c r="AB387" s="4">
        <f t="shared" si="238"/>
        <v>0.68544718077087352</v>
      </c>
      <c r="AC387" s="48" t="str">
        <f t="shared" si="239"/>
        <v>-0.049524403615044-0.0598682046480066i</v>
      </c>
      <c r="AD387" s="20">
        <f t="shared" si="240"/>
        <v>-22.191882855529684</v>
      </c>
      <c r="AE387" s="44">
        <f t="shared" si="241"/>
        <v>-129.59836215376117</v>
      </c>
      <c r="AF387" t="str">
        <f t="shared" si="227"/>
        <v>-0.0000333790427773504</v>
      </c>
      <c r="AG387" t="str">
        <f t="shared" si="228"/>
        <v>0.00166793512623998i</v>
      </c>
      <c r="AH387">
        <f t="shared" si="242"/>
        <v>1.66793512623998E-3</v>
      </c>
      <c r="AI387">
        <f t="shared" si="243"/>
        <v>1.5707963267948966</v>
      </c>
      <c r="AJ387" t="str">
        <f t="shared" si="229"/>
        <v>1+38.4273938753291i</v>
      </c>
      <c r="AK387">
        <f t="shared" si="244"/>
        <v>38.440403224337807</v>
      </c>
      <c r="AL387">
        <f t="shared" si="245"/>
        <v>1.5447790964573545</v>
      </c>
      <c r="AM387" t="str">
        <f t="shared" si="230"/>
        <v>1+289.272881672617i</v>
      </c>
      <c r="AN387">
        <f t="shared" si="246"/>
        <v>289.27461013918918</v>
      </c>
      <c r="AO387">
        <f t="shared" si="247"/>
        <v>1.5673393970932239</v>
      </c>
      <c r="AP387" s="42" t="str">
        <f t="shared" si="248"/>
        <v>-0.00339723153953112+0.150558949325564i</v>
      </c>
      <c r="AQ387">
        <f t="shared" si="249"/>
        <v>-16.443657888695267</v>
      </c>
      <c r="AR387" s="44">
        <f t="shared" si="250"/>
        <v>91.292610010981633</v>
      </c>
      <c r="AS387" s="42" t="str">
        <f t="shared" si="251"/>
        <v>0.00918193985574922-0.00725295602121088i</v>
      </c>
      <c r="AT387" s="20">
        <f t="shared" si="252"/>
        <v>-38.635540744224947</v>
      </c>
      <c r="AU387" s="44">
        <f t="shared" si="253"/>
        <v>-38.305752142779561</v>
      </c>
    </row>
    <row r="388" spans="14:47" x14ac:dyDescent="0.3">
      <c r="N388" s="8">
        <v>70</v>
      </c>
      <c r="O388" s="35">
        <f t="shared" si="254"/>
        <v>50118.723362727294</v>
      </c>
      <c r="P388" s="34" t="str">
        <f t="shared" si="222"/>
        <v>545.10556621881</v>
      </c>
      <c r="Q388" s="4" t="str">
        <f t="shared" si="223"/>
        <v>1+6727.24600409269i</v>
      </c>
      <c r="R388" s="4">
        <f t="shared" si="231"/>
        <v>6727.246078417309</v>
      </c>
      <c r="S388" s="4">
        <f t="shared" si="232"/>
        <v>1.5706476775568539</v>
      </c>
      <c r="T388" s="4" t="str">
        <f t="shared" si="224"/>
        <v>1+0.157452613123643i</v>
      </c>
      <c r="U388" s="4">
        <f t="shared" si="233"/>
        <v>1.0123197742706913</v>
      </c>
      <c r="V388" s="4">
        <f t="shared" si="234"/>
        <v>0.15617047826805566</v>
      </c>
      <c r="W388" t="str">
        <f t="shared" si="225"/>
        <v>1-0.16356177451284i</v>
      </c>
      <c r="X388" s="4">
        <f t="shared" si="235"/>
        <v>1.0132879423351435</v>
      </c>
      <c r="Y388" s="4">
        <f t="shared" si="236"/>
        <v>-0.16212618865320019</v>
      </c>
      <c r="Z388" t="str">
        <f t="shared" si="226"/>
        <v>0.839239268383387+0.708294069831896i</v>
      </c>
      <c r="AA388" s="4">
        <f t="shared" si="237"/>
        <v>1.0981816966949112</v>
      </c>
      <c r="AB388" s="4">
        <f t="shared" si="238"/>
        <v>0.70098381285300859</v>
      </c>
      <c r="AC388" s="48" t="str">
        <f t="shared" si="239"/>
        <v>-0.0491507105481429-0.0575559514343715i</v>
      </c>
      <c r="AD388" s="20">
        <f t="shared" si="240"/>
        <v>-22.419606069520039</v>
      </c>
      <c r="AE388" s="44">
        <f t="shared" si="241"/>
        <v>-130.49613407856913</v>
      </c>
      <c r="AF388" t="str">
        <f t="shared" si="227"/>
        <v>-0.0000333790427773504</v>
      </c>
      <c r="AG388" t="str">
        <f t="shared" si="228"/>
        <v>0.00170678632626029i</v>
      </c>
      <c r="AH388">
        <f t="shared" si="242"/>
        <v>1.7067863262602899E-3</v>
      </c>
      <c r="AI388">
        <f t="shared" si="243"/>
        <v>1.5707963267948966</v>
      </c>
      <c r="AJ388" t="str">
        <f t="shared" si="229"/>
        <v>1+39.3224828642367i</v>
      </c>
      <c r="AK388">
        <f t="shared" si="244"/>
        <v>39.335196181132602</v>
      </c>
      <c r="AL388">
        <f t="shared" si="245"/>
        <v>1.5453710627591952</v>
      </c>
      <c r="AM388" t="str">
        <f t="shared" si="230"/>
        <v>1+296.01091267245i</v>
      </c>
      <c r="AN388">
        <f t="shared" si="246"/>
        <v>296.01260179454658</v>
      </c>
      <c r="AO388">
        <f t="shared" si="247"/>
        <v>1.5674180858145279</v>
      </c>
      <c r="AP388" s="42" t="str">
        <f t="shared" si="248"/>
        <v>-0.00324442975364107+0.147135695092059i</v>
      </c>
      <c r="AQ388">
        <f t="shared" si="249"/>
        <v>-16.643527943059279</v>
      </c>
      <c r="AR388" s="44">
        <f t="shared" si="250"/>
        <v>91.263201371898177</v>
      </c>
      <c r="AS388" s="42" t="str">
        <f t="shared" si="251"/>
        <v>0.00862800094869604-0.00704508771943681i</v>
      </c>
      <c r="AT388" s="20">
        <f t="shared" si="252"/>
        <v>-39.063134012579312</v>
      </c>
      <c r="AU388" s="44">
        <f t="shared" si="253"/>
        <v>-39.232932706670944</v>
      </c>
    </row>
    <row r="389" spans="14:47" x14ac:dyDescent="0.3">
      <c r="N389" s="8">
        <v>71</v>
      </c>
      <c r="O389" s="35">
        <f t="shared" si="254"/>
        <v>51286.138399136544</v>
      </c>
      <c r="P389" s="34" t="str">
        <f t="shared" si="222"/>
        <v>545.10556621881</v>
      </c>
      <c r="Q389" s="4" t="str">
        <f t="shared" si="223"/>
        <v>1+6883.94369333678i</v>
      </c>
      <c r="R389" s="4">
        <f t="shared" si="231"/>
        <v>6883.9437659695632</v>
      </c>
      <c r="S389" s="4">
        <f t="shared" si="232"/>
        <v>1.5706510612265663</v>
      </c>
      <c r="T389" s="4" t="str">
        <f t="shared" si="224"/>
        <v>1+0.161120155625717i</v>
      </c>
      <c r="U389" s="4">
        <f t="shared" si="233"/>
        <v>1.0128966899683578</v>
      </c>
      <c r="V389" s="4">
        <f t="shared" si="234"/>
        <v>0.15974726634604328</v>
      </c>
      <c r="W389" t="str">
        <f t="shared" si="225"/>
        <v>1-0.167371617663994i</v>
      </c>
      <c r="X389" s="4">
        <f t="shared" si="235"/>
        <v>1.0139098867253746</v>
      </c>
      <c r="Y389" s="4">
        <f t="shared" si="236"/>
        <v>-0.16583449717432869</v>
      </c>
      <c r="Z389" t="str">
        <f t="shared" si="226"/>
        <v>0.831662848518695+0.724792358132996i</v>
      </c>
      <c r="AA389" s="4">
        <f t="shared" si="237"/>
        <v>1.1031713629415054</v>
      </c>
      <c r="AB389" s="4">
        <f t="shared" si="238"/>
        <v>0.71684301715808429</v>
      </c>
      <c r="AC389" s="48" t="str">
        <f t="shared" si="239"/>
        <v>-0.0487617006965367-0.0552849172042907i</v>
      </c>
      <c r="AD389" s="20">
        <f t="shared" si="240"/>
        <v>-22.6487033385513</v>
      </c>
      <c r="AE389" s="44">
        <f t="shared" si="241"/>
        <v>-131.41252898799112</v>
      </c>
      <c r="AF389" t="str">
        <f t="shared" si="227"/>
        <v>-0.0000333790427773504</v>
      </c>
      <c r="AG389" t="str">
        <f t="shared" si="228"/>
        <v>0.00174654248698277i</v>
      </c>
      <c r="AH389">
        <f t="shared" si="242"/>
        <v>1.7465424869827701E-3</v>
      </c>
      <c r="AI389">
        <f t="shared" si="243"/>
        <v>1.5707963267948966</v>
      </c>
      <c r="AJ389" t="str">
        <f t="shared" si="229"/>
        <v>1+40.2384211540536i</v>
      </c>
      <c r="AK389">
        <f t="shared" si="244"/>
        <v>40.250845170890365</v>
      </c>
      <c r="AL389">
        <f t="shared" si="245"/>
        <v>1.5459495714856122</v>
      </c>
      <c r="AM389" t="str">
        <f t="shared" si="230"/>
        <v>1+302.905892576349i</v>
      </c>
      <c r="AN389">
        <f t="shared" si="246"/>
        <v>302.90754324954452</v>
      </c>
      <c r="AO389">
        <f t="shared" si="247"/>
        <v>1.5674949834022809</v>
      </c>
      <c r="AP389" s="42" t="str">
        <f t="shared" si="248"/>
        <v>-0.00309849649122892+0.143790104489589i</v>
      </c>
      <c r="AQ389">
        <f t="shared" si="249"/>
        <v>-16.84340384218018</v>
      </c>
      <c r="AR389" s="44">
        <f t="shared" si="250"/>
        <v>91.23446117069598</v>
      </c>
      <c r="AS389" s="42" t="str">
        <f t="shared" si="251"/>
        <v>0.00810051198001781-0.0068401499162697i</v>
      </c>
      <c r="AT389" s="20">
        <f t="shared" si="252"/>
        <v>-39.49210718073148</v>
      </c>
      <c r="AU389" s="44">
        <f t="shared" si="253"/>
        <v>-40.178067817295123</v>
      </c>
    </row>
    <row r="390" spans="14:47" x14ac:dyDescent="0.3">
      <c r="N390" s="8">
        <v>72</v>
      </c>
      <c r="O390" s="35">
        <f t="shared" si="254"/>
        <v>52480.746024977314</v>
      </c>
      <c r="P390" s="34" t="str">
        <f t="shared" si="222"/>
        <v>545.10556621881</v>
      </c>
      <c r="Q390" s="4" t="str">
        <f t="shared" si="223"/>
        <v>1+7044.29134064681i</v>
      </c>
      <c r="R390" s="4">
        <f t="shared" si="231"/>
        <v>7044.29141162627</v>
      </c>
      <c r="S390" s="4">
        <f t="shared" si="232"/>
        <v>1.5706543678745561</v>
      </c>
      <c r="T390" s="4" t="str">
        <f t="shared" si="224"/>
        <v>1+0.164873126166981i</v>
      </c>
      <c r="U390" s="4">
        <f t="shared" si="233"/>
        <v>1.0135004428869645</v>
      </c>
      <c r="V390" s="4">
        <f t="shared" si="234"/>
        <v>0.16340310506496764</v>
      </c>
      <c r="W390" t="str">
        <f t="shared" si="225"/>
        <v>1-0.171270203462259i</v>
      </c>
      <c r="X390" s="4">
        <f t="shared" si="235"/>
        <v>1.0145607338124236</v>
      </c>
      <c r="Y390" s="4">
        <f t="shared" si="236"/>
        <v>-0.16962442315639514</v>
      </c>
      <c r="Z390" t="str">
        <f t="shared" si="226"/>
        <v>0.823729362986357+0.741674940936136i</v>
      </c>
      <c r="AA390" s="4">
        <f t="shared" si="237"/>
        <v>1.1084276166978746</v>
      </c>
      <c r="AB390" s="4">
        <f t="shared" si="238"/>
        <v>0.7330286924392263</v>
      </c>
      <c r="AC390" s="48" t="str">
        <f t="shared" si="239"/>
        <v>-0.0483569290226827-0.0530546376358979i</v>
      </c>
      <c r="AD390" s="20">
        <f t="shared" si="240"/>
        <v>-22.879240840625876</v>
      </c>
      <c r="AE390" s="44">
        <f t="shared" si="241"/>
        <v>-132.34777196140837</v>
      </c>
      <c r="AF390" t="str">
        <f t="shared" si="227"/>
        <v>-0.0000333790427773504</v>
      </c>
      <c r="AG390" t="str">
        <f t="shared" si="228"/>
        <v>0.00178722468765007i</v>
      </c>
      <c r="AH390">
        <f t="shared" si="242"/>
        <v>1.7872246876500699E-3</v>
      </c>
      <c r="AI390">
        <f t="shared" si="243"/>
        <v>1.5707963267948966</v>
      </c>
      <c r="AJ390" t="str">
        <f t="shared" si="229"/>
        <v>1+41.1756943873846i</v>
      </c>
      <c r="AK390">
        <f t="shared" si="244"/>
        <v>41.187835683406526</v>
      </c>
      <c r="AL390">
        <f t="shared" si="245"/>
        <v>1.5465149278198147</v>
      </c>
      <c r="AM390" t="str">
        <f t="shared" si="230"/>
        <v>1+309.961477193924i</v>
      </c>
      <c r="AN390">
        <f t="shared" si="246"/>
        <v>309.96309029340813</v>
      </c>
      <c r="AO390">
        <f t="shared" si="247"/>
        <v>1.5675701306249619</v>
      </c>
      <c r="AP390" s="42" t="str">
        <f t="shared" si="248"/>
        <v>-0.00295912338172736+0.140520426951674i</v>
      </c>
      <c r="AQ390">
        <f t="shared" si="249"/>
        <v>-17.043285323331197</v>
      </c>
      <c r="AR390" s="44">
        <f t="shared" si="250"/>
        <v>91.206374257526946</v>
      </c>
      <c r="AS390" s="42" t="str">
        <f t="shared" si="251"/>
        <v>0.00759835445170228-0.00663814109360171i</v>
      </c>
      <c r="AT390" s="20">
        <f t="shared" si="252"/>
        <v>-39.922526163957073</v>
      </c>
      <c r="AU390" s="44">
        <f t="shared" si="253"/>
        <v>-41.141397703881424</v>
      </c>
    </row>
    <row r="391" spans="14:47" x14ac:dyDescent="0.3">
      <c r="N391" s="8">
        <v>73</v>
      </c>
      <c r="O391" s="35">
        <f t="shared" si="254"/>
        <v>53703.179637025423</v>
      </c>
      <c r="P391" s="34" t="str">
        <f t="shared" si="222"/>
        <v>545.10556621881</v>
      </c>
      <c r="Q391" s="4" t="str">
        <f t="shared" si="223"/>
        <v>1+7208.37396446788i</v>
      </c>
      <c r="R391" s="4">
        <f t="shared" si="231"/>
        <v>7208.3740338316502</v>
      </c>
      <c r="S391" s="4">
        <f t="shared" si="232"/>
        <v>1.5706575992540512</v>
      </c>
      <c r="T391" s="4" t="str">
        <f t="shared" si="224"/>
        <v>1+0.168713514622092i</v>
      </c>
      <c r="U391" s="4">
        <f t="shared" si="233"/>
        <v>1.0141322645573105</v>
      </c>
      <c r="V391" s="4">
        <f t="shared" si="234"/>
        <v>0.16713954171362644</v>
      </c>
      <c r="W391" t="str">
        <f t="shared" si="225"/>
        <v>1-0.175259598989429i</v>
      </c>
      <c r="X391" s="4">
        <f t="shared" si="235"/>
        <v>1.015241807175973</v>
      </c>
      <c r="Y391" s="4">
        <f t="shared" si="236"/>
        <v>-0.17349754035543583</v>
      </c>
      <c r="Z391" t="str">
        <f t="shared" si="226"/>
        <v>0.815421983799897+0.758950769610191i</v>
      </c>
      <c r="AA391" s="4">
        <f t="shared" si="237"/>
        <v>1.1139655660549213</v>
      </c>
      <c r="AB391" s="4">
        <f t="shared" si="238"/>
        <v>0.74954451033394631</v>
      </c>
      <c r="AC391" s="48" t="str">
        <f t="shared" si="239"/>
        <v>-0.0479359592774387-0.0508647135448841i</v>
      </c>
      <c r="AD391" s="20">
        <f t="shared" si="240"/>
        <v>-23.11128739696489</v>
      </c>
      <c r="AE391" s="44">
        <f t="shared" si="241"/>
        <v>-133.30207498506789</v>
      </c>
      <c r="AF391" t="str">
        <f t="shared" si="227"/>
        <v>-0.0000333790427773504</v>
      </c>
      <c r="AG391" t="str">
        <f t="shared" si="228"/>
        <v>0.00182885449850348i</v>
      </c>
      <c r="AH391">
        <f t="shared" si="242"/>
        <v>1.82885449850348E-3</v>
      </c>
      <c r="AI391">
        <f t="shared" si="243"/>
        <v>1.5707963267948966</v>
      </c>
      <c r="AJ391" t="str">
        <f t="shared" si="229"/>
        <v>1+42.1347995189047i</v>
      </c>
      <c r="AK391">
        <f t="shared" si="244"/>
        <v>42.146664523996343</v>
      </c>
      <c r="AL391">
        <f t="shared" si="245"/>
        <v>1.547067430074758</v>
      </c>
      <c r="AM391" t="str">
        <f t="shared" si="230"/>
        <v>1+317.181407489534i</v>
      </c>
      <c r="AN391">
        <f t="shared" si="246"/>
        <v>317.18298387057564</v>
      </c>
      <c r="AO391">
        <f t="shared" si="247"/>
        <v>1.5676435673232263</v>
      </c>
      <c r="AP391" s="42" t="str">
        <f t="shared" si="248"/>
        <v>-0.00282601586640403+0.137324950609203i</v>
      </c>
      <c r="AQ391">
        <f t="shared" si="249"/>
        <v>-17.243172135581183</v>
      </c>
      <c r="AR391" s="44">
        <f t="shared" si="250"/>
        <v>91.178925823019142</v>
      </c>
      <c r="AS391" s="42" t="str">
        <f t="shared" si="251"/>
        <v>0.00712046205679181-0.0064390587526611i</v>
      </c>
      <c r="AT391" s="20">
        <f t="shared" si="252"/>
        <v>-40.354459532546073</v>
      </c>
      <c r="AU391" s="44">
        <f t="shared" si="253"/>
        <v>-42.123149162048755</v>
      </c>
    </row>
    <row r="392" spans="14:47" x14ac:dyDescent="0.3">
      <c r="N392" s="8">
        <v>74</v>
      </c>
      <c r="O392" s="35">
        <f t="shared" si="254"/>
        <v>54954.087385762505</v>
      </c>
      <c r="P392" s="34" t="str">
        <f t="shared" si="222"/>
        <v>545.10556621881</v>
      </c>
      <c r="Q392" s="4" t="str">
        <f t="shared" si="223"/>
        <v>1+7376.27856357901i</v>
      </c>
      <c r="R392" s="4">
        <f t="shared" si="231"/>
        <v>7376.2786313638671</v>
      </c>
      <c r="S392" s="4">
        <f t="shared" si="232"/>
        <v>1.5706607570783717</v>
      </c>
      <c r="T392" s="4" t="str">
        <f t="shared" si="224"/>
        <v>1+0.172643357215843i</v>
      </c>
      <c r="U392" s="4">
        <f t="shared" si="233"/>
        <v>1.0147934414405511</v>
      </c>
      <c r="V392" s="4">
        <f t="shared" si="234"/>
        <v>0.170958139875691</v>
      </c>
      <c r="W392" t="str">
        <f t="shared" si="225"/>
        <v>1-0.179341919475817i</v>
      </c>
      <c r="X392" s="4">
        <f t="shared" si="235"/>
        <v>1.0159544891781671</v>
      </c>
      <c r="Y392" s="4">
        <f t="shared" si="236"/>
        <v>-0.17745543731112537</v>
      </c>
      <c r="Z392" t="str">
        <f t="shared" si="226"/>
        <v>0.80672308989427+0.776629004028193i</v>
      </c>
      <c r="AA392" s="4">
        <f t="shared" si="237"/>
        <v>1.1198012116739209</v>
      </c>
      <c r="AB392" s="4">
        <f t="shared" si="238"/>
        <v>0.76639388573748668</v>
      </c>
      <c r="AC392" s="48" t="str">
        <f t="shared" si="239"/>
        <v>-0.0474983671965992-0.0487148119291448i</v>
      </c>
      <c r="AD392" s="20">
        <f t="shared" si="240"/>
        <v>-23.344914486233392</v>
      </c>
      <c r="AE392" s="44">
        <f t="shared" si="241"/>
        <v>-134.2756352460944</v>
      </c>
      <c r="AF392" t="str">
        <f t="shared" si="227"/>
        <v>-0.0000333790427773504</v>
      </c>
      <c r="AG392" t="str">
        <f t="shared" si="228"/>
        <v>0.00187145399221974i</v>
      </c>
      <c r="AH392">
        <f t="shared" si="242"/>
        <v>1.8714539922197401E-3</v>
      </c>
      <c r="AI392">
        <f t="shared" si="243"/>
        <v>1.5707963267948966</v>
      </c>
      <c r="AJ392" t="str">
        <f t="shared" si="229"/>
        <v>1+43.1162450788496i</v>
      </c>
      <c r="AK392">
        <f t="shared" si="244"/>
        <v>43.127840076908825</v>
      </c>
      <c r="AL392">
        <f t="shared" si="245"/>
        <v>1.5476073698444286</v>
      </c>
      <c r="AM392" t="str">
        <f t="shared" si="230"/>
        <v>1+324.569511565786i</v>
      </c>
      <c r="AN392">
        <f t="shared" si="246"/>
        <v>324.57105206418652</v>
      </c>
      <c r="AO392">
        <f t="shared" si="247"/>
        <v>1.5677153324310131</v>
      </c>
      <c r="AP392" s="42" t="str">
        <f t="shared" si="248"/>
        <v>-0.00269889258262161+0.134202001486082i</v>
      </c>
      <c r="AQ392">
        <f t="shared" si="249"/>
        <v>-17.443064039266208</v>
      </c>
      <c r="AR392" s="44">
        <f t="shared" si="250"/>
        <v>91.15210139081826</v>
      </c>
      <c r="AS392" s="42" t="str">
        <f t="shared" si="251"/>
        <v>0.00666581825382283-0.0062428999005251i</v>
      </c>
      <c r="AT392" s="20">
        <f t="shared" si="252"/>
        <v>-40.787978525499604</v>
      </c>
      <c r="AU392" s="44">
        <f t="shared" si="253"/>
        <v>-43.123533855276143</v>
      </c>
    </row>
    <row r="393" spans="14:47" x14ac:dyDescent="0.3">
      <c r="N393" s="8">
        <v>75</v>
      </c>
      <c r="O393" s="35">
        <f t="shared" si="254"/>
        <v>56234.132519034953</v>
      </c>
      <c r="P393" s="34" t="str">
        <f t="shared" si="222"/>
        <v>545.10556621881</v>
      </c>
      <c r="Q393" s="4" t="str">
        <f t="shared" si="223"/>
        <v>1+7548.09416322115i</v>
      </c>
      <c r="R393" s="4">
        <f t="shared" si="231"/>
        <v>7548.0942294630358</v>
      </c>
      <c r="S393" s="4">
        <f t="shared" si="232"/>
        <v>1.5706638430218374</v>
      </c>
      <c r="T393" s="4" t="str">
        <f t="shared" si="224"/>
        <v>1+0.176664737602795i</v>
      </c>
      <c r="U393" s="4">
        <f t="shared" si="233"/>
        <v>1.0154853172312559</v>
      </c>
      <c r="V393" s="4">
        <f t="shared" si="234"/>
        <v>0.17486047854606765</v>
      </c>
      <c r="W393" t="str">
        <f t="shared" si="225"/>
        <v>1-0.183519329421783i</v>
      </c>
      <c r="X393" s="4">
        <f t="shared" si="235"/>
        <v>1.016700223404825</v>
      </c>
      <c r="Y393" s="4">
        <f t="shared" si="236"/>
        <v>-0.18149971630473893</v>
      </c>
      <c r="Z393" t="str">
        <f t="shared" si="226"/>
        <v>0.797614229749223+0.794719017424031i</v>
      </c>
      <c r="AA393" s="4">
        <f t="shared" si="237"/>
        <v>1.1259514981356273</v>
      </c>
      <c r="AB393" s="4">
        <f t="shared" si="238"/>
        <v>0.78357994529524699</v>
      </c>
      <c r="AC393" s="48" t="str">
        <f t="shared" si="239"/>
        <v>-0.0470437440138252-0.0466046668616876i</v>
      </c>
      <c r="AD393" s="20">
        <f t="shared" si="240"/>
        <v>-23.580196243888203</v>
      </c>
      <c r="AE393" s="44">
        <f t="shared" si="241"/>
        <v>-135.26863331821511</v>
      </c>
      <c r="AF393" t="str">
        <f t="shared" si="227"/>
        <v>-0.0000333790427773504</v>
      </c>
      <c r="AG393" t="str">
        <f t="shared" si="228"/>
        <v>0.0019150457556143i</v>
      </c>
      <c r="AH393">
        <f t="shared" si="242"/>
        <v>1.9150457556143001E-3</v>
      </c>
      <c r="AI393">
        <f t="shared" si="243"/>
        <v>1.5707963267948966</v>
      </c>
      <c r="AJ393" t="str">
        <f t="shared" si="229"/>
        <v>1+44.1205514426464i</v>
      </c>
      <c r="AK393">
        <f t="shared" si="244"/>
        <v>44.13188257488239</v>
      </c>
      <c r="AL393">
        <f t="shared" si="245"/>
        <v>1.5481350321520271</v>
      </c>
      <c r="AM393" t="str">
        <f t="shared" si="230"/>
        <v>1+332.129706693255i</v>
      </c>
      <c r="AN393">
        <f t="shared" si="246"/>
        <v>332.13121212579165</v>
      </c>
      <c r="AO393">
        <f t="shared" si="247"/>
        <v>1.5677854639961744</v>
      </c>
      <c r="AP393" s="42" t="str">
        <f t="shared" si="248"/>
        <v>-0.00257748477529329+0.131149942708112i</v>
      </c>
      <c r="AQ393">
        <f t="shared" si="249"/>
        <v>-17.642960805484897</v>
      </c>
      <c r="AR393" s="44">
        <f t="shared" si="250"/>
        <v>91.125886810279113</v>
      </c>
      <c r="AS393" s="42" t="str">
        <f t="shared" si="251"/>
        <v>0.0062334539228094-0.00604966151289465i</v>
      </c>
      <c r="AT393" s="20">
        <f t="shared" si="252"/>
        <v>-41.2231570493731</v>
      </c>
      <c r="AU393" s="44">
        <f t="shared" si="253"/>
        <v>-44.142746507936018</v>
      </c>
    </row>
    <row r="394" spans="14:47" x14ac:dyDescent="0.3">
      <c r="N394" s="8">
        <v>76</v>
      </c>
      <c r="O394" s="35">
        <f t="shared" si="254"/>
        <v>57543.993733715732</v>
      </c>
      <c r="P394" s="34" t="str">
        <f t="shared" si="222"/>
        <v>545.10556621881</v>
      </c>
      <c r="Q394" s="4" t="str">
        <f t="shared" si="223"/>
        <v>1+7723.91186229947i</v>
      </c>
      <c r="R394" s="4">
        <f t="shared" si="231"/>
        <v>7723.9119270335077</v>
      </c>
      <c r="S394" s="4">
        <f t="shared" si="232"/>
        <v>1.5706668587206565</v>
      </c>
      <c r="T394" s="4" t="str">
        <f t="shared" si="224"/>
        <v>1+0.180779787972058i</v>
      </c>
      <c r="U394" s="4">
        <f t="shared" si="233"/>
        <v>1.0162092952434663</v>
      </c>
      <c r="V394" s="4">
        <f t="shared" si="234"/>
        <v>0.17884815115325939</v>
      </c>
      <c r="W394" t="str">
        <f t="shared" si="225"/>
        <v>1-0.187794043745374i</v>
      </c>
      <c r="X394" s="4">
        <f t="shared" si="235"/>
        <v>1.0174805171924617</v>
      </c>
      <c r="Y394" s="4">
        <f t="shared" si="236"/>
        <v>-0.18563199221377452</v>
      </c>
      <c r="Z394" t="str">
        <f t="shared" si="226"/>
        <v>0.78807608225114+0.813230401362258i</v>
      </c>
      <c r="AA394" s="4">
        <f t="shared" si="237"/>
        <v>1.1324343676858828</v>
      </c>
      <c r="AB394" s="4">
        <f t="shared" si="238"/>
        <v>0.80110549403109133</v>
      </c>
      <c r="AC394" s="48" t="str">
        <f t="shared" si="239"/>
        <v>-0.0465717002965488-0.0445340801894849i</v>
      </c>
      <c r="AD394" s="20">
        <f t="shared" si="240"/>
        <v>-23.817209444471974</v>
      </c>
      <c r="AE394" s="44">
        <f t="shared" si="241"/>
        <v>-136.28123124014368</v>
      </c>
      <c r="AF394" t="str">
        <f t="shared" si="227"/>
        <v>-0.0000333790427773504</v>
      </c>
      <c r="AG394" t="str">
        <f t="shared" si="228"/>
        <v>0.00195965290161711i</v>
      </c>
      <c r="AH394">
        <f t="shared" si="242"/>
        <v>1.9596529016171101E-3</v>
      </c>
      <c r="AI394">
        <f t="shared" si="243"/>
        <v>1.5707963267948966</v>
      </c>
      <c r="AJ394" t="str">
        <f t="shared" si="229"/>
        <v>1+45.1482511068226i</v>
      </c>
      <c r="AK394">
        <f t="shared" si="244"/>
        <v>45.1593243749805</v>
      </c>
      <c r="AL394">
        <f t="shared" si="245"/>
        <v>1.5486506955950941</v>
      </c>
      <c r="AM394" t="str">
        <f t="shared" si="230"/>
        <v>1+339.866001387471i</v>
      </c>
      <c r="AN394">
        <f t="shared" si="246"/>
        <v>339.8674725523295</v>
      </c>
      <c r="AO394">
        <f t="shared" si="247"/>
        <v>1.5678539992006328</v>
      </c>
      <c r="AP394" s="42" t="str">
        <f t="shared" si="248"/>
        <v>-0.00246153573435551+0.128167173725139i</v>
      </c>
      <c r="AQ394">
        <f t="shared" si="249"/>
        <v>-17.84286221561597</v>
      </c>
      <c r="AR394" s="44">
        <f t="shared" si="250"/>
        <v>91.100268249305728</v>
      </c>
      <c r="AS394" s="42" t="str">
        <f t="shared" si="251"/>
        <v>0.00582244509682463-0.00585934097279981i</v>
      </c>
      <c r="AT394" s="20">
        <f t="shared" si="252"/>
        <v>-41.660071660087951</v>
      </c>
      <c r="AU394" s="44">
        <f t="shared" si="253"/>
        <v>-45.180962990837983</v>
      </c>
    </row>
    <row r="395" spans="14:47" x14ac:dyDescent="0.3">
      <c r="N395" s="8">
        <v>77</v>
      </c>
      <c r="O395" s="35">
        <f t="shared" si="254"/>
        <v>58884.365535558936</v>
      </c>
      <c r="P395" s="34" t="str">
        <f t="shared" si="222"/>
        <v>545.10556621881</v>
      </c>
      <c r="Q395" s="4" t="str">
        <f t="shared" si="223"/>
        <v>1+7903.82488168523i</v>
      </c>
      <c r="R395" s="4">
        <f t="shared" si="231"/>
        <v>7903.8249449457417</v>
      </c>
      <c r="S395" s="4">
        <f t="shared" si="232"/>
        <v>1.5706698057737918</v>
      </c>
      <c r="T395" s="4" t="str">
        <f t="shared" si="224"/>
        <v>1+0.184990690177808i</v>
      </c>
      <c r="U395" s="4">
        <f t="shared" si="233"/>
        <v>1.0169668408814823</v>
      </c>
      <c r="V395" s="4">
        <f t="shared" si="234"/>
        <v>0.18292276448214498</v>
      </c>
      <c r="W395" t="str">
        <f t="shared" si="225"/>
        <v>1-0.192168328956706i</v>
      </c>
      <c r="X395" s="4">
        <f t="shared" si="235"/>
        <v>1.0182969442426961</v>
      </c>
      <c r="Y395" s="4">
        <f t="shared" si="236"/>
        <v>-0.1898538912573812</v>
      </c>
      <c r="Z395" t="str">
        <f t="shared" si="226"/>
        <v>0.778088415710379+0.832172970823663i</v>
      </c>
      <c r="AA395" s="4">
        <f t="shared" si="237"/>
        <v>1.1392688164047013</v>
      </c>
      <c r="AB395" s="4">
        <f t="shared" si="238"/>
        <v>0.81897298015459319</v>
      </c>
      <c r="AC395" s="48" t="str">
        <f t="shared" si="239"/>
        <v>-0.0460818701071787-0.0425029219918368i</v>
      </c>
      <c r="AD395" s="20">
        <f t="shared" si="240"/>
        <v>-24.056033464541077</v>
      </c>
      <c r="AE395" s="44">
        <f t="shared" si="241"/>
        <v>-137.31357048907168</v>
      </c>
      <c r="AF395" t="str">
        <f t="shared" si="227"/>
        <v>-0.0000333790427773504</v>
      </c>
      <c r="AG395" t="str">
        <f t="shared" si="228"/>
        <v>0.00200529908152744i</v>
      </c>
      <c r="AH395">
        <f t="shared" si="242"/>
        <v>2.0052990815274401E-3</v>
      </c>
      <c r="AI395">
        <f t="shared" si="243"/>
        <v>1.5707963267948966</v>
      </c>
      <c r="AJ395" t="str">
        <f t="shared" si="229"/>
        <v>1+46.1998889713433i</v>
      </c>
      <c r="AK395">
        <f t="shared" si="244"/>
        <v>46.210710240857026</v>
      </c>
      <c r="AL395">
        <f t="shared" si="245"/>
        <v>1.5491546324876286</v>
      </c>
      <c r="AM395" t="str">
        <f t="shared" si="230"/>
        <v>1+347.78249753428i</v>
      </c>
      <c r="AN395">
        <f t="shared" si="246"/>
        <v>347.78393521147797</v>
      </c>
      <c r="AO395">
        <f t="shared" si="247"/>
        <v>1.5679209743800844</v>
      </c>
      <c r="AP395" s="42" t="str">
        <f t="shared" si="248"/>
        <v>-0.00235080025712773+0.125252129546477i</v>
      </c>
      <c r="AQ395">
        <f t="shared" si="249"/>
        <v>-18.042768060857686</v>
      </c>
      <c r="AR395" s="44">
        <f t="shared" si="250"/>
        <v>91.075232187337264</v>
      </c>
      <c r="AS395" s="42" t="str">
        <f t="shared" si="251"/>
        <v>0.00543191076352223-0.00567193648446118i</v>
      </c>
      <c r="AT395" s="20">
        <f t="shared" si="252"/>
        <v>-42.09880152539877</v>
      </c>
      <c r="AU395" s="44">
        <f t="shared" si="253"/>
        <v>-46.238338301734416</v>
      </c>
    </row>
    <row r="396" spans="14:47" x14ac:dyDescent="0.3">
      <c r="N396" s="8">
        <v>78</v>
      </c>
      <c r="O396" s="35">
        <f t="shared" si="254"/>
        <v>60255.95860743591</v>
      </c>
      <c r="P396" s="34" t="str">
        <f t="shared" si="222"/>
        <v>545.10556621881</v>
      </c>
      <c r="Q396" s="4" t="str">
        <f t="shared" si="223"/>
        <v>1+8087.92861364278i</v>
      </c>
      <c r="R396" s="4">
        <f t="shared" si="231"/>
        <v>8087.9286754633049</v>
      </c>
      <c r="S396" s="4">
        <f t="shared" si="232"/>
        <v>1.57067268574381</v>
      </c>
      <c r="T396" s="4" t="str">
        <f t="shared" si="224"/>
        <v>1+0.189299676896132i</v>
      </c>
      <c r="U396" s="4">
        <f t="shared" si="233"/>
        <v>1.0177594841970179</v>
      </c>
      <c r="V396" s="4">
        <f t="shared" si="234"/>
        <v>0.1870859374914062</v>
      </c>
      <c r="W396" t="str">
        <f t="shared" si="225"/>
        <v>1-0.196644504359701i</v>
      </c>
      <c r="X396" s="4">
        <f t="shared" si="235"/>
        <v>1.0191511473254948</v>
      </c>
      <c r="Y396" s="4">
        <f t="shared" si="236"/>
        <v>-0.1941670496265489</v>
      </c>
      <c r="Z396" t="str">
        <f t="shared" si="226"/>
        <v>0.767630044947134+0.851556769409313i</v>
      </c>
      <c r="AA396" s="4">
        <f t="shared" si="237"/>
        <v>1.1464749528150908</v>
      </c>
      <c r="AB396" s="4">
        <f t="shared" si="238"/>
        <v>0.83718445812056508</v>
      </c>
      <c r="AC396" s="48" t="str">
        <f t="shared" si="239"/>
        <v>-0.045573915486784-0.0405111307478937i</v>
      </c>
      <c r="AD396" s="20">
        <f t="shared" si="240"/>
        <v>-24.296750223791115</v>
      </c>
      <c r="AE396" s="44">
        <f t="shared" si="241"/>
        <v>-138.36576985345593</v>
      </c>
      <c r="AF396" t="str">
        <f t="shared" si="227"/>
        <v>-0.0000333790427773504</v>
      </c>
      <c r="AG396" t="str">
        <f t="shared" si="228"/>
        <v>0.00205200849755406i</v>
      </c>
      <c r="AH396">
        <f t="shared" si="242"/>
        <v>2.0520084975540601E-3</v>
      </c>
      <c r="AI396">
        <f t="shared" si="243"/>
        <v>1.5707963267948966</v>
      </c>
      <c r="AJ396" t="str">
        <f t="shared" si="229"/>
        <v>1+47.2760226285246i</v>
      </c>
      <c r="AK396">
        <f t="shared" si="244"/>
        <v>47.286597631599278</v>
      </c>
      <c r="AL396">
        <f t="shared" si="245"/>
        <v>1.5496471089992467</v>
      </c>
      <c r="AM396" t="str">
        <f t="shared" si="230"/>
        <v>1+355.883392564728i</v>
      </c>
      <c r="AN396">
        <f t="shared" si="246"/>
        <v>355.88479751652824</v>
      </c>
      <c r="AO396">
        <f t="shared" si="247"/>
        <v>1.5679864250432507</v>
      </c>
      <c r="AP396" s="42" t="str">
        <f t="shared" si="248"/>
        <v>-0.0022450441344775+0.122403279989605i</v>
      </c>
      <c r="AQ396">
        <f t="shared" si="249"/>
        <v>-18.242678141787529</v>
      </c>
      <c r="AR396" s="44">
        <f t="shared" si="250"/>
        <v>91.050765408477986</v>
      </c>
      <c r="AS396" s="42" t="str">
        <f t="shared" si="251"/>
        <v>0.00506101073127871-0.00548744746108481i</v>
      </c>
      <c r="AT396" s="20">
        <f t="shared" si="252"/>
        <v>-42.539428365578644</v>
      </c>
      <c r="AU396" s="44">
        <f t="shared" si="253"/>
        <v>-47.315004444977937</v>
      </c>
    </row>
    <row r="397" spans="14:47" x14ac:dyDescent="0.3">
      <c r="N397" s="8">
        <v>79</v>
      </c>
      <c r="O397" s="35">
        <f t="shared" si="254"/>
        <v>61659.500186148245</v>
      </c>
      <c r="P397" s="34" t="str">
        <f t="shared" si="222"/>
        <v>545.10556621881</v>
      </c>
      <c r="Q397" s="4" t="str">
        <f t="shared" si="223"/>
        <v>1+8276.32067240763i</v>
      </c>
      <c r="R397" s="4">
        <f t="shared" si="231"/>
        <v>8276.3207328209483</v>
      </c>
      <c r="S397" s="4">
        <f t="shared" si="232"/>
        <v>1.5706755001577091</v>
      </c>
      <c r="T397" s="4" t="str">
        <f t="shared" si="224"/>
        <v>1+0.193709032808822i</v>
      </c>
      <c r="U397" s="4">
        <f t="shared" si="233"/>
        <v>1.0185888225342596</v>
      </c>
      <c r="V397" s="4">
        <f t="shared" si="234"/>
        <v>0.19133930001967892</v>
      </c>
      <c r="W397" t="str">
        <f t="shared" si="225"/>
        <v>1-0.201224943281804i</v>
      </c>
      <c r="X397" s="4">
        <f t="shared" si="235"/>
        <v>1.0200448410725704</v>
      </c>
      <c r="Y397" s="4">
        <f t="shared" si="236"/>
        <v>-0.19857311199286728</v>
      </c>
      <c r="Z397" t="str">
        <f t="shared" si="226"/>
        <v>0.75667878635484+0.871392074665786i</v>
      </c>
      <c r="AA397" s="4">
        <f t="shared" si="237"/>
        <v>1.1540740589363303</v>
      </c>
      <c r="AB397" s="4">
        <f t="shared" si="238"/>
        <v>0.85574155004855346</v>
      </c>
      <c r="AC397" s="48" t="str">
        <f t="shared" si="239"/>
        <v>-0.0450475312522873-0.0385587131594131i</v>
      </c>
      <c r="AD397" s="20">
        <f t="shared" si="240"/>
        <v>-24.539444101843081</v>
      </c>
      <c r="AE397" s="44">
        <f t="shared" si="241"/>
        <v>-139.4379232112565</v>
      </c>
      <c r="AF397" t="str">
        <f t="shared" si="227"/>
        <v>-0.0000333790427773504</v>
      </c>
      <c r="AG397" t="str">
        <f t="shared" si="228"/>
        <v>0.00209980591564763i</v>
      </c>
      <c r="AH397">
        <f t="shared" si="242"/>
        <v>2.0998059156476299E-3</v>
      </c>
      <c r="AI397">
        <f t="shared" si="243"/>
        <v>1.5707963267948966</v>
      </c>
      <c r="AJ397" t="str">
        <f t="shared" si="229"/>
        <v>1+48.3772226586755i</v>
      </c>
      <c r="AK397">
        <f t="shared" si="244"/>
        <v>48.387556997301132</v>
      </c>
      <c r="AL397">
        <f t="shared" si="245"/>
        <v>1.5501283852914309</v>
      </c>
      <c r="AM397" t="str">
        <f t="shared" si="230"/>
        <v>1+364.172981680586i</v>
      </c>
      <c r="AN397">
        <f t="shared" si="246"/>
        <v>364.17435465190084</v>
      </c>
      <c r="AO397">
        <f t="shared" si="247"/>
        <v>1.5680503858906956</v>
      </c>
      <c r="AP397" s="42" t="str">
        <f t="shared" si="248"/>
        <v>-0.0021440436597534+0.119619128942103i</v>
      </c>
      <c r="AQ397">
        <f t="shared" si="249"/>
        <v>-18.442592267941698</v>
      </c>
      <c r="AR397" s="44">
        <f t="shared" si="250"/>
        <v>91.026854994768797</v>
      </c>
      <c r="AS397" s="42" t="str">
        <f t="shared" si="251"/>
        <v>0.00470894355502641-0.00530587488491308i</v>
      </c>
      <c r="AT397" s="20">
        <f t="shared" si="252"/>
        <v>-42.98203636978478</v>
      </c>
      <c r="AU397" s="44">
        <f t="shared" si="253"/>
        <v>-48.411068216487706</v>
      </c>
    </row>
    <row r="398" spans="14:47" x14ac:dyDescent="0.3">
      <c r="N398" s="8">
        <v>80</v>
      </c>
      <c r="O398" s="35">
        <f t="shared" si="254"/>
        <v>63095.734448019342</v>
      </c>
      <c r="P398" s="34" t="str">
        <f t="shared" si="222"/>
        <v>545.10556621881</v>
      </c>
      <c r="Q398" s="4" t="str">
        <f t="shared" si="223"/>
        <v>1+8469.10094594306i</v>
      </c>
      <c r="R398" s="4">
        <f t="shared" si="231"/>
        <v>8469.1010049812048</v>
      </c>
      <c r="S398" s="4">
        <f t="shared" si="232"/>
        <v>1.5706782505077281</v>
      </c>
      <c r="T398" s="4" t="str">
        <f t="shared" si="224"/>
        <v>1+0.19822109581475i</v>
      </c>
      <c r="U398" s="4">
        <f t="shared" si="233"/>
        <v>1.0194565232642343</v>
      </c>
      <c r="V398" s="4">
        <f t="shared" si="234"/>
        <v>0.19568449137434352</v>
      </c>
      <c r="W398" t="str">
        <f t="shared" si="225"/>
        <v>1-0.205912074332362i</v>
      </c>
      <c r="X398" s="4">
        <f t="shared" si="235"/>
        <v>1.0209798148621041</v>
      </c>
      <c r="Y398" s="4">
        <f t="shared" si="236"/>
        <v>-0.20307372988957434</v>
      </c>
      <c r="Z398" t="str">
        <f t="shared" si="226"/>
        <v>0.745211410845762+0.891689403534486i</v>
      </c>
      <c r="AA398" s="4">
        <f t="shared" si="237"/>
        <v>1.1620886537740649</v>
      </c>
      <c r="AB398" s="4">
        <f t="shared" si="238"/>
        <v>0.87464540564872628</v>
      </c>
      <c r="AC398" s="48" t="str">
        <f t="shared" si="239"/>
        <v>-0.0445024500910395-0.0366457435717611i</v>
      </c>
      <c r="AD398" s="20">
        <f t="shared" si="240"/>
        <v>-24.784201828080555</v>
      </c>
      <c r="AE398" s="44">
        <f t="shared" si="241"/>
        <v>-140.53009722200272</v>
      </c>
      <c r="AF398" t="str">
        <f t="shared" si="227"/>
        <v>-0.0000333790427773504</v>
      </c>
      <c r="AG398" t="str">
        <f t="shared" si="228"/>
        <v>0.00214871667863189i</v>
      </c>
      <c r="AH398">
        <f t="shared" si="242"/>
        <v>2.14871667863189E-3</v>
      </c>
      <c r="AI398">
        <f t="shared" si="243"/>
        <v>1.5707963267948966</v>
      </c>
      <c r="AJ398" t="str">
        <f t="shared" si="229"/>
        <v>1+49.5040729326283i</v>
      </c>
      <c r="AK398">
        <f t="shared" si="244"/>
        <v>49.514172081526134</v>
      </c>
      <c r="AL398">
        <f t="shared" si="245"/>
        <v>1.5505987156509182</v>
      </c>
      <c r="AM398" t="str">
        <f t="shared" si="230"/>
        <v>1+372.655660131731i</v>
      </c>
      <c r="AN398">
        <f t="shared" si="246"/>
        <v>372.65700185051696</v>
      </c>
      <c r="AO398">
        <f t="shared" si="247"/>
        <v>1.5681128908332125</v>
      </c>
      <c r="AP398" s="42" t="str">
        <f t="shared" si="248"/>
        <v>-0.00204758515949265+0.116898213636781i</v>
      </c>
      <c r="AQ398">
        <f t="shared" si="249"/>
        <v>-18.642510257413559</v>
      </c>
      <c r="AR398" s="44">
        <f t="shared" si="250"/>
        <v>91.003488319598233</v>
      </c>
      <c r="AS398" s="42" t="str">
        <f t="shared" si="251"/>
        <v>0.0043749445172979-0.00512722163740641i</v>
      </c>
      <c r="AT398" s="20">
        <f t="shared" si="252"/>
        <v>-43.42671208549411</v>
      </c>
      <c r="AU398" s="44">
        <f t="shared" si="253"/>
        <v>-49.526608902404497</v>
      </c>
    </row>
    <row r="399" spans="14:47" x14ac:dyDescent="0.3">
      <c r="N399" s="8">
        <v>81</v>
      </c>
      <c r="O399" s="35">
        <f t="shared" si="254"/>
        <v>64565.422903465682</v>
      </c>
      <c r="P399" s="34" t="str">
        <f t="shared" si="222"/>
        <v>545.10556621881</v>
      </c>
      <c r="Q399" s="4" t="str">
        <f t="shared" si="223"/>
        <v>1+8666.37164890186i</v>
      </c>
      <c r="R399" s="4">
        <f t="shared" si="231"/>
        <v>8666.3717065961318</v>
      </c>
      <c r="S399" s="4">
        <f t="shared" si="232"/>
        <v>1.5706809382521392</v>
      </c>
      <c r="T399" s="4" t="str">
        <f t="shared" si="224"/>
        <v>1+0.202838258269446i</v>
      </c>
      <c r="U399" s="4">
        <f t="shared" si="233"/>
        <v>1.0203643266097568</v>
      </c>
      <c r="V399" s="4">
        <f t="shared" si="234"/>
        <v>0.20012315879670928</v>
      </c>
      <c r="W399" t="str">
        <f t="shared" si="225"/>
        <v>1-0.2107083826903i</v>
      </c>
      <c r="X399" s="4">
        <f t="shared" si="235"/>
        <v>1.0219579357957753</v>
      </c>
      <c r="Y399" s="4">
        <f t="shared" si="236"/>
        <v>-0.20767055995845138</v>
      </c>
      <c r="Z399" t="str">
        <f t="shared" si="226"/>
        <v>0.733203594578984+0.912459517927847i</v>
      </c>
      <c r="AA399" s="4">
        <f t="shared" si="237"/>
        <v>1.1705425592265588</v>
      </c>
      <c r="AB399" s="4">
        <f t="shared" si="238"/>
        <v>0.89389666084320685</v>
      </c>
      <c r="AC399" s="48" t="str">
        <f t="shared" si="239"/>
        <v>-0.0439384479284566-0.0347723629338628i</v>
      </c>
      <c r="AD399" s="20">
        <f t="shared" si="240"/>
        <v>-25.031112341888711</v>
      </c>
      <c r="AE399" s="44">
        <f t="shared" si="241"/>
        <v>-141.64232894350869</v>
      </c>
      <c r="AF399" t="str">
        <f t="shared" si="227"/>
        <v>-0.0000333790427773504</v>
      </c>
      <c r="AG399" t="str">
        <f t="shared" si="228"/>
        <v>0.00219876671964079i</v>
      </c>
      <c r="AH399">
        <f t="shared" si="242"/>
        <v>2.1987667196407901E-3</v>
      </c>
      <c r="AI399">
        <f t="shared" si="243"/>
        <v>1.5707963267948966</v>
      </c>
      <c r="AJ399" t="str">
        <f t="shared" si="229"/>
        <v>1+50.657170921314i</v>
      </c>
      <c r="AK399">
        <f t="shared" si="244"/>
        <v>50.667040230816923</v>
      </c>
      <c r="AL399">
        <f t="shared" si="245"/>
        <v>1.5510583486202769</v>
      </c>
      <c r="AM399" t="str">
        <f t="shared" si="230"/>
        <v>1+381.335925546559i</v>
      </c>
      <c r="AN399">
        <f t="shared" si="246"/>
        <v>381.33723672420291</v>
      </c>
      <c r="AO399">
        <f t="shared" si="247"/>
        <v>1.5681739730097943</v>
      </c>
      <c r="AP399" s="42" t="str">
        <f t="shared" si="248"/>
        <v>-0.00195546454495229+0.114239103939949i</v>
      </c>
      <c r="AQ399">
        <f t="shared" si="249"/>
        <v>-18.842431936469481</v>
      </c>
      <c r="AR399" s="44">
        <f t="shared" si="250"/>
        <v>90.98065304125052</v>
      </c>
      <c r="AS399" s="42" t="str">
        <f t="shared" si="251"/>
        <v>0.00405828366052351-0.00495149279699761i</v>
      </c>
      <c r="AT399" s="20">
        <f t="shared" si="252"/>
        <v>-43.873544278358196</v>
      </c>
      <c r="AU399" s="44">
        <f t="shared" si="253"/>
        <v>-50.661675902258168</v>
      </c>
    </row>
    <row r="400" spans="14:47" x14ac:dyDescent="0.3">
      <c r="N400" s="8">
        <v>82</v>
      </c>
      <c r="O400" s="35">
        <f t="shared" si="254"/>
        <v>66069.344800759733</v>
      </c>
      <c r="P400" s="34" t="str">
        <f t="shared" si="222"/>
        <v>545.10556621881</v>
      </c>
      <c r="Q400" s="4" t="str">
        <f t="shared" si="223"/>
        <v>1+8868.23737682188i</v>
      </c>
      <c r="R400" s="4">
        <f t="shared" si="231"/>
        <v>8868.2374332028703</v>
      </c>
      <c r="S400" s="4">
        <f t="shared" si="232"/>
        <v>1.5706835648160196</v>
      </c>
      <c r="T400" s="4" t="str">
        <f t="shared" si="224"/>
        <v>1+0.207562968253558i</v>
      </c>
      <c r="U400" s="4">
        <f t="shared" si="233"/>
        <v>1.0213140485620609</v>
      </c>
      <c r="V400" s="4">
        <f t="shared" si="234"/>
        <v>0.2046569557972657</v>
      </c>
      <c r="W400" t="str">
        <f t="shared" si="225"/>
        <v>1-0.215616411421795i</v>
      </c>
      <c r="X400" s="4">
        <f t="shared" si="235"/>
        <v>1.022981151768894</v>
      </c>
      <c r="Y400" s="4">
        <f t="shared" si="236"/>
        <v>-0.21236526205609035</v>
      </c>
      <c r="Z400" t="str">
        <f t="shared" si="226"/>
        <v>0.720629867366292+0.933713430435442i</v>
      </c>
      <c r="AA400" s="4">
        <f t="shared" si="237"/>
        <v>1.1794609683732142</v>
      </c>
      <c r="AB400" s="4">
        <f t="shared" si="238"/>
        <v>0.91349539531867718</v>
      </c>
      <c r="AC400" s="48" t="str">
        <f t="shared" si="239"/>
        <v>-0.0433553495351758-0.0329387772364357i</v>
      </c>
      <c r="AD400" s="20">
        <f t="shared" si="240"/>
        <v>-25.280266620653155</v>
      </c>
      <c r="AE400" s="44">
        <f t="shared" si="241"/>
        <v>-142.77462338674059</v>
      </c>
      <c r="AF400" t="str">
        <f t="shared" si="227"/>
        <v>-0.0000333790427773504</v>
      </c>
      <c r="AG400" t="str">
        <f t="shared" si="228"/>
        <v>0.00224998257586857i</v>
      </c>
      <c r="AH400">
        <f t="shared" si="242"/>
        <v>2.24998257586857E-3</v>
      </c>
      <c r="AI400">
        <f t="shared" si="243"/>
        <v>1.5707963267948966</v>
      </c>
      <c r="AJ400" t="str">
        <f t="shared" si="229"/>
        <v>1+51.8371280125491i</v>
      </c>
      <c r="AK400">
        <f t="shared" si="244"/>
        <v>51.846772711417664</v>
      </c>
      <c r="AL400">
        <f t="shared" si="245"/>
        <v>1.5515075271257202</v>
      </c>
      <c r="AM400" t="str">
        <f t="shared" si="230"/>
        <v>1+390.21838031669i</v>
      </c>
      <c r="AN400">
        <f t="shared" si="246"/>
        <v>390.21966164838608</v>
      </c>
      <c r="AO400">
        <f t="shared" si="247"/>
        <v>1.5682336648051958</v>
      </c>
      <c r="AP400" s="42" t="str">
        <f t="shared" si="248"/>
        <v>-0.00186748688355241+0.111640401652733i</v>
      </c>
      <c r="AQ400">
        <f t="shared" si="249"/>
        <v>-19.042357139182727</v>
      </c>
      <c r="AR400" s="44">
        <f t="shared" si="250"/>
        <v>90.958337096588679</v>
      </c>
      <c r="AS400" s="42" t="str">
        <f t="shared" si="251"/>
        <v>0.00375826386721435-0.00477869590145236i</v>
      </c>
      <c r="AT400" s="20">
        <f t="shared" si="252"/>
        <v>-44.322623759835878</v>
      </c>
      <c r="AU400" s="44">
        <f t="shared" si="253"/>
        <v>-51.816286290151929</v>
      </c>
    </row>
    <row r="401" spans="14:47" x14ac:dyDescent="0.3">
      <c r="N401" s="8">
        <v>83</v>
      </c>
      <c r="O401" s="35">
        <f t="shared" si="254"/>
        <v>67608.297539198305</v>
      </c>
      <c r="P401" s="34" t="str">
        <f t="shared" si="222"/>
        <v>545.10556621881</v>
      </c>
      <c r="Q401" s="4" t="str">
        <f t="shared" si="223"/>
        <v>1+9074.80516158409i</v>
      </c>
      <c r="R401" s="4">
        <f t="shared" si="231"/>
        <v>9074.8052166816906</v>
      </c>
      <c r="S401" s="4">
        <f t="shared" si="232"/>
        <v>1.5706861315920084</v>
      </c>
      <c r="T401" s="4" t="str">
        <f t="shared" si="224"/>
        <v>1+0.212397730870859i</v>
      </c>
      <c r="U401" s="4">
        <f t="shared" si="233"/>
        <v>1.0223075838900393</v>
      </c>
      <c r="V401" s="4">
        <f t="shared" si="234"/>
        <v>0.20928754035455074</v>
      </c>
      <c r="W401" t="str">
        <f t="shared" si="225"/>
        <v>1-0.220638762828647i</v>
      </c>
      <c r="X401" s="4">
        <f t="shared" si="235"/>
        <v>1.0240514946342083</v>
      </c>
      <c r="Y401" s="4">
        <f t="shared" si="236"/>
        <v>-0.21715949721299349</v>
      </c>
      <c r="Z401" t="str">
        <f t="shared" si="226"/>
        <v>0.707463558646477+0.955462410163011i</v>
      </c>
      <c r="AA401" s="4">
        <f t="shared" si="237"/>
        <v>1.1888705160980513</v>
      </c>
      <c r="AB401" s="4">
        <f t="shared" si="238"/>
        <v>0.93344108929629444</v>
      </c>
      <c r="AC401" s="48" t="str">
        <f t="shared" si="239"/>
        <v>-0.042753034330024-0.0311452553677012i</v>
      </c>
      <c r="AD401" s="20">
        <f t="shared" si="240"/>
        <v>-25.531757472932952</v>
      </c>
      <c r="AE401" s="44">
        <f t="shared" si="241"/>
        <v>-143.92695102522165</v>
      </c>
      <c r="AF401" t="str">
        <f t="shared" si="227"/>
        <v>-0.0000333790427773504</v>
      </c>
      <c r="AG401" t="str">
        <f t="shared" si="228"/>
        <v>0.0023023914026401i</v>
      </c>
      <c r="AH401">
        <f t="shared" si="242"/>
        <v>2.3023914026401001E-3</v>
      </c>
      <c r="AI401">
        <f t="shared" si="243"/>
        <v>1.5707963267948966</v>
      </c>
      <c r="AJ401" t="str">
        <f t="shared" si="229"/>
        <v>1+53.0445698352018i</v>
      </c>
      <c r="AK401">
        <f t="shared" si="244"/>
        <v>53.053995033377085</v>
      </c>
      <c r="AL401">
        <f t="shared" si="245"/>
        <v>1.5519464886022067</v>
      </c>
      <c r="AM401" t="str">
        <f t="shared" si="230"/>
        <v>1+399.307734037215i</v>
      </c>
      <c r="AN401">
        <f t="shared" si="246"/>
        <v>399.3089862023333</v>
      </c>
      <c r="AO401">
        <f t="shared" si="247"/>
        <v>1.5682919978670942</v>
      </c>
      <c r="AP401" s="42" t="str">
        <f t="shared" si="248"/>
        <v>-0.00178346598935964+0.109100739825376i</v>
      </c>
      <c r="AQ401">
        <f t="shared" si="249"/>
        <v>-19.24228570708252</v>
      </c>
      <c r="AR401" s="44">
        <f t="shared" si="250"/>
        <v>90.93652869487002</v>
      </c>
      <c r="AS401" s="42" t="str">
        <f t="shared" si="251"/>
        <v>0.00347421898533599-0.0046088411715071i</v>
      </c>
      <c r="AT401" s="20">
        <f t="shared" si="252"/>
        <v>-44.774043180015468</v>
      </c>
      <c r="AU401" s="44">
        <f t="shared" si="253"/>
        <v>-52.990422330351592</v>
      </c>
    </row>
    <row r="402" spans="14:47" x14ac:dyDescent="0.3">
      <c r="N402" s="8">
        <v>84</v>
      </c>
      <c r="O402" s="35">
        <f t="shared" si="254"/>
        <v>69183.097091893651</v>
      </c>
      <c r="P402" s="34" t="str">
        <f t="shared" si="222"/>
        <v>545.10556621881</v>
      </c>
      <c r="Q402" s="4" t="str">
        <f t="shared" si="223"/>
        <v>1+9286.18452816219i</v>
      </c>
      <c r="R402" s="4">
        <f t="shared" si="231"/>
        <v>9286.1845820056169</v>
      </c>
      <c r="S402" s="4">
        <f t="shared" si="232"/>
        <v>1.5706886399410438</v>
      </c>
      <c r="T402" s="4" t="str">
        <f t="shared" si="224"/>
        <v>1+0.217345109576483i</v>
      </c>
      <c r="U402" s="4">
        <f t="shared" si="233"/>
        <v>1.0233469092428107</v>
      </c>
      <c r="V402" s="4">
        <f t="shared" si="234"/>
        <v>0.21401657297111809</v>
      </c>
      <c r="W402" t="str">
        <f t="shared" si="225"/>
        <v>1-0.225778099828049i</v>
      </c>
      <c r="X402" s="4">
        <f t="shared" si="235"/>
        <v>1.0251710834597143</v>
      </c>
      <c r="Y402" s="4">
        <f t="shared" si="236"/>
        <v>-0.22205492543893895</v>
      </c>
      <c r="Z402" t="str">
        <f t="shared" si="226"/>
        <v>0.693676740913511+0.977717988707486i</v>
      </c>
      <c r="AA402" s="4">
        <f t="shared" si="237"/>
        <v>1.198799351987897</v>
      </c>
      <c r="AB402" s="4">
        <f t="shared" si="238"/>
        <v>0.953732579858101</v>
      </c>
      <c r="AC402" s="48" t="str">
        <f t="shared" si="239"/>
        <v>-0.0421314423240687-0.0293921263271128i</v>
      </c>
      <c r="AD402" s="20">
        <f t="shared" si="240"/>
        <v>-25.785679294340369</v>
      </c>
      <c r="AE402" s="44">
        <f t="shared" si="241"/>
        <v>-145.09924527840272</v>
      </c>
      <c r="AF402" t="str">
        <f t="shared" si="227"/>
        <v>-0.0000333790427773504</v>
      </c>
      <c r="AG402" t="str">
        <f t="shared" si="228"/>
        <v>0.00235602098780907i</v>
      </c>
      <c r="AH402">
        <f t="shared" si="242"/>
        <v>2.3560209878090701E-3</v>
      </c>
      <c r="AI402">
        <f t="shared" si="243"/>
        <v>1.5707963267948966</v>
      </c>
      <c r="AJ402" t="str">
        <f t="shared" si="229"/>
        <v>1+54.280136590909i</v>
      </c>
      <c r="AK402">
        <f t="shared" si="244"/>
        <v>54.289347282203885</v>
      </c>
      <c r="AL402">
        <f t="shared" si="245"/>
        <v>1.5523754651158757</v>
      </c>
      <c r="AM402" t="str">
        <f t="shared" si="230"/>
        <v>1+408.608806003788i</v>
      </c>
      <c r="AN402">
        <f t="shared" si="246"/>
        <v>408.61002966623477</v>
      </c>
      <c r="AO402">
        <f t="shared" si="247"/>
        <v>1.5683490031228622</v>
      </c>
      <c r="AP402" s="42" t="str">
        <f t="shared" si="248"/>
        <v>-0.0017032240317752+0.106618782084387i</v>
      </c>
      <c r="AQ402">
        <f t="shared" si="249"/>
        <v>-19.442217488820294</v>
      </c>
      <c r="AR402" s="44">
        <f t="shared" si="250"/>
        <v>90.915216311692134</v>
      </c>
      <c r="AS402" s="42" t="str">
        <f t="shared" si="251"/>
        <v>0.00320551199692692-0.00444194169214549i</v>
      </c>
      <c r="AT402" s="20">
        <f t="shared" si="252"/>
        <v>-45.227896783160659</v>
      </c>
      <c r="AU402" s="44">
        <f t="shared" si="253"/>
        <v>-54.184028966710592</v>
      </c>
    </row>
    <row r="403" spans="14:47" x14ac:dyDescent="0.3">
      <c r="N403" s="8">
        <v>85</v>
      </c>
      <c r="O403" s="35">
        <f t="shared" si="254"/>
        <v>70794.578438413781</v>
      </c>
      <c r="P403" s="34" t="str">
        <f t="shared" ref="P403:P466" si="255">COMPLEX(Adc,0)</f>
        <v>545.10556621881</v>
      </c>
      <c r="Q403" s="4" t="str">
        <f t="shared" ref="Q403:Q466" si="256">IMSUM(COMPLEX(1,0),IMDIV(COMPLEX(0,2*PI()*O403),COMPLEX(wp_lf,0)))</f>
        <v>1+9502.48755269432i</v>
      </c>
      <c r="R403" s="4">
        <f t="shared" si="231"/>
        <v>9502.4876053121206</v>
      </c>
      <c r="S403" s="4">
        <f t="shared" si="232"/>
        <v>1.5706910911930858</v>
      </c>
      <c r="T403" s="4" t="str">
        <f t="shared" ref="T403:T466" si="257">IMSUM(COMPLEX(1,0),IMDIV(COMPLEX(0,2*PI()*O403),COMPLEX(wz_esr,0)))</f>
        <v>1+0.222407727536107i</v>
      </c>
      <c r="U403" s="4">
        <f t="shared" si="233"/>
        <v>1.0244340863461032</v>
      </c>
      <c r="V403" s="4">
        <f t="shared" si="234"/>
        <v>0.21884571458006599</v>
      </c>
      <c r="W403" t="str">
        <f t="shared" ref="W403:W466" si="258">IMSUB(COMPLEX(1,0),IMDIV(COMPLEX(0,2*PI()*O403),COMPLEX(wz_rhp,0)))</f>
        <v>1-0.231037147364507i</v>
      </c>
      <c r="X403" s="4">
        <f t="shared" si="235"/>
        <v>1.0263421278805274</v>
      </c>
      <c r="Y403" s="4">
        <f t="shared" si="236"/>
        <v>-0.2270532033681042</v>
      </c>
      <c r="Z403" t="str">
        <f t="shared" ref="Z403:Z466" si="259">IMSUM(COMPLEX(1,0),IMDIV(COMPLEX(0,2*PI()*O403),COMPLEX(Q*(wsl/2),0)),IMDIV(IMPOWER(COMPLEX(0,2*PI()*O403),2),IMPOWER(COMPLEX(wsl/2,0),2)))</f>
        <v>0.679240170478545+1.0004919662712i</v>
      </c>
      <c r="AA403" s="4">
        <f t="shared" si="237"/>
        <v>1.2092772154328117</v>
      </c>
      <c r="AB403" s="4">
        <f t="shared" si="238"/>
        <v>0.97436801722458743</v>
      </c>
      <c r="AC403" s="48" t="str">
        <f t="shared" si="239"/>
        <v>-0.0414905801393411-0.0276797757407232i</v>
      </c>
      <c r="AD403" s="20">
        <f t="shared" si="240"/>
        <v>-26.042127783846635</v>
      </c>
      <c r="AE403" s="44">
        <f t="shared" si="241"/>
        <v>-146.2913999916164</v>
      </c>
      <c r="AF403" t="str">
        <f t="shared" ref="AF403:AF466" si="260">COMPLEX(Adc_ea,0)</f>
        <v>-0.0000333790427773504</v>
      </c>
      <c r="AG403" t="str">
        <f t="shared" ref="AG403:AG466" si="261">COMPLEX(0,2*PI()*O403*wp0_ea)</f>
        <v>0.0024108997664914i</v>
      </c>
      <c r="AH403">
        <f t="shared" si="242"/>
        <v>2.4108997664914001E-3</v>
      </c>
      <c r="AI403">
        <f t="shared" si="243"/>
        <v>1.5707963267948966</v>
      </c>
      <c r="AJ403" t="str">
        <f t="shared" ref="AJ403:AJ466" si="262">IMSUM(COMPLEX(1,0),IMDIV(COMPLEX(0,2*PI()*O403),COMPLEX(wp1_ea,0)))</f>
        <v>1+55.5444833935193i</v>
      </c>
      <c r="AK403">
        <f t="shared" si="244"/>
        <v>55.553484458249251</v>
      </c>
      <c r="AL403">
        <f t="shared" si="245"/>
        <v>1.5527946834838653</v>
      </c>
      <c r="AM403" t="str">
        <f t="shared" ref="AM403:AM466" si="263">IMSUM(COMPLEX(1,0),IMDIV(COMPLEX(0,2*PI()*O403),COMPLEX(wz_ea,0)))</f>
        <v>1+418.126527767882i</v>
      </c>
      <c r="AN403">
        <f t="shared" si="246"/>
        <v>418.1277235764515</v>
      </c>
      <c r="AO403">
        <f t="shared" si="247"/>
        <v>1.5684047107959582</v>
      </c>
      <c r="AP403" s="42" t="str">
        <f t="shared" si="248"/>
        <v>-0.00162659116162856+0.104193221972469i</v>
      </c>
      <c r="AQ403">
        <f t="shared" si="249"/>
        <v>-19.642152339849265</v>
      </c>
      <c r="AR403" s="44">
        <f t="shared" si="250"/>
        <v>90.894388683066865</v>
      </c>
      <c r="AS403" s="42" t="str">
        <f t="shared" si="251"/>
        <v>0.00295153322884683-0.00427801354764916i</v>
      </c>
      <c r="AT403" s="20">
        <f t="shared" si="252"/>
        <v>-45.684280123695899</v>
      </c>
      <c r="AU403" s="44">
        <f t="shared" si="253"/>
        <v>-55.397011308549537</v>
      </c>
    </row>
    <row r="404" spans="14:47" x14ac:dyDescent="0.3">
      <c r="N404" s="8">
        <v>86</v>
      </c>
      <c r="O404" s="35">
        <f t="shared" si="254"/>
        <v>72443.596007499116</v>
      </c>
      <c r="P404" s="34" t="str">
        <f t="shared" si="255"/>
        <v>545.10556621881</v>
      </c>
      <c r="Q404" s="4" t="str">
        <f t="shared" si="256"/>
        <v>1+9723.82892190721i</v>
      </c>
      <c r="R404" s="4">
        <f t="shared" ref="R404:R467" si="264">IMABS(Q404)</f>
        <v>9723.828973327285</v>
      </c>
      <c r="S404" s="4">
        <f t="shared" ref="S404:S467" si="265">IMARGUMENT(Q404)</f>
        <v>1.5706934866478202</v>
      </c>
      <c r="T404" s="4" t="str">
        <f t="shared" si="257"/>
        <v>1+0.227588269016786i</v>
      </c>
      <c r="U404" s="4">
        <f t="shared" ref="U404:U467" si="266">IMABS(T404)</f>
        <v>1.0255712652926938</v>
      </c>
      <c r="V404" s="4">
        <f t="shared" ref="V404:V467" si="267">IMARGUMENT(T404)</f>
        <v>0.22377662429556583</v>
      </c>
      <c r="W404" t="str">
        <f t="shared" si="258"/>
        <v>1-0.236418693854637i</v>
      </c>
      <c r="X404" s="4">
        <f t="shared" ref="X404:X467" si="268">IMABS(W404)</f>
        <v>1.0275669315445746</v>
      </c>
      <c r="Y404" s="4">
        <f t="shared" ref="Y404:Y467" si="269">IMARGUMENT(W404)</f>
        <v>-0.23215598173747035</v>
      </c>
      <c r="Z404" t="str">
        <f t="shared" si="259"/>
        <v>0.664123225440144+1.02379641791852i</v>
      </c>
      <c r="AA404" s="4">
        <f t="shared" ref="AA404:AA467" si="270">IMABS(Z404)</f>
        <v>1.2203355128454687</v>
      </c>
      <c r="AB404" s="4">
        <f t="shared" ref="AB404:AB467" si="271">IMARGUMENT(Z404)</f>
        <v>0.99534482143453884</v>
      </c>
      <c r="AC404" s="48" t="str">
        <f t="shared" ref="AC404:AC467" si="272">(IMDIV(IMPRODUCT(P404,T404,W404),IMPRODUCT(Q404,Z404)))</f>
        <v>-0.0408305270236875-0.026008641626924i</v>
      </c>
      <c r="AD404" s="20">
        <f t="shared" ref="AD404:AD467" si="273">20*LOG(IMABS(AC404))</f>
        <v>-26.301199618498792</v>
      </c>
      <c r="AE404" s="44">
        <f t="shared" ref="AE404:AE467" si="274">(180/PI())*IMARGUMENT(AC404)</f>
        <v>-147.5032669384623</v>
      </c>
      <c r="AF404" t="str">
        <f t="shared" si="260"/>
        <v>-0.0000333790427773504</v>
      </c>
      <c r="AG404" t="str">
        <f t="shared" si="261"/>
        <v>0.00246705683614196i</v>
      </c>
      <c r="AH404">
        <f t="shared" ref="AH404:AH467" si="275">IMABS(AG404)</f>
        <v>2.4670568361419599E-3</v>
      </c>
      <c r="AI404">
        <f t="shared" ref="AI404:AI467" si="276">IMARGUMENT(AG404)</f>
        <v>1.5707963267948966</v>
      </c>
      <c r="AJ404" t="str">
        <f t="shared" si="262"/>
        <v>1+56.8382806164431i</v>
      </c>
      <c r="AK404">
        <f t="shared" ref="AK404:AK467" si="277">IMABS(AJ404)</f>
        <v>56.847076823998009</v>
      </c>
      <c r="AL404">
        <f t="shared" ref="AL404:AL467" si="278">IMARGUMENT(AJ404)</f>
        <v>1.5532043653915641</v>
      </c>
      <c r="AM404" t="str">
        <f t="shared" si="263"/>
        <v>1+427.865945751559i</v>
      </c>
      <c r="AN404">
        <f t="shared" ref="AN404:AN467" si="279">IMABS(AM404)</f>
        <v>427.86711434027745</v>
      </c>
      <c r="AO404">
        <f t="shared" ref="AO404:AO467" si="280">IMARGUMENT(AM404)</f>
        <v>1.5684591504219441</v>
      </c>
      <c r="AP404" s="42" t="str">
        <f t="shared" ref="AP404:AP467" si="281">IMPRODUCT(AF404,IMDIV(AM404,IMPRODUCT(AG404,AJ404)))</f>
        <v>-0.00155340515391093+0.101822782301062i</v>
      </c>
      <c r="AQ404">
        <f t="shared" ref="AQ404:AQ467" si="282">20*LOG(IMABS(AP404))</f>
        <v>-19.842090122119952</v>
      </c>
      <c r="AR404" s="44">
        <f t="shared" ref="AR404:AR467" si="283">(180/PI())*IMARGUMENT(AP404)</f>
        <v>90.874034799620105</v>
      </c>
      <c r="AS404" s="42" t="str">
        <f t="shared" ref="AS404:AS467" si="284">IMPRODUCT(AC404,AP404)</f>
        <v>0.00271169860544012-0.00411707590642107i</v>
      </c>
      <c r="AT404" s="20">
        <f t="shared" ref="AT404:AT467" si="285">20*LOG(IMABS(AS404))</f>
        <v>-46.143289740618755</v>
      </c>
      <c r="AU404" s="44">
        <f t="shared" ref="AU404:AU467" si="286">(180/PI())*IMARGUMENT(AS404)</f>
        <v>-56.62923213884212</v>
      </c>
    </row>
    <row r="405" spans="14:47" x14ac:dyDescent="0.3">
      <c r="N405" s="8">
        <v>87</v>
      </c>
      <c r="O405" s="35">
        <f t="shared" si="254"/>
        <v>74131.024130091857</v>
      </c>
      <c r="P405" s="34" t="str">
        <f t="shared" si="255"/>
        <v>545.10556621881</v>
      </c>
      <c r="Q405" s="4" t="str">
        <f t="shared" si="256"/>
        <v>1+9950.32599392458i</v>
      </c>
      <c r="R405" s="4">
        <f t="shared" si="264"/>
        <v>9950.3260441741895</v>
      </c>
      <c r="S405" s="4">
        <f t="shared" si="265"/>
        <v>1.5706958275753491</v>
      </c>
      <c r="T405" s="4" t="str">
        <f t="shared" si="257"/>
        <v>1+0.232889480810184i</v>
      </c>
      <c r="U405" s="4">
        <f t="shared" si="266"/>
        <v>1.0267606879268592</v>
      </c>
      <c r="V405" s="4">
        <f t="shared" si="267"/>
        <v>0.22881095700088713</v>
      </c>
      <c r="W405" t="str">
        <f t="shared" si="258"/>
        <v>1-0.241925592665619i</v>
      </c>
      <c r="X405" s="4">
        <f t="shared" si="268"/>
        <v>1.0288478956515443</v>
      </c>
      <c r="Y405" s="4">
        <f t="shared" si="269"/>
        <v>-0.2373649026921888</v>
      </c>
      <c r="Z405" t="str">
        <f t="shared" si="259"/>
        <v>0.648293840731118+1.04764369997816i</v>
      </c>
      <c r="AA405" s="4">
        <f t="shared" si="270"/>
        <v>1.2320073969071099</v>
      </c>
      <c r="AB405" s="4">
        <f t="shared" si="271"/>
        <v>1.0166596399348027</v>
      </c>
      <c r="AC405" s="48" t="str">
        <f t="shared" si="272"/>
        <v>-0.0401514407709775-0.0243792093686526i</v>
      </c>
      <c r="AD405" s="20">
        <f t="shared" si="273"/>
        <v>-26.562992084880499</v>
      </c>
      <c r="AE405" s="44">
        <f t="shared" si="274"/>
        <v>-148.73465337472544</v>
      </c>
      <c r="AF405" t="str">
        <f t="shared" si="260"/>
        <v>-0.0000333790427773504</v>
      </c>
      <c r="AG405" t="str">
        <f t="shared" si="261"/>
        <v>0.0025245219719824i</v>
      </c>
      <c r="AH405">
        <f t="shared" si="275"/>
        <v>2.5245219719824E-3</v>
      </c>
      <c r="AI405">
        <f t="shared" si="276"/>
        <v>1.5707963267948966</v>
      </c>
      <c r="AJ405" t="str">
        <f t="shared" si="262"/>
        <v>1+58.1622142480933i</v>
      </c>
      <c r="AK405">
        <f t="shared" si="277"/>
        <v>58.170810259451486</v>
      </c>
      <c r="AL405">
        <f t="shared" si="278"/>
        <v>1.5536047275073417</v>
      </c>
      <c r="AM405" t="str">
        <f t="shared" si="263"/>
        <v>1+437.832223923148i</v>
      </c>
      <c r="AN405">
        <f t="shared" si="279"/>
        <v>437.8333659116098</v>
      </c>
      <c r="AO405">
        <f t="shared" si="280"/>
        <v>1.5685123508641385</v>
      </c>
      <c r="AP405" s="42" t="str">
        <f t="shared" si="281"/>
        <v>-0.00148351106641677+0.0995062145154148i</v>
      </c>
      <c r="AQ405">
        <f t="shared" si="282"/>
        <v>-20.042030703787646</v>
      </c>
      <c r="AR405" s="44">
        <f t="shared" si="283"/>
        <v>90.854143900915105</v>
      </c>
      <c r="AS405" s="42" t="str">
        <f t="shared" si="284"/>
        <v>0.00248544794386968-0.00395915105157097i</v>
      </c>
      <c r="AT405" s="20">
        <f t="shared" si="285"/>
        <v>-46.605022788668144</v>
      </c>
      <c r="AU405" s="44">
        <f t="shared" si="286"/>
        <v>-57.880509473810314</v>
      </c>
    </row>
    <row r="406" spans="14:47" x14ac:dyDescent="0.3">
      <c r="N406" s="8">
        <v>88</v>
      </c>
      <c r="O406" s="35">
        <f t="shared" si="254"/>
        <v>75857.757502918481</v>
      </c>
      <c r="P406" s="34" t="str">
        <f t="shared" si="255"/>
        <v>545.10556621881</v>
      </c>
      <c r="Q406" s="4" t="str">
        <f t="shared" si="256"/>
        <v>1+10182.098860492i</v>
      </c>
      <c r="R406" s="4">
        <f t="shared" si="264"/>
        <v>10182.098909597789</v>
      </c>
      <c r="S406" s="4">
        <f t="shared" si="265"/>
        <v>1.5706981152168629</v>
      </c>
      <c r="T406" s="4" t="str">
        <f t="shared" si="257"/>
        <v>1+0.238314173688965i</v>
      </c>
      <c r="U406" s="4">
        <f t="shared" si="266"/>
        <v>1.0280046913224932</v>
      </c>
      <c r="V406" s="4">
        <f t="shared" si="267"/>
        <v>0.23395036076750969</v>
      </c>
      <c r="W406" t="str">
        <f t="shared" si="258"/>
        <v>1-0.247560763628096i</v>
      </c>
      <c r="X406" s="4">
        <f t="shared" si="268"/>
        <v>1.0301875225841779</v>
      </c>
      <c r="Y406" s="4">
        <f t="shared" si="269"/>
        <v>-0.24268159691176142</v>
      </c>
      <c r="Z406" t="str">
        <f t="shared" si="259"/>
        <v>0.631718440104218+1.07204645659473i</v>
      </c>
      <c r="AA406" s="4">
        <f t="shared" si="270"/>
        <v>1.2443278477415118</v>
      </c>
      <c r="AB406" s="4">
        <f t="shared" si="271"/>
        <v>1.0383083066424761</v>
      </c>
      <c r="AC406" s="48" t="str">
        <f t="shared" si="272"/>
        <v>-0.0394535634438992-0.0227920058579866i</v>
      </c>
      <c r="AD406" s="20">
        <f t="shared" si="273"/>
        <v>-26.827602666092794</v>
      </c>
      <c r="AE406" s="44">
        <f t="shared" si="274"/>
        <v>-149.98531967606621</v>
      </c>
      <c r="AF406" t="str">
        <f t="shared" si="260"/>
        <v>-0.0000333790427773504</v>
      </c>
      <c r="AG406" t="str">
        <f t="shared" si="261"/>
        <v>0.00258332564278838i</v>
      </c>
      <c r="AH406">
        <f t="shared" si="275"/>
        <v>2.5833256427883798E-3</v>
      </c>
      <c r="AI406">
        <f t="shared" si="276"/>
        <v>1.5707963267948966</v>
      </c>
      <c r="AJ406" t="str">
        <f t="shared" si="262"/>
        <v>1+59.5169862556056i</v>
      </c>
      <c r="AK406">
        <f t="shared" si="277"/>
        <v>59.525386625791413</v>
      </c>
      <c r="AL406">
        <f t="shared" si="278"/>
        <v>1.5539959815948043</v>
      </c>
      <c r="AM406" t="str">
        <f t="shared" si="263"/>
        <v>1+448.030646535254i</v>
      </c>
      <c r="AN406">
        <f t="shared" si="279"/>
        <v>448.03176252895031</v>
      </c>
      <c r="AO406">
        <f t="shared" si="280"/>
        <v>1.5685643403289151</v>
      </c>
      <c r="AP406" s="42" t="str">
        <f t="shared" si="281"/>
        <v>-0.00141676091359184+0.0972422980720063i</v>
      </c>
      <c r="AQ406">
        <f t="shared" si="282"/>
        <v>-20.2419739589347</v>
      </c>
      <c r="AR406" s="44">
        <f t="shared" si="283"/>
        <v>90.834705469897102</v>
      </c>
      <c r="AS406" s="42" t="str">
        <f t="shared" si="284"/>
        <v>0.00227224329389048-0.00380426435337251i</v>
      </c>
      <c r="AT406" s="20">
        <f t="shared" si="285"/>
        <v>-47.069576625027487</v>
      </c>
      <c r="AU406" s="44">
        <f t="shared" si="286"/>
        <v>-59.150614206169124</v>
      </c>
    </row>
    <row r="407" spans="14:47" x14ac:dyDescent="0.3">
      <c r="N407" s="8">
        <v>89</v>
      </c>
      <c r="O407" s="35">
        <f t="shared" si="254"/>
        <v>77624.711662869129</v>
      </c>
      <c r="P407" s="34" t="str">
        <f t="shared" si="255"/>
        <v>545.10556621881</v>
      </c>
      <c r="Q407" s="4" t="str">
        <f t="shared" si="256"/>
        <v>1+10419.2704106513i</v>
      </c>
      <c r="R407" s="4">
        <f t="shared" si="264"/>
        <v>10419.270458639303</v>
      </c>
      <c r="S407" s="4">
        <f t="shared" si="265"/>
        <v>1.5707003507852992</v>
      </c>
      <c r="T407" s="4" t="str">
        <f t="shared" si="257"/>
        <v>1+0.243865223897096i</v>
      </c>
      <c r="U407" s="4">
        <f t="shared" si="266"/>
        <v>1.0293057113542026</v>
      </c>
      <c r="V407" s="4">
        <f t="shared" si="267"/>
        <v>0.23919647409902642</v>
      </c>
      <c r="W407" t="str">
        <f t="shared" si="258"/>
        <v>1-0.253327194584302i</v>
      </c>
      <c r="X407" s="4">
        <f t="shared" si="268"/>
        <v>1.0315884196305971</v>
      </c>
      <c r="Y407" s="4">
        <f t="shared" si="269"/>
        <v>-0.24810768055110982</v>
      </c>
      <c r="Z407" t="str">
        <f t="shared" si="259"/>
        <v>0.614361864912411+1.0970176264328i</v>
      </c>
      <c r="AA407" s="4">
        <f t="shared" si="270"/>
        <v>1.2573337559148365</v>
      </c>
      <c r="AB407" s="4">
        <f t="shared" si="271"/>
        <v>1.0602858030933056</v>
      </c>
      <c r="AC407" s="48" t="str">
        <f t="shared" si="272"/>
        <v>-0.0387372267853273-0.0212475927914894i</v>
      </c>
      <c r="AD407" s="20">
        <f t="shared" si="273"/>
        <v>-27.095128583564442</v>
      </c>
      <c r="AE407" s="44">
        <f t="shared" si="274"/>
        <v>-151.25497709467518</v>
      </c>
      <c r="AF407" t="str">
        <f t="shared" si="260"/>
        <v>-0.0000333790427773504</v>
      </c>
      <c r="AG407" t="str">
        <f t="shared" si="261"/>
        <v>0.00264349902704452i</v>
      </c>
      <c r="AH407">
        <f t="shared" si="275"/>
        <v>2.6434990270445199E-3</v>
      </c>
      <c r="AI407">
        <f t="shared" si="276"/>
        <v>1.5707963267948966</v>
      </c>
      <c r="AJ407" t="str">
        <f t="shared" si="262"/>
        <v>1+60.9033149570311i</v>
      </c>
      <c r="AK407">
        <f t="shared" si="277"/>
        <v>60.911524137517098</v>
      </c>
      <c r="AL407">
        <f t="shared" si="278"/>
        <v>1.554378334622629</v>
      </c>
      <c r="AM407" t="str">
        <f t="shared" si="263"/>
        <v>1+458.466620926541i</v>
      </c>
      <c r="AN407">
        <f t="shared" si="279"/>
        <v>458.46771151718048</v>
      </c>
      <c r="AO407">
        <f t="shared" si="280"/>
        <v>1.5686151463806515</v>
      </c>
      <c r="AP407" s="42" t="str">
        <f t="shared" si="281"/>
        <v>-0.00135301335491766+0.0950298398282109i</v>
      </c>
      <c r="AQ407">
        <f t="shared" si="282"/>
        <v>-20.441919767303872</v>
      </c>
      <c r="AR407" s="44">
        <f t="shared" si="283"/>
        <v>90.815709227456921</v>
      </c>
      <c r="AS407" s="42" t="str">
        <f t="shared" si="284"/>
        <v>0.00207156732488331-0.003652444179992i</v>
      </c>
      <c r="AT407" s="20">
        <f t="shared" si="285"/>
        <v>-47.537048350868304</v>
      </c>
      <c r="AU407" s="44">
        <f t="shared" si="286"/>
        <v>-60.43926786721827</v>
      </c>
    </row>
    <row r="408" spans="14:47" x14ac:dyDescent="0.3">
      <c r="N408" s="8">
        <v>90</v>
      </c>
      <c r="O408" s="35">
        <f t="shared" si="254"/>
        <v>79432.823472428237</v>
      </c>
      <c r="P408" s="34" t="str">
        <f t="shared" si="255"/>
        <v>545.10556621881</v>
      </c>
      <c r="Q408" s="4" t="str">
        <f t="shared" si="256"/>
        <v>1+10661.9663958978i</v>
      </c>
      <c r="R408" s="4">
        <f t="shared" si="264"/>
        <v>10661.966442793464</v>
      </c>
      <c r="S408" s="4">
        <f t="shared" si="265"/>
        <v>1.5707025354659863</v>
      </c>
      <c r="T408" s="4" t="str">
        <f t="shared" si="257"/>
        <v>1+0.249545574674876i</v>
      </c>
      <c r="U408" s="4">
        <f t="shared" si="266"/>
        <v>1.03066628636034</v>
      </c>
      <c r="V408" s="4">
        <f t="shared" si="267"/>
        <v>0.2445509229937845</v>
      </c>
      <c r="W408" t="str">
        <f t="shared" si="258"/>
        <v>1-0.25922794297226i</v>
      </c>
      <c r="X408" s="4">
        <f t="shared" si="268"/>
        <v>1.0330533027959541</v>
      </c>
      <c r="Y408" s="4">
        <f t="shared" si="269"/>
        <v>-0.25364475199095965</v>
      </c>
      <c r="Z408" t="str">
        <f t="shared" si="259"/>
        <v>0.596187299532675+1.12257044953715i</v>
      </c>
      <c r="AA408" s="4">
        <f t="shared" si="270"/>
        <v>1.2710640071601833</v>
      </c>
      <c r="AB408" s="4">
        <f t="shared" si="271"/>
        <v>1.0825862223362477</v>
      </c>
      <c r="AC408" s="48" t="str">
        <f t="shared" si="272"/>
        <v>-0.0380028571942342-0.0197465591097841i</v>
      </c>
      <c r="AD408" s="20">
        <f t="shared" si="273"/>
        <v>-27.365666293635165</v>
      </c>
      <c r="AE408" s="44">
        <f t="shared" si="274"/>
        <v>-152.54328567272856</v>
      </c>
      <c r="AF408" t="str">
        <f t="shared" si="260"/>
        <v>-0.0000333790427773504</v>
      </c>
      <c r="AG408" t="str">
        <f t="shared" si="261"/>
        <v>0.00270507402947565i</v>
      </c>
      <c r="AH408">
        <f t="shared" si="275"/>
        <v>2.7050740294756498E-3</v>
      </c>
      <c r="AI408">
        <f t="shared" si="276"/>
        <v>1.5707963267948966</v>
      </c>
      <c r="AJ408" t="str">
        <f t="shared" si="262"/>
        <v>1+62.3219354021977i</v>
      </c>
      <c r="AK408">
        <f t="shared" si="277"/>
        <v>62.329957743252997</v>
      </c>
      <c r="AL408">
        <f t="shared" si="278"/>
        <v>1.5547519888720138</v>
      </c>
      <c r="AM408" t="str">
        <f t="shared" si="263"/>
        <v>1+469.145680388767i</v>
      </c>
      <c r="AN408">
        <f t="shared" si="279"/>
        <v>469.14674615458983</v>
      </c>
      <c r="AO408">
        <f t="shared" si="280"/>
        <v>1.5686647959563385</v>
      </c>
      <c r="AP408" s="42" t="str">
        <f t="shared" si="281"/>
        <v>-0.00129213339719041+0.0928676734440342i</v>
      </c>
      <c r="AQ408">
        <f t="shared" si="282"/>
        <v>-20.641868014044235</v>
      </c>
      <c r="AR408" s="44">
        <f t="shared" si="283"/>
        <v>90.79714512711152</v>
      </c>
      <c r="AS408" s="42" t="str">
        <f t="shared" si="284"/>
        <v>0.00188292176402008-0.00350372174334906i</v>
      </c>
      <c r="AT408" s="20">
        <f t="shared" si="285"/>
        <v>-48.0075343076794</v>
      </c>
      <c r="AU408" s="44">
        <f t="shared" si="286"/>
        <v>-61.74614054561696</v>
      </c>
    </row>
    <row r="409" spans="14:47" x14ac:dyDescent="0.3">
      <c r="N409" s="8">
        <v>91</v>
      </c>
      <c r="O409" s="35">
        <f t="shared" si="254"/>
        <v>81283.051616410012</v>
      </c>
      <c r="P409" s="34" t="str">
        <f t="shared" si="255"/>
        <v>545.10556621881</v>
      </c>
      <c r="Q409" s="4" t="str">
        <f t="shared" si="256"/>
        <v>1+10910.315496855i</v>
      </c>
      <c r="R409" s="4">
        <f t="shared" si="264"/>
        <v>10910.315542683189</v>
      </c>
      <c r="S409" s="4">
        <f t="shared" si="265"/>
        <v>1.5707046704172705</v>
      </c>
      <c r="T409" s="4" t="str">
        <f t="shared" si="257"/>
        <v>1+0.255358237819473i</v>
      </c>
      <c r="U409" s="4">
        <f t="shared" si="266"/>
        <v>1.0320890608965227</v>
      </c>
      <c r="V409" s="4">
        <f t="shared" si="267"/>
        <v>0.25001531782043335</v>
      </c>
      <c r="W409" t="str">
        <f t="shared" si="258"/>
        <v>1-0.265266137446868i</v>
      </c>
      <c r="X409" s="4">
        <f t="shared" si="268"/>
        <v>1.034585000701238</v>
      </c>
      <c r="Y409" s="4">
        <f t="shared" si="269"/>
        <v>-0.25929438839231927</v>
      </c>
      <c r="Z409" t="str">
        <f t="shared" si="259"/>
        <v>0.577156193275138+1.14871847435282i</v>
      </c>
      <c r="AA409" s="4">
        <f t="shared" si="270"/>
        <v>1.2855595687307995</v>
      </c>
      <c r="AB409" s="4">
        <f t="shared" si="271"/>
        <v>1.1052027362725079</v>
      </c>
      <c r="AC409" s="48" t="str">
        <f t="shared" si="272"/>
        <v>-0.0372509801339325-0.0182895125925859i</v>
      </c>
      <c r="AD409" s="20">
        <f t="shared" si="273"/>
        <v>-27.639310939585343</v>
      </c>
      <c r="AE409" s="44">
        <f t="shared" si="274"/>
        <v>-153.84985235269446</v>
      </c>
      <c r="AF409" t="str">
        <f t="shared" si="260"/>
        <v>-0.0000333790427773504</v>
      </c>
      <c r="AG409" t="str">
        <f t="shared" si="261"/>
        <v>0.00276808329796309i</v>
      </c>
      <c r="AH409">
        <f t="shared" si="275"/>
        <v>2.7680832979630901E-3</v>
      </c>
      <c r="AI409">
        <f t="shared" si="276"/>
        <v>1.5707963267948966</v>
      </c>
      <c r="AJ409" t="str">
        <f t="shared" si="262"/>
        <v>1+63.7735997624427i</v>
      </c>
      <c r="AK409">
        <f t="shared" si="277"/>
        <v>63.781439515428254</v>
      </c>
      <c r="AL409">
        <f t="shared" si="278"/>
        <v>1.5551171420417989</v>
      </c>
      <c r="AM409" t="str">
        <f t="shared" si="263"/>
        <v>1+480.073487100611i</v>
      </c>
      <c r="AN409">
        <f t="shared" si="279"/>
        <v>480.07452860669514</v>
      </c>
      <c r="AO409">
        <f t="shared" si="280"/>
        <v>1.5687133153798591</v>
      </c>
      <c r="AP409" s="42" t="str">
        <f t="shared" si="281"/>
        <v>-0.00123399211008037+0.0907546587957716i</v>
      </c>
      <c r="AQ409">
        <f t="shared" si="282"/>
        <v>-20.841818589468581</v>
      </c>
      <c r="AR409" s="44">
        <f t="shared" si="283"/>
        <v>90.77900334979914</v>
      </c>
      <c r="AS409" s="42" t="str">
        <f t="shared" si="284"/>
        <v>0.00170582589045914-0.00335813087762664i</v>
      </c>
      <c r="AT409" s="20">
        <f t="shared" si="285"/>
        <v>-48.481129529053931</v>
      </c>
      <c r="AU409" s="44">
        <f t="shared" si="286"/>
        <v>-63.070849002895216</v>
      </c>
    </row>
    <row r="410" spans="14:47" x14ac:dyDescent="0.3">
      <c r="N410" s="8">
        <v>92</v>
      </c>
      <c r="O410" s="35">
        <f t="shared" si="254"/>
        <v>83176.377110267174</v>
      </c>
      <c r="P410" s="34" t="str">
        <f t="shared" si="255"/>
        <v>545.10556621881</v>
      </c>
      <c r="Q410" s="4" t="str">
        <f t="shared" si="256"/>
        <v>1+11164.4493915039i</v>
      </c>
      <c r="R410" s="4">
        <f t="shared" si="264"/>
        <v>11164.449436288911</v>
      </c>
      <c r="S410" s="4">
        <f t="shared" si="265"/>
        <v>1.570706756771131</v>
      </c>
      <c r="T410" s="4" t="str">
        <f t="shared" si="257"/>
        <v>1+0.261306295281829i</v>
      </c>
      <c r="U410" s="4">
        <f t="shared" si="266"/>
        <v>1.0335767895777819</v>
      </c>
      <c r="V410" s="4">
        <f t="shared" si="267"/>
        <v>0.25559125000094368</v>
      </c>
      <c r="W410" t="str">
        <f t="shared" si="258"/>
        <v>1-0.271444979538764i</v>
      </c>
      <c r="X410" s="4">
        <f t="shared" si="268"/>
        <v>1.0361864585666039</v>
      </c>
      <c r="Y410" s="4">
        <f t="shared" si="269"/>
        <v>-0.26505814205036043</v>
      </c>
      <c r="Z410" t="str">
        <f t="shared" si="259"/>
        <v>0.557228178611879+1.17547556490868i</v>
      </c>
      <c r="AA410" s="4">
        <f t="shared" si="270"/>
        <v>1.3008635772964408</v>
      </c>
      <c r="AB410" s="4">
        <f t="shared" si="271"/>
        <v>1.1281275671659703</v>
      </c>
      <c r="AC410" s="48" t="str">
        <f t="shared" si="272"/>
        <v>-0.0364822238347091-0.0168770706406821i</v>
      </c>
      <c r="AD410" s="20">
        <f t="shared" si="273"/>
        <v>-27.916155760604795</v>
      </c>
      <c r="AE410" s="44">
        <f t="shared" si="274"/>
        <v>-155.17422932617626</v>
      </c>
      <c r="AF410" t="str">
        <f t="shared" si="260"/>
        <v>-0.0000333790427773504</v>
      </c>
      <c r="AG410" t="str">
        <f t="shared" si="261"/>
        <v>0.00283256024085503i</v>
      </c>
      <c r="AH410">
        <f t="shared" si="275"/>
        <v>2.83256024085503E-3</v>
      </c>
      <c r="AI410">
        <f t="shared" si="276"/>
        <v>1.5707963267948966</v>
      </c>
      <c r="AJ410" t="str">
        <f t="shared" si="262"/>
        <v>1+65.2590777294251i</v>
      </c>
      <c r="AK410">
        <f t="shared" si="277"/>
        <v>65.26673904903744</v>
      </c>
      <c r="AL410">
        <f t="shared" si="278"/>
        <v>1.5554739873512982</v>
      </c>
      <c r="AM410" t="str">
        <f t="shared" si="263"/>
        <v>1+491.255835129841i</v>
      </c>
      <c r="AN410">
        <f t="shared" si="279"/>
        <v>491.25685292840194</v>
      </c>
      <c r="AO410">
        <f t="shared" si="280"/>
        <v>1.5687607303759397</v>
      </c>
      <c r="AP410" s="42" t="str">
        <f t="shared" si="281"/>
        <v>-0.00117846635438488+0.088689681401437i</v>
      </c>
      <c r="AQ410">
        <f t="shared" si="282"/>
        <v>-21.041771388821246</v>
      </c>
      <c r="AR410" s="44">
        <f t="shared" si="283"/>
        <v>90.761274298786844</v>
      </c>
      <c r="AS410" s="42" t="str">
        <f t="shared" si="284"/>
        <v>0.00153981509143398-0.00321570774880564i</v>
      </c>
      <c r="AT410" s="20">
        <f t="shared" si="285"/>
        <v>-48.957927149426048</v>
      </c>
      <c r="AU410" s="44">
        <f t="shared" si="286"/>
        <v>-64.412955027389472</v>
      </c>
    </row>
    <row r="411" spans="14:47" x14ac:dyDescent="0.3">
      <c r="N411" s="8">
        <v>93</v>
      </c>
      <c r="O411" s="35">
        <f t="shared" si="254"/>
        <v>85113.803820237721</v>
      </c>
      <c r="P411" s="34" t="str">
        <f t="shared" si="255"/>
        <v>545.10556621881</v>
      </c>
      <c r="Q411" s="4" t="str">
        <f t="shared" si="256"/>
        <v>1+11424.5028249991i</v>
      </c>
      <c r="R411" s="4">
        <f t="shared" si="264"/>
        <v>11424.502868764679</v>
      </c>
      <c r="S411" s="4">
        <f t="shared" si="265"/>
        <v>1.5707087956337806</v>
      </c>
      <c r="T411" s="4" t="str">
        <f t="shared" si="257"/>
        <v>1+0.267392900800742i</v>
      </c>
      <c r="U411" s="4">
        <f t="shared" si="266"/>
        <v>1.0351323410070015</v>
      </c>
      <c r="V411" s="4">
        <f t="shared" si="267"/>
        <v>0.26128028849601825</v>
      </c>
      <c r="W411" t="str">
        <f t="shared" si="258"/>
        <v>1-0.277767745351809i</v>
      </c>
      <c r="X411" s="4">
        <f t="shared" si="268"/>
        <v>1.0378607422760664</v>
      </c>
      <c r="Y411" s="4">
        <f t="shared" si="269"/>
        <v>-0.2709375365435111</v>
      </c>
      <c r="Z411" t="str">
        <f t="shared" si="259"/>
        <v>0.536360985552005+1.20285590816831i</v>
      </c>
      <c r="AA411" s="4">
        <f t="shared" si="270"/>
        <v>1.3170214283138022</v>
      </c>
      <c r="AB411" s="4">
        <f t="shared" si="271"/>
        <v>1.151351964068116</v>
      </c>
      <c r="AC411" s="48" t="str">
        <f t="shared" si="272"/>
        <v>-0.0356973221502795-0.0155098502987928i</v>
      </c>
      <c r="AD411" s="20">
        <f t="shared" si="273"/>
        <v>-28.196291460093668</v>
      </c>
      <c r="AE411" s="44">
        <f t="shared" si="274"/>
        <v>-156.51591266392552</v>
      </c>
      <c r="AF411" t="str">
        <f t="shared" si="260"/>
        <v>-0.0000333790427773504</v>
      </c>
      <c r="AG411" t="str">
        <f t="shared" si="261"/>
        <v>0.00289853904468004i</v>
      </c>
      <c r="AH411">
        <f t="shared" si="275"/>
        <v>2.8985390446800399E-3</v>
      </c>
      <c r="AI411">
        <f t="shared" si="276"/>
        <v>1.5707963267948966</v>
      </c>
      <c r="AJ411" t="str">
        <f t="shared" si="262"/>
        <v>1+66.7791569232258i</v>
      </c>
      <c r="AK411">
        <f t="shared" si="277"/>
        <v>66.78664386969011</v>
      </c>
      <c r="AL411">
        <f t="shared" si="278"/>
        <v>1.5558227136408878</v>
      </c>
      <c r="AM411" t="str">
        <f t="shared" si="263"/>
        <v>1+502.698653505395i</v>
      </c>
      <c r="AN411">
        <f t="shared" si="279"/>
        <v>502.69964813607851</v>
      </c>
      <c r="AO411">
        <f t="shared" si="280"/>
        <v>1.5688070660837852</v>
      </c>
      <c r="AP411" s="42" t="str">
        <f t="shared" si="281"/>
        <v>-0.00112543852241262+0.0866716518577859i</v>
      </c>
      <c r="AQ411">
        <f t="shared" si="282"/>
        <v>-21.241726312056986</v>
      </c>
      <c r="AR411" s="44">
        <f t="shared" si="283"/>
        <v>90.743948594688405</v>
      </c>
      <c r="AS411" s="42" t="str">
        <f t="shared" si="284"/>
        <v>0.00138443948695824-0.00307649049466114i</v>
      </c>
      <c r="AT411" s="20">
        <f t="shared" si="285"/>
        <v>-49.438017772150658</v>
      </c>
      <c r="AU411" s="44">
        <f t="shared" si="286"/>
        <v>-65.771964069237185</v>
      </c>
    </row>
    <row r="412" spans="14:47" x14ac:dyDescent="0.3">
      <c r="N412" s="8">
        <v>94</v>
      </c>
      <c r="O412" s="35">
        <f t="shared" si="254"/>
        <v>87096.358995608127</v>
      </c>
      <c r="P412" s="34" t="str">
        <f t="shared" si="255"/>
        <v>545.10556621881</v>
      </c>
      <c r="Q412" s="4" t="str">
        <f t="shared" si="256"/>
        <v>1+11690.6136811132i</v>
      </c>
      <c r="R412" s="4">
        <f t="shared" si="264"/>
        <v>11690.613723882554</v>
      </c>
      <c r="S412" s="4">
        <f t="shared" si="265"/>
        <v>1.5707107880862508</v>
      </c>
      <c r="T412" s="4" t="str">
        <f t="shared" si="257"/>
        <v>1+0.273621281575022i</v>
      </c>
      <c r="U412" s="4">
        <f t="shared" si="266"/>
        <v>1.0367587017868514</v>
      </c>
      <c r="V412" s="4">
        <f t="shared" si="267"/>
        <v>0.26708397608838824</v>
      </c>
      <c r="W412" t="str">
        <f t="shared" si="258"/>
        <v>1-0.284237787300132i</v>
      </c>
      <c r="X412" s="4">
        <f t="shared" si="268"/>
        <v>1.0396110425198815</v>
      </c>
      <c r="Y412" s="4">
        <f t="shared" si="269"/>
        <v>-0.27693406267432086</v>
      </c>
      <c r="Z412" t="str">
        <f t="shared" si="259"/>
        <v>0.51451035198132+1.23087402155214i</v>
      </c>
      <c r="AA412" s="4">
        <f t="shared" si="270"/>
        <v>1.3340808668247515</v>
      </c>
      <c r="AB412" s="4">
        <f t="shared" si="271"/>
        <v>1.1748661849023003</v>
      </c>
      <c r="AC412" s="48" t="str">
        <f t="shared" si="272"/>
        <v>-0.0348971164285305-0.0141884575974292i</v>
      </c>
      <c r="AD412" s="20">
        <f t="shared" si="273"/>
        <v>-28.479805536663385</v>
      </c>
      <c r="AE412" s="44">
        <f t="shared" si="274"/>
        <v>-157.87434126976038</v>
      </c>
      <c r="AF412" t="str">
        <f t="shared" si="260"/>
        <v>-0.0000333790427773504</v>
      </c>
      <c r="AG412" t="str">
        <f t="shared" si="261"/>
        <v>0.00296605469227324i</v>
      </c>
      <c r="AH412">
        <f t="shared" si="275"/>
        <v>2.9660546922732401E-3</v>
      </c>
      <c r="AI412">
        <f t="shared" si="276"/>
        <v>1.5707963267948966</v>
      </c>
      <c r="AJ412" t="str">
        <f t="shared" si="262"/>
        <v>1+68.3346433099538i</v>
      </c>
      <c r="AK412">
        <f t="shared" si="277"/>
        <v>68.341959851167672</v>
      </c>
      <c r="AL412">
        <f t="shared" si="278"/>
        <v>1.5561635054703988</v>
      </c>
      <c r="AM412" t="str">
        <f t="shared" si="263"/>
        <v>1+514.408009361043i</v>
      </c>
      <c r="AN412">
        <f t="shared" si="279"/>
        <v>514.40898135121131</v>
      </c>
      <c r="AO412">
        <f t="shared" si="280"/>
        <v>1.568852347070405</v>
      </c>
      <c r="AP412" s="42" t="str">
        <f t="shared" si="281"/>
        <v>-0.00107479628996248+0.0846995052887856i</v>
      </c>
      <c r="AQ412">
        <f t="shared" si="282"/>
        <v>-21.441683263628871</v>
      </c>
      <c r="AR412" s="44">
        <f t="shared" si="283"/>
        <v>90.727017070590378</v>
      </c>
      <c r="AS412" s="42" t="str">
        <f t="shared" si="284"/>
        <v>0.00123926263058094-0.00294051879591568i</v>
      </c>
      <c r="AT412" s="20">
        <f t="shared" si="285"/>
        <v>-49.921488800292252</v>
      </c>
      <c r="AU412" s="44">
        <f t="shared" si="286"/>
        <v>-67.147324199169958</v>
      </c>
    </row>
    <row r="413" spans="14:47" x14ac:dyDescent="0.3">
      <c r="N413" s="8">
        <v>95</v>
      </c>
      <c r="O413" s="35">
        <f t="shared" si="254"/>
        <v>89125.093813374609</v>
      </c>
      <c r="P413" s="34" t="str">
        <f t="shared" si="255"/>
        <v>545.10556621881</v>
      </c>
      <c r="Q413" s="4" t="str">
        <f t="shared" si="256"/>
        <v>1+11962.9230553447i</v>
      </c>
      <c r="R413" s="4">
        <f t="shared" si="264"/>
        <v>11962.923097140505</v>
      </c>
      <c r="S413" s="4">
        <f t="shared" si="265"/>
        <v>1.5707127351849661</v>
      </c>
      <c r="T413" s="4" t="str">
        <f t="shared" si="257"/>
        <v>1+0.279994739974599i</v>
      </c>
      <c r="U413" s="4">
        <f t="shared" si="266"/>
        <v>1.0384589806118696</v>
      </c>
      <c r="V413" s="4">
        <f t="shared" si="267"/>
        <v>0.27300382546005558</v>
      </c>
      <c r="W413" t="str">
        <f t="shared" si="258"/>
        <v>1-0.290858535885613i</v>
      </c>
      <c r="X413" s="4">
        <f t="shared" si="268"/>
        <v>1.0414406790103421</v>
      </c>
      <c r="Y413" s="4">
        <f t="shared" si="269"/>
        <v>-0.28304917419935405</v>
      </c>
      <c r="Z413" t="str">
        <f t="shared" si="259"/>
        <v>0.491629929776458+1.25954476063473i</v>
      </c>
      <c r="AA413" s="4">
        <f t="shared" si="270"/>
        <v>1.3520920796655844</v>
      </c>
      <c r="AB413" s="4">
        <f t="shared" si="271"/>
        <v>1.1986594849369967</v>
      </c>
      <c r="AC413" s="48" t="str">
        <f t="shared" si="272"/>
        <v>-0.0340825562623617-0.0129134763172054i</v>
      </c>
      <c r="AD413" s="20">
        <f t="shared" si="273"/>
        <v>-28.766781582222769</v>
      </c>
      <c r="AE413" s="44">
        <f t="shared" si="274"/>
        <v>-159.24889620026218</v>
      </c>
      <c r="AF413" t="str">
        <f t="shared" si="260"/>
        <v>-0.0000333790427773504</v>
      </c>
      <c r="AG413" t="str">
        <f t="shared" si="261"/>
        <v>0.00303514298132465i</v>
      </c>
      <c r="AH413">
        <f t="shared" si="275"/>
        <v>3.0351429813246498E-3</v>
      </c>
      <c r="AI413">
        <f t="shared" si="276"/>
        <v>1.5707963267948966</v>
      </c>
      <c r="AJ413" t="str">
        <f t="shared" si="262"/>
        <v>1+69.9263616290806i</v>
      </c>
      <c r="AK413">
        <f t="shared" si="277"/>
        <v>69.933511642709291</v>
      </c>
      <c r="AL413">
        <f t="shared" si="278"/>
        <v>1.5564965432153546</v>
      </c>
      <c r="AM413" t="str">
        <f t="shared" si="263"/>
        <v>1+526.390111152247i</v>
      </c>
      <c r="AN413">
        <f t="shared" si="279"/>
        <v>526.39106101725827</v>
      </c>
      <c r="AO413">
        <f t="shared" si="280"/>
        <v>1.5688965973436346</v>
      </c>
      <c r="AP413" s="42" t="str">
        <f t="shared" si="281"/>
        <v>-0.00102643237938258+0.0827722008053433i</v>
      </c>
      <c r="AQ413">
        <f t="shared" si="282"/>
        <v>-21.641642152286451</v>
      </c>
      <c r="AR413" s="44">
        <f t="shared" si="283"/>
        <v>90.710470767284221</v>
      </c>
      <c r="AS413" s="42" t="str">
        <f t="shared" si="284"/>
        <v>0.00110386029414259-0.00280783338068524i</v>
      </c>
      <c r="AT413" s="20">
        <f t="shared" si="285"/>
        <v>-50.408423734509228</v>
      </c>
      <c r="AU413" s="44">
        <f t="shared" si="286"/>
        <v>-68.538425432977888</v>
      </c>
    </row>
    <row r="414" spans="14:47" x14ac:dyDescent="0.3">
      <c r="N414" s="8">
        <v>96</v>
      </c>
      <c r="O414" s="35">
        <f t="shared" si="254"/>
        <v>91201.083935591028</v>
      </c>
      <c r="P414" s="34" t="str">
        <f t="shared" si="255"/>
        <v>545.10556621881</v>
      </c>
      <c r="Q414" s="4" t="str">
        <f t="shared" si="256"/>
        <v>1+12241.5753297281i</v>
      </c>
      <c r="R414" s="4">
        <f t="shared" si="264"/>
        <v>12241.575370572516</v>
      </c>
      <c r="S414" s="4">
        <f t="shared" si="265"/>
        <v>1.5707146379623043</v>
      </c>
      <c r="T414" s="4" t="str">
        <f t="shared" si="257"/>
        <v>1+0.286516655291479i</v>
      </c>
      <c r="U414" s="4">
        <f t="shared" si="266"/>
        <v>1.0402364124368153</v>
      </c>
      <c r="V414" s="4">
        <f t="shared" si="267"/>
        <v>0.27904131506024793</v>
      </c>
      <c r="W414" t="str">
        <f t="shared" si="258"/>
        <v>1-0.297633501516788i</v>
      </c>
      <c r="X414" s="4">
        <f t="shared" si="268"/>
        <v>1.04335310476614</v>
      </c>
      <c r="Y414" s="4">
        <f t="shared" si="269"/>
        <v>-0.28928428334634121</v>
      </c>
      <c r="Z414" t="str">
        <f t="shared" si="259"/>
        <v>0.467671186494288+1.28888332702146i</v>
      </c>
      <c r="AA414" s="4">
        <f t="shared" si="270"/>
        <v>1.3711077891073635</v>
      </c>
      <c r="AB414" s="4">
        <f t="shared" si="271"/>
        <v>1.2227201123439391</v>
      </c>
      <c r="AC414" s="48" t="str">
        <f t="shared" si="272"/>
        <v>-0.0332546989964874-0.0116854563047406i</v>
      </c>
      <c r="AD414" s="20">
        <f t="shared" si="273"/>
        <v>-29.057298552584708</v>
      </c>
      <c r="AE414" s="44">
        <f t="shared" si="274"/>
        <v>-160.63890039020825</v>
      </c>
      <c r="AF414" t="str">
        <f t="shared" si="260"/>
        <v>-0.0000333790427773504</v>
      </c>
      <c r="AG414" t="str">
        <f t="shared" si="261"/>
        <v>0.00310584054335963i</v>
      </c>
      <c r="AH414">
        <f t="shared" si="275"/>
        <v>3.1058405433596302E-3</v>
      </c>
      <c r="AI414">
        <f t="shared" si="276"/>
        <v>1.5707963267948966</v>
      </c>
      <c r="AJ414" t="str">
        <f t="shared" si="262"/>
        <v>1+71.555155830728i</v>
      </c>
      <c r="AK414">
        <f t="shared" si="277"/>
        <v>71.562143106252535</v>
      </c>
      <c r="AL414">
        <f t="shared" si="278"/>
        <v>1.5568220031610973</v>
      </c>
      <c r="AM414" t="str">
        <f t="shared" si="263"/>
        <v>1+538.651311947982i</v>
      </c>
      <c r="AN414">
        <f t="shared" si="279"/>
        <v>538.65224019146353</v>
      </c>
      <c r="AO414">
        <f t="shared" si="280"/>
        <v>1.5689398403648607</v>
      </c>
      <c r="AP414" s="42" t="str">
        <f t="shared" si="281"/>
        <v>-0.000980244333218233+0.0808887209761332i</v>
      </c>
      <c r="AQ414">
        <f t="shared" si="282"/>
        <v>-21.841602890882918</v>
      </c>
      <c r="AR414" s="44">
        <f t="shared" si="283"/>
        <v>90.694300928602246</v>
      </c>
      <c r="AS414" s="42" t="str">
        <f t="shared" si="284"/>
        <v>0.000977819344757144-0.00267847546594837i</v>
      </c>
      <c r="AT414" s="20">
        <f t="shared" si="285"/>
        <v>-50.898901443467636</v>
      </c>
      <c r="AU414" s="44">
        <f t="shared" si="286"/>
        <v>-69.944599461605961</v>
      </c>
    </row>
    <row r="415" spans="14:47" x14ac:dyDescent="0.3">
      <c r="N415" s="8">
        <v>97</v>
      </c>
      <c r="O415" s="35">
        <f t="shared" si="254"/>
        <v>93325.430079699145</v>
      </c>
      <c r="P415" s="34" t="str">
        <f t="shared" si="255"/>
        <v>545.10556621881</v>
      </c>
      <c r="Q415" s="4" t="str">
        <f t="shared" si="256"/>
        <v>1+12526.7182493877i</v>
      </c>
      <c r="R415" s="4">
        <f t="shared" si="264"/>
        <v>12526.718289302384</v>
      </c>
      <c r="S415" s="4">
        <f t="shared" si="265"/>
        <v>1.570716497427143</v>
      </c>
      <c r="T415" s="4" t="str">
        <f t="shared" si="257"/>
        <v>1+0.293190485531491i</v>
      </c>
      <c r="U415" s="4">
        <f t="shared" si="266"/>
        <v>1.0420943627168278</v>
      </c>
      <c r="V415" s="4">
        <f t="shared" si="267"/>
        <v>0.2851978847616935</v>
      </c>
      <c r="W415" t="str">
        <f t="shared" si="258"/>
        <v>1-0.304566276370112i</v>
      </c>
      <c r="X415" s="4">
        <f t="shared" si="268"/>
        <v>1.0453519104598008</v>
      </c>
      <c r="Y415" s="4">
        <f t="shared" si="269"/>
        <v>-0.29564075611776897</v>
      </c>
      <c r="Z415" t="str">
        <f t="shared" si="259"/>
        <v>0.442583302428106+1.31890527640857i</v>
      </c>
      <c r="AA415" s="4">
        <f t="shared" si="270"/>
        <v>1.3911833479906719</v>
      </c>
      <c r="AB415" s="4">
        <f t="shared" si="271"/>
        <v>1.2470353114828832</v>
      </c>
      <c r="AC415" s="48" t="str">
        <f t="shared" si="272"/>
        <v>-0.0324147078811673-0.0105049014944373i</v>
      </c>
      <c r="AD415" s="20">
        <f t="shared" si="273"/>
        <v>-29.351430017077664</v>
      </c>
      <c r="AE415" s="44">
        <f t="shared" si="274"/>
        <v>-162.04361882059882</v>
      </c>
      <c r="AF415" t="str">
        <f t="shared" si="260"/>
        <v>-0.0000333790427773504</v>
      </c>
      <c r="AG415" t="str">
        <f t="shared" si="261"/>
        <v>0.00317818486316136i</v>
      </c>
      <c r="AH415">
        <f t="shared" si="275"/>
        <v>3.1781848631613598E-3</v>
      </c>
      <c r="AI415">
        <f t="shared" si="276"/>
        <v>1.5707963267948966</v>
      </c>
      <c r="AJ415" t="str">
        <f t="shared" si="262"/>
        <v>1+73.2218895231413i</v>
      </c>
      <c r="AK415">
        <f t="shared" si="277"/>
        <v>73.228717763860303</v>
      </c>
      <c r="AL415">
        <f t="shared" si="278"/>
        <v>1.5571400575948475</v>
      </c>
      <c r="AM415" t="str">
        <f t="shared" si="263"/>
        <v>1+551.198112799204i</v>
      </c>
      <c r="AN415">
        <f t="shared" si="279"/>
        <v>551.19901991331949</v>
      </c>
      <c r="AO415">
        <f t="shared" si="280"/>
        <v>1.5689820990614587</v>
      </c>
      <c r="AP415" s="42" t="str">
        <f t="shared" si="281"/>
        <v>-0.000936134297978975+0.0790480713093511i</v>
      </c>
      <c r="AQ415">
        <f t="shared" si="282"/>
        <v>-22.041565396190435</v>
      </c>
      <c r="AR415" s="44">
        <f t="shared" si="283"/>
        <v>90.678498996855737</v>
      </c>
      <c r="AS415" s="42" t="str">
        <f t="shared" si="284"/>
        <v>0.000860736722236519-0.00255248614147646i</v>
      </c>
      <c r="AT415" s="20">
        <f t="shared" si="285"/>
        <v>-51.39299541326811</v>
      </c>
      <c r="AU415" s="44">
        <f t="shared" si="286"/>
        <v>-71.365119823743058</v>
      </c>
    </row>
    <row r="416" spans="14:47" x14ac:dyDescent="0.3">
      <c r="N416" s="8">
        <v>98</v>
      </c>
      <c r="O416" s="35">
        <f t="shared" si="254"/>
        <v>95499.258602143804</v>
      </c>
      <c r="P416" s="34" t="str">
        <f t="shared" si="255"/>
        <v>545.10556621881</v>
      </c>
      <c r="Q416" s="4" t="str">
        <f t="shared" si="256"/>
        <v>1+12818.5030008739i</v>
      </c>
      <c r="R416" s="4">
        <f t="shared" si="264"/>
        <v>12818.503039880014</v>
      </c>
      <c r="S416" s="4">
        <f t="shared" si="265"/>
        <v>1.5707183145653949</v>
      </c>
      <c r="T416" s="4" t="str">
        <f t="shared" si="257"/>
        <v>1+0.300019769247767i</v>
      </c>
      <c r="U416" s="4">
        <f t="shared" si="266"/>
        <v>1.0440363317143151</v>
      </c>
      <c r="V416" s="4">
        <f t="shared" si="267"/>
        <v>0.29147493130373814</v>
      </c>
      <c r="W416" t="str">
        <f t="shared" si="258"/>
        <v>1-0.311660536294579i</v>
      </c>
      <c r="X416" s="4">
        <f t="shared" si="268"/>
        <v>1.0474408288220507</v>
      </c>
      <c r="Y416" s="4">
        <f t="shared" si="269"/>
        <v>-0.30211990738127348</v>
      </c>
      <c r="Z416" t="str">
        <f t="shared" si="259"/>
        <v>0.416313062812214+1.349626526831i</v>
      </c>
      <c r="AA416" s="4">
        <f t="shared" si="270"/>
        <v>1.412376836468934</v>
      </c>
      <c r="AB416" s="4">
        <f t="shared" si="271"/>
        <v>1.2715913344797172</v>
      </c>
      <c r="AC416" s="48" t="str">
        <f t="shared" si="272"/>
        <v>-0.0315638487841535-0.0093722578139653i</v>
      </c>
      <c r="AD416" s="20">
        <f t="shared" si="273"/>
        <v>-29.649243394662349</v>
      </c>
      <c r="AE416" s="44">
        <f t="shared" si="274"/>
        <v>-163.46225916185568</v>
      </c>
      <c r="AF416" t="str">
        <f t="shared" si="260"/>
        <v>-0.0000333790427773504</v>
      </c>
      <c r="AG416" t="str">
        <f t="shared" si="261"/>
        <v>0.00325221429864579i</v>
      </c>
      <c r="AH416">
        <f t="shared" si="275"/>
        <v>3.2522142986457902E-3</v>
      </c>
      <c r="AI416">
        <f t="shared" si="276"/>
        <v>1.5707963267948966</v>
      </c>
      <c r="AJ416" t="str">
        <f t="shared" si="262"/>
        <v>1+74.9274464305862i</v>
      </c>
      <c r="AK416">
        <f t="shared" si="277"/>
        <v>74.934119255572526</v>
      </c>
      <c r="AL416">
        <f t="shared" si="278"/>
        <v>1.5574508748957363</v>
      </c>
      <c r="AM416" t="str">
        <f t="shared" si="263"/>
        <v>1+564.037166185803i</v>
      </c>
      <c r="AN416">
        <f t="shared" si="279"/>
        <v>564.03805265151323</v>
      </c>
      <c r="AO416">
        <f t="shared" si="280"/>
        <v>1.5690233958389443</v>
      </c>
      <c r="AP416" s="42" t="str">
        <f t="shared" si="281"/>
        <v>-0.000894008817575029+0.0772492797452168i</v>
      </c>
      <c r="AQ416">
        <f t="shared" si="282"/>
        <v>-22.241529588724042</v>
      </c>
      <c r="AR416" s="44">
        <f t="shared" si="283"/>
        <v>90.663056608372571</v>
      </c>
      <c r="AS416" s="42" t="str">
        <f t="shared" si="284"/>
        <v>0.000752218524844938-0.00242990570343652i</v>
      </c>
      <c r="AT416" s="20">
        <f t="shared" si="285"/>
        <v>-51.890772983386398</v>
      </c>
      <c r="AU416" s="44">
        <f t="shared" si="286"/>
        <v>-72.79920255348307</v>
      </c>
    </row>
    <row r="417" spans="14:47" x14ac:dyDescent="0.3">
      <c r="N417" s="8">
        <v>99</v>
      </c>
      <c r="O417" s="35">
        <f t="shared" si="254"/>
        <v>97723.722095581266</v>
      </c>
      <c r="P417" s="34" t="str">
        <f t="shared" si="255"/>
        <v>545.10556621881</v>
      </c>
      <c r="Q417" s="4" t="str">
        <f t="shared" si="256"/>
        <v>1+13117.084292324i</v>
      </c>
      <c r="R417" s="4">
        <f t="shared" si="264"/>
        <v>13117.084330442227</v>
      </c>
      <c r="S417" s="4">
        <f t="shared" si="265"/>
        <v>1.570720090340531</v>
      </c>
      <c r="T417" s="4" t="str">
        <f t="shared" si="257"/>
        <v>1+0.307008127416928i</v>
      </c>
      <c r="U417" s="4">
        <f t="shared" si="266"/>
        <v>1.0460659588668626</v>
      </c>
      <c r="V417" s="4">
        <f t="shared" si="267"/>
        <v>0.29787380352189491</v>
      </c>
      <c r="W417" t="str">
        <f t="shared" si="258"/>
        <v>1-0.318920042760704i</v>
      </c>
      <c r="X417" s="4">
        <f t="shared" si="268"/>
        <v>1.0496237390962959</v>
      </c>
      <c r="Y417" s="4">
        <f t="shared" si="269"/>
        <v>-0.30872299574846496</v>
      </c>
      <c r="Z417" t="str">
        <f t="shared" si="259"/>
        <v>0.388804744946278+1.38106336710237i</v>
      </c>
      <c r="AA417" s="4">
        <f t="shared" si="270"/>
        <v>1.4347491605311626</v>
      </c>
      <c r="AB417" s="4">
        <f t="shared" si="271"/>
        <v>1.2963734615679796</v>
      </c>
      <c r="AC417" s="48" t="str">
        <f t="shared" si="272"/>
        <v>-0.0307034853975692-0.00828790117212341i</v>
      </c>
      <c r="AD417" s="20">
        <f t="shared" si="273"/>
        <v>-29.95079918500323</v>
      </c>
      <c r="AE417" s="44">
        <f t="shared" si="274"/>
        <v>-164.89397291923862</v>
      </c>
      <c r="AF417" t="str">
        <f t="shared" si="260"/>
        <v>-0.0000333790427773504</v>
      </c>
      <c r="AG417" t="str">
        <f t="shared" si="261"/>
        <v>0.00332796810119951i</v>
      </c>
      <c r="AH417">
        <f t="shared" si="275"/>
        <v>3.3279681011995099E-3</v>
      </c>
      <c r="AI417">
        <f t="shared" si="276"/>
        <v>1.5707963267948966</v>
      </c>
      <c r="AJ417" t="str">
        <f t="shared" si="262"/>
        <v>1+76.6727308619104i</v>
      </c>
      <c r="AK417">
        <f t="shared" si="277"/>
        <v>76.679251807923549</v>
      </c>
      <c r="AL417">
        <f t="shared" si="278"/>
        <v>1.5577546196228549</v>
      </c>
      <c r="AM417" t="str">
        <f t="shared" si="263"/>
        <v>1+577.175279543827i</v>
      </c>
      <c r="AN417">
        <f t="shared" si="279"/>
        <v>577.17614583114471</v>
      </c>
      <c r="AO417">
        <f t="shared" si="280"/>
        <v>1.5690637525928524</v>
      </c>
      <c r="AP417" s="42" t="str">
        <f t="shared" si="281"/>
        <v>-0.000853778635993636+0.0754913961590498i</v>
      </c>
      <c r="AQ417">
        <f t="shared" si="282"/>
        <v>-22.441495392573579</v>
      </c>
      <c r="AR417" s="44">
        <f t="shared" si="283"/>
        <v>90.647965589133094</v>
      </c>
      <c r="AS417" s="42" t="str">
        <f t="shared" si="284"/>
        <v>0.000651879210594809-0.00231077294665351i</v>
      </c>
      <c r="AT417" s="20">
        <f t="shared" si="285"/>
        <v>-52.392294577576813</v>
      </c>
      <c r="AU417" s="44">
        <f t="shared" si="286"/>
        <v>-74.246007330105527</v>
      </c>
    </row>
    <row r="418" spans="14:47" x14ac:dyDescent="0.3">
      <c r="N418" s="8">
        <v>100</v>
      </c>
      <c r="O418" s="35">
        <f t="shared" si="254"/>
        <v>100000</v>
      </c>
      <c r="P418" s="34" t="str">
        <f t="shared" si="255"/>
        <v>545.10556621881</v>
      </c>
      <c r="Q418" s="4" t="str">
        <f t="shared" si="256"/>
        <v>1+13422.6204354911i</v>
      </c>
      <c r="R418" s="4">
        <f t="shared" si="264"/>
        <v>13422.62047274165</v>
      </c>
      <c r="S418" s="4">
        <f t="shared" si="265"/>
        <v>1.5707218256940902</v>
      </c>
      <c r="T418" s="4" t="str">
        <f t="shared" si="257"/>
        <v>1+0.31415926535898i</v>
      </c>
      <c r="U418" s="4">
        <f t="shared" si="266"/>
        <v>1.0481870272097886</v>
      </c>
      <c r="V418" s="4">
        <f t="shared" si="267"/>
        <v>0.30439579736461569</v>
      </c>
      <c r="W418" t="str">
        <f t="shared" si="258"/>
        <v>1-0.326348644854907i</v>
      </c>
      <c r="X418" s="4">
        <f t="shared" si="268"/>
        <v>1.0519046715357026</v>
      </c>
      <c r="Y418" s="4">
        <f t="shared" si="269"/>
        <v>-0.31545121824524658</v>
      </c>
      <c r="Z418" t="str">
        <f t="shared" si="259"/>
        <v>0.359999999999998+1.41323246545152i</v>
      </c>
      <c r="AA418" s="4">
        <f t="shared" si="270"/>
        <v>1.4583641525374176</v>
      </c>
      <c r="AB418" s="4">
        <f t="shared" si="271"/>
        <v>1.3213660305464625</v>
      </c>
      <c r="AC418" s="48" t="str">
        <f t="shared" si="272"/>
        <v>-0.0298350729066341-0.00725212574470684i</v>
      </c>
      <c r="AD418" s="20">
        <f t="shared" si="273"/>
        <v>-30.256150203794387</v>
      </c>
      <c r="AE418" s="44">
        <f t="shared" si="274"/>
        <v>-166.33785710082256</v>
      </c>
      <c r="AF418" t="str">
        <f t="shared" si="260"/>
        <v>-0.0000333790427773504</v>
      </c>
      <c r="AG418" t="str">
        <f t="shared" si="261"/>
        <v>0.00340548643649134i</v>
      </c>
      <c r="AH418">
        <f t="shared" si="275"/>
        <v>3.4054864364913401E-3</v>
      </c>
      <c r="AI418">
        <f t="shared" si="276"/>
        <v>1.5707963267948966</v>
      </c>
      <c r="AJ418" t="str">
        <f t="shared" si="262"/>
        <v>1+78.4586681900211i</v>
      </c>
      <c r="AK418">
        <f t="shared" si="277"/>
        <v>78.465040713376482</v>
      </c>
      <c r="AL418">
        <f t="shared" si="278"/>
        <v>1.5580514526013598</v>
      </c>
      <c r="AM418" t="str">
        <f t="shared" si="263"/>
        <v>1+590.619418874883i</v>
      </c>
      <c r="AN418">
        <f t="shared" si="279"/>
        <v>590.62026544312255</v>
      </c>
      <c r="AO418">
        <f t="shared" si="280"/>
        <v>1.5691031907203414</v>
      </c>
      <c r="AP418" s="42" t="str">
        <f t="shared" si="281"/>
        <v>-0.000815358508804385+0.0737734918747455i</v>
      </c>
      <c r="AQ418">
        <f t="shared" si="282"/>
        <v>-22.641462735243017</v>
      </c>
      <c r="AR418" s="44">
        <f t="shared" si="283"/>
        <v>90.633217950501503</v>
      </c>
      <c r="AS418" s="42" t="str">
        <f t="shared" si="284"/>
        <v>0.000559340920256986-0.00219512442622714i</v>
      </c>
      <c r="AT418" s="20">
        <f t="shared" si="285"/>
        <v>-52.897612939037415</v>
      </c>
      <c r="AU418" s="44">
        <f t="shared" si="286"/>
        <v>-75.704639150321029</v>
      </c>
    </row>
    <row r="419" spans="14:47" x14ac:dyDescent="0.3">
      <c r="N419" s="8">
        <v>1</v>
      </c>
      <c r="O419" s="35">
        <f>10^(5+(N419/100))</f>
        <v>102329.29922807543</v>
      </c>
      <c r="P419" s="34" t="str">
        <f t="shared" si="255"/>
        <v>545.10556621881</v>
      </c>
      <c r="Q419" s="4" t="str">
        <f t="shared" si="256"/>
        <v>1+13735.2734296825i</v>
      </c>
      <c r="R419" s="4">
        <f t="shared" si="264"/>
        <v>13735.273466085122</v>
      </c>
      <c r="S419" s="4">
        <f t="shared" si="265"/>
        <v>1.5707235215461803</v>
      </c>
      <c r="T419" s="4" t="str">
        <f t="shared" si="257"/>
        <v>1+0.321476974701913i</v>
      </c>
      <c r="U419" s="4">
        <f t="shared" si="266"/>
        <v>1.0504034678462817</v>
      </c>
      <c r="V419" s="4">
        <f t="shared" si="267"/>
        <v>0.31104215069937274</v>
      </c>
      <c r="W419" t="str">
        <f t="shared" si="258"/>
        <v>1-0.333950281320347i</v>
      </c>
      <c r="X419" s="4">
        <f t="shared" si="268"/>
        <v>1.0542878119346437</v>
      </c>
      <c r="Y419" s="4">
        <f t="shared" si="269"/>
        <v>-0.32230570477823983</v>
      </c>
      <c r="Z419" t="str">
        <f t="shared" si="259"/>
        <v>0.329837729247423+1.44615087836019i</v>
      </c>
      <c r="AA419" s="4">
        <f t="shared" si="270"/>
        <v>1.4832886740675415</v>
      </c>
      <c r="AB419" s="4">
        <f t="shared" si="271"/>
        <v>1.3465524755686784</v>
      </c>
      <c r="AC419" s="48" t="str">
        <f t="shared" si="272"/>
        <v>-0.0289601501215408-0.00626513278598583i</v>
      </c>
      <c r="AD419" s="20">
        <f t="shared" si="273"/>
        <v>-30.565340832340663</v>
      </c>
      <c r="AE419" s="44">
        <f t="shared" si="274"/>
        <v>-167.7929564205368</v>
      </c>
      <c r="AF419" t="str">
        <f t="shared" si="260"/>
        <v>-0.0000333790427773504</v>
      </c>
      <c r="AG419" t="str">
        <f t="shared" si="261"/>
        <v>0.00348481040576874i</v>
      </c>
      <c r="AH419">
        <f t="shared" si="275"/>
        <v>3.4848104057687399E-3</v>
      </c>
      <c r="AI419">
        <f t="shared" si="276"/>
        <v>1.5707963267948966</v>
      </c>
      <c r="AJ419" t="str">
        <f t="shared" si="262"/>
        <v>1+80.2862053425295i</v>
      </c>
      <c r="AK419">
        <f t="shared" si="277"/>
        <v>80.29243282092537</v>
      </c>
      <c r="AL419">
        <f t="shared" si="278"/>
        <v>1.5583415310066735</v>
      </c>
      <c r="AM419" t="str">
        <f t="shared" si="263"/>
        <v>1+604.376712439599i</v>
      </c>
      <c r="AN419">
        <f t="shared" si="279"/>
        <v>604.37753973761949</v>
      </c>
      <c r="AO419">
        <f t="shared" si="280"/>
        <v>1.5691417311315379</v>
      </c>
      <c r="AP419" s="42" t="str">
        <f t="shared" si="281"/>
        <v>-0.000778667023100707+0.0720946591884749i</v>
      </c>
      <c r="AQ419">
        <f t="shared" si="282"/>
        <v>-22.841431547496992</v>
      </c>
      <c r="AR419" s="44">
        <f t="shared" si="283"/>
        <v>90.618805885051387</v>
      </c>
      <c r="AS419" s="42" t="str">
        <f t="shared" si="284"/>
        <v>0.000474232926859878-0.00208299370076376i</v>
      </c>
      <c r="AT419" s="20">
        <f t="shared" si="285"/>
        <v>-53.406772379837655</v>
      </c>
      <c r="AU419" s="44">
        <f t="shared" si="286"/>
        <v>-77.174150535485424</v>
      </c>
    </row>
    <row r="420" spans="14:47" x14ac:dyDescent="0.3">
      <c r="N420" s="8">
        <v>2</v>
      </c>
      <c r="O420" s="35">
        <f t="shared" ref="O420:O483" si="287">10^(5+(N420/100))</f>
        <v>104712.85480508996</v>
      </c>
      <c r="P420" s="34" t="str">
        <f t="shared" si="255"/>
        <v>545.10556621881</v>
      </c>
      <c r="Q420" s="4" t="str">
        <f t="shared" si="256"/>
        <v>1+14055.2090476542i</v>
      </c>
      <c r="R420" s="4">
        <f t="shared" si="264"/>
        <v>14055.209083228197</v>
      </c>
      <c r="S420" s="4">
        <f t="shared" si="265"/>
        <v>1.5707251787959646</v>
      </c>
      <c r="T420" s="4" t="str">
        <f t="shared" si="257"/>
        <v>1+0.328965135392085i</v>
      </c>
      <c r="U420" s="4">
        <f t="shared" si="266"/>
        <v>1.0527193644573718</v>
      </c>
      <c r="V420" s="4">
        <f t="shared" si="267"/>
        <v>0.31781403791166901</v>
      </c>
      <c r="W420" t="str">
        <f t="shared" si="258"/>
        <v>1-0.341728982645297i</v>
      </c>
      <c r="X420" s="4">
        <f t="shared" si="268"/>
        <v>1.0567775061855686</v>
      </c>
      <c r="Y420" s="4">
        <f t="shared" si="269"/>
        <v>-0.32928751240366433</v>
      </c>
      <c r="Z420" t="str">
        <f t="shared" si="259"/>
        <v>0.298253954468359+1.47983605960664i</v>
      </c>
      <c r="AA420" s="4">
        <f t="shared" si="270"/>
        <v>1.5095927214544063</v>
      </c>
      <c r="AB420" s="4">
        <f t="shared" si="271"/>
        <v>1.371915375326066</v>
      </c>
      <c r="AC420" s="48" t="str">
        <f t="shared" si="272"/>
        <v>-0.0280803301114139-0.00532702019932283i</v>
      </c>
      <c r="AD420" s="20">
        <f t="shared" si="273"/>
        <v>-30.878406291930183</v>
      </c>
      <c r="AE420" s="44">
        <f t="shared" si="274"/>
        <v>-169.2582660399726</v>
      </c>
      <c r="AF420" t="str">
        <f t="shared" si="260"/>
        <v>-0.0000333790427773504</v>
      </c>
      <c r="AG420" t="str">
        <f t="shared" si="261"/>
        <v>0.0035659820676502i</v>
      </c>
      <c r="AH420">
        <f t="shared" si="275"/>
        <v>3.5659820676502002E-3</v>
      </c>
      <c r="AI420">
        <f t="shared" si="276"/>
        <v>1.5707963267948966</v>
      </c>
      <c r="AJ420" t="str">
        <f t="shared" si="262"/>
        <v>1+82.1563113038241i</v>
      </c>
      <c r="AK420">
        <f t="shared" si="277"/>
        <v>82.16239703812721</v>
      </c>
      <c r="AL420">
        <f t="shared" si="278"/>
        <v>1.5586250084468241</v>
      </c>
      <c r="AM420" t="str">
        <f t="shared" si="263"/>
        <v>1+618.454454537122i</v>
      </c>
      <c r="AN420">
        <f t="shared" si="279"/>
        <v>618.45526300356528</v>
      </c>
      <c r="AO420">
        <f t="shared" si="280"/>
        <v>1.5691793942606196</v>
      </c>
      <c r="AP420" s="42" t="str">
        <f t="shared" si="281"/>
        <v>-0.000743626425502093+0.0704540109024315i</v>
      </c>
      <c r="AQ420">
        <f t="shared" si="282"/>
        <v>-23.041401763214164</v>
      </c>
      <c r="AR420" s="44">
        <f t="shared" si="283"/>
        <v>90.604721762483237</v>
      </c>
      <c r="AS420" s="42" t="str">
        <f t="shared" si="284"/>
        <v>0.000396191214708233-0.00197441057082403i</v>
      </c>
      <c r="AT420" s="20">
        <f t="shared" si="285"/>
        <v>-53.919808055144351</v>
      </c>
      <c r="AU420" s="44">
        <f t="shared" si="286"/>
        <v>-78.653544277489345</v>
      </c>
    </row>
    <row r="421" spans="14:47" x14ac:dyDescent="0.3">
      <c r="N421" s="8">
        <v>3</v>
      </c>
      <c r="O421" s="35">
        <f t="shared" si="287"/>
        <v>107151.93052376082</v>
      </c>
      <c r="P421" s="34" t="str">
        <f t="shared" si="255"/>
        <v>545.10556621881</v>
      </c>
      <c r="Q421" s="4" t="str">
        <f t="shared" si="256"/>
        <v>1+14382.5969235056i</v>
      </c>
      <c r="R421" s="4">
        <f t="shared" si="264"/>
        <v>14382.596958269836</v>
      </c>
      <c r="S421" s="4">
        <f t="shared" si="265"/>
        <v>1.5707267983221385</v>
      </c>
      <c r="T421" s="4" t="str">
        <f t="shared" si="257"/>
        <v>1+0.336627717751411i</v>
      </c>
      <c r="U421" s="4">
        <f t="shared" si="266"/>
        <v>1.0551389578432424</v>
      </c>
      <c r="V421" s="4">
        <f t="shared" si="267"/>
        <v>0.32471256430213619</v>
      </c>
      <c r="W421" t="str">
        <f t="shared" si="258"/>
        <v>1-0.349688873200165i</v>
      </c>
      <c r="X421" s="4">
        <f t="shared" si="268"/>
        <v>1.0593782648516068</v>
      </c>
      <c r="Y421" s="4">
        <f t="shared" si="269"/>
        <v>-0.33639761940687335</v>
      </c>
      <c r="Z421" t="str">
        <f t="shared" si="259"/>
        <v>0.26518168224199+1.51430586951984i</v>
      </c>
      <c r="AA421" s="4">
        <f t="shared" si="270"/>
        <v>1.5373495344452186</v>
      </c>
      <c r="AB421" s="4">
        <f t="shared" si="271"/>
        <v>1.3974365105189519</v>
      </c>
      <c r="AC421" s="48" t="str">
        <f t="shared" si="272"/>
        <v>-0.0271972894190592-0.0044377730995069i</v>
      </c>
      <c r="AD421" s="20">
        <f t="shared" si="273"/>
        <v>-31.195371953849431</v>
      </c>
      <c r="AE421" s="44">
        <f t="shared" si="274"/>
        <v>-170.73273484305918</v>
      </c>
      <c r="AF421" t="str">
        <f t="shared" si="260"/>
        <v>-0.0000333790427773504</v>
      </c>
      <c r="AG421" t="str">
        <f t="shared" si="261"/>
        <v>0.00364904446042529i</v>
      </c>
      <c r="AH421">
        <f t="shared" si="275"/>
        <v>3.6490444604252901E-3</v>
      </c>
      <c r="AI421">
        <f t="shared" si="276"/>
        <v>1.5707963267948966</v>
      </c>
      <c r="AJ421" t="str">
        <f t="shared" si="262"/>
        <v>1+84.0699776288395i</v>
      </c>
      <c r="AK421">
        <f t="shared" si="277"/>
        <v>84.075924844830425</v>
      </c>
      <c r="AL421">
        <f t="shared" si="278"/>
        <v>1.558902035042957</v>
      </c>
      <c r="AM421" t="str">
        <f t="shared" si="263"/>
        <v>1+632.860109372654i</v>
      </c>
      <c r="AN421">
        <f t="shared" si="279"/>
        <v>632.86089943617765</v>
      </c>
      <c r="AO421">
        <f t="shared" si="280"/>
        <v>1.5692162000766487</v>
      </c>
      <c r="AP421" s="42" t="str">
        <f t="shared" si="281"/>
        <v>-0.000710162457857929+0.0688506798684482i</v>
      </c>
      <c r="AQ421">
        <f t="shared" si="282"/>
        <v>-23.241373319247369</v>
      </c>
      <c r="AR421" s="44">
        <f t="shared" si="283"/>
        <v>90.590958125631929</v>
      </c>
      <c r="AS421" s="42" t="str">
        <f t="shared" si="284"/>
        <v>0.000324858188903873-0.00186940032722942i</v>
      </c>
      <c r="AT421" s="20">
        <f t="shared" si="285"/>
        <v>-54.436745273096783</v>
      </c>
      <c r="AU421" s="44">
        <f t="shared" si="286"/>
        <v>-80.141776717427277</v>
      </c>
    </row>
    <row r="422" spans="14:47" x14ac:dyDescent="0.3">
      <c r="N422" s="8">
        <v>4</v>
      </c>
      <c r="O422" s="35">
        <f t="shared" si="287"/>
        <v>109647.81961431868</v>
      </c>
      <c r="P422" s="34" t="str">
        <f t="shared" si="255"/>
        <v>545.10556621881</v>
      </c>
      <c r="Q422" s="4" t="str">
        <f t="shared" si="256"/>
        <v>1+14717.610642622i</v>
      </c>
      <c r="R422" s="4">
        <f t="shared" si="264"/>
        <v>14717.610676594904</v>
      </c>
      <c r="S422" s="4">
        <f t="shared" si="265"/>
        <v>1.5707283809833961</v>
      </c>
      <c r="T422" s="4" t="str">
        <f t="shared" si="257"/>
        <v>1+0.344468784582482i</v>
      </c>
      <c r="U422" s="4">
        <f t="shared" si="266"/>
        <v>1.0576666504866892</v>
      </c>
      <c r="V422" s="4">
        <f t="shared" si="267"/>
        <v>0.33173876028872018</v>
      </c>
      <c r="W422" t="str">
        <f t="shared" si="258"/>
        <v>1-0.357834173424282i</v>
      </c>
      <c r="X422" s="4">
        <f t="shared" si="268"/>
        <v>1.0620947677444981</v>
      </c>
      <c r="Y422" s="4">
        <f t="shared" si="269"/>
        <v>-0.34363691920275591</v>
      </c>
      <c r="Z422" t="str">
        <f t="shared" si="259"/>
        <v>0.230550761844851+1.54957858444927i</v>
      </c>
      <c r="AA422" s="4">
        <f t="shared" si="270"/>
        <v>1.5666357085075791</v>
      </c>
      <c r="AB422" s="4">
        <f t="shared" si="271"/>
        <v>1.4230969303319394</v>
      </c>
      <c r="AC422" s="48" t="str">
        <f t="shared" si="272"/>
        <v>-0.0263127559756878-0.00359725559091472i</v>
      </c>
      <c r="AD422" s="20">
        <f t="shared" si="273"/>
        <v>-31.516252695975837</v>
      </c>
      <c r="AE422" s="44">
        <f t="shared" si="274"/>
        <v>-172.21526922755874</v>
      </c>
      <c r="AF422" t="str">
        <f t="shared" si="260"/>
        <v>-0.0000333790427773504</v>
      </c>
      <c r="AG422" t="str">
        <f t="shared" si="261"/>
        <v>0.00373404162487411i</v>
      </c>
      <c r="AH422">
        <f t="shared" si="275"/>
        <v>3.7340416248741099E-3</v>
      </c>
      <c r="AI422">
        <f t="shared" si="276"/>
        <v>1.5707963267948966</v>
      </c>
      <c r="AJ422" t="str">
        <f t="shared" si="262"/>
        <v>1+86.0282189687912i</v>
      </c>
      <c r="AK422">
        <f t="shared" si="277"/>
        <v>86.034030818870079</v>
      </c>
      <c r="AL422">
        <f t="shared" si="278"/>
        <v>1.5591727575080623</v>
      </c>
      <c r="AM422" t="str">
        <f t="shared" si="263"/>
        <v>1+647.601315015069i</v>
      </c>
      <c r="AN422">
        <f t="shared" si="279"/>
        <v>647.60208709457265</v>
      </c>
      <c r="AO422">
        <f t="shared" si="280"/>
        <v>1.5692521680941567</v>
      </c>
      <c r="AP422" s="42" t="str">
        <f t="shared" si="281"/>
        <v>-0.000678204200309927+0.0672838185413118i</v>
      </c>
      <c r="AQ422">
        <f t="shared" si="282"/>
        <v>-23.441346155289786</v>
      </c>
      <c r="AR422" s="44">
        <f t="shared" si="283"/>
        <v>90.577507686562683</v>
      </c>
      <c r="AS422" s="42" t="str">
        <f t="shared" si="284"/>
        <v>0.000259882514050267-0.00176798302453865i</v>
      </c>
      <c r="AT422" s="20">
        <f t="shared" si="285"/>
        <v>-54.957598851265615</v>
      </c>
      <c r="AU422" s="44">
        <f t="shared" si="286"/>
        <v>-81.637761540996053</v>
      </c>
    </row>
    <row r="423" spans="14:47" x14ac:dyDescent="0.3">
      <c r="N423" s="8">
        <v>5</v>
      </c>
      <c r="O423" s="35">
        <f t="shared" si="287"/>
        <v>112201.84543019651</v>
      </c>
      <c r="P423" s="34" t="str">
        <f t="shared" si="255"/>
        <v>545.10556621881</v>
      </c>
      <c r="Q423" s="4" t="str">
        <f t="shared" si="256"/>
        <v>1+15060.4278337117i</v>
      </c>
      <c r="R423" s="4">
        <f t="shared" si="264"/>
        <v>15060.427866911288</v>
      </c>
      <c r="S423" s="4">
        <f t="shared" si="265"/>
        <v>1.5707299276188857</v>
      </c>
      <c r="T423" s="4" t="str">
        <f t="shared" si="257"/>
        <v>1+0.352492493322723i</v>
      </c>
      <c r="U423" s="4">
        <f t="shared" si="266"/>
        <v>1.0603070111287909</v>
      </c>
      <c r="V423" s="4">
        <f t="shared" si="267"/>
        <v>0.33889357542283366</v>
      </c>
      <c r="W423" t="str">
        <f t="shared" si="258"/>
        <v>1-0.366169202063644i</v>
      </c>
      <c r="X423" s="4">
        <f t="shared" si="268"/>
        <v>1.0649318684967248</v>
      </c>
      <c r="Y423" s="4">
        <f t="shared" si="269"/>
        <v>-0.35100621406941707</v>
      </c>
      <c r="Z423" t="str">
        <f t="shared" si="259"/>
        <v>0.194287736451728+1.58567290645527i</v>
      </c>
      <c r="AA423" s="4">
        <f t="shared" si="270"/>
        <v>1.5975313113682119</v>
      </c>
      <c r="AB423" s="4">
        <f t="shared" si="271"/>
        <v>1.4488770274481972</v>
      </c>
      <c r="AC423" s="48" t="str">
        <f t="shared" si="272"/>
        <v>-0.0254284958744445-0.00280520396932197i</v>
      </c>
      <c r="AD423" s="20">
        <f t="shared" si="273"/>
        <v>-31.841052316705753</v>
      </c>
      <c r="AE423" s="44">
        <f t="shared" si="274"/>
        <v>-173.70473738690973</v>
      </c>
      <c r="AF423" t="str">
        <f t="shared" si="260"/>
        <v>-0.0000333790427773504</v>
      </c>
      <c r="AG423" t="str">
        <f t="shared" si="261"/>
        <v>0.00382101862761832i</v>
      </c>
      <c r="AH423">
        <f t="shared" si="275"/>
        <v>3.82101862761832E-3</v>
      </c>
      <c r="AI423">
        <f t="shared" si="276"/>
        <v>1.5707963267948966</v>
      </c>
      <c r="AJ423" t="str">
        <f t="shared" si="262"/>
        <v>1+88.0320736091582i</v>
      </c>
      <c r="AK423">
        <f t="shared" si="277"/>
        <v>88.037753174011925</v>
      </c>
      <c r="AL423">
        <f t="shared" si="278"/>
        <v>1.5594373192239521</v>
      </c>
      <c r="AM423" t="str">
        <f t="shared" si="263"/>
        <v>1+662.685887446721i</v>
      </c>
      <c r="AN423">
        <f t="shared" si="279"/>
        <v>662.68664195156987</v>
      </c>
      <c r="AO423">
        <f t="shared" si="280"/>
        <v>1.56928731738349</v>
      </c>
      <c r="AP423" s="42" t="str">
        <f t="shared" si="281"/>
        <v>-0.000647683921384982+0.0657525985415971i</v>
      </c>
      <c r="AQ423">
        <f t="shared" si="282"/>
        <v>-23.641320213747392</v>
      </c>
      <c r="AR423" s="44">
        <f t="shared" si="283"/>
        <v>90.564363322753152</v>
      </c>
      <c r="AS423" s="42" t="str">
        <f t="shared" si="284"/>
        <v>0.000200919078345004-0.00167017279524187i</v>
      </c>
      <c r="AT423" s="20">
        <f t="shared" si="285"/>
        <v>-55.482372530453155</v>
      </c>
      <c r="AU423" s="44">
        <f t="shared" si="286"/>
        <v>-83.140374064156575</v>
      </c>
    </row>
    <row r="424" spans="14:47" x14ac:dyDescent="0.3">
      <c r="N424" s="8">
        <v>6</v>
      </c>
      <c r="O424" s="35">
        <f t="shared" si="287"/>
        <v>114815.36214968823</v>
      </c>
      <c r="P424" s="34" t="str">
        <f t="shared" si="255"/>
        <v>545.10556621881</v>
      </c>
      <c r="Q424" s="4" t="str">
        <f t="shared" si="256"/>
        <v>1+15411.2302629872i</v>
      </c>
      <c r="R424" s="4">
        <f t="shared" si="264"/>
        <v>15411.230295431073</v>
      </c>
      <c r="S424" s="4">
        <f t="shared" si="265"/>
        <v>1.5707314390486538</v>
      </c>
      <c r="T424" s="4" t="str">
        <f t="shared" si="257"/>
        <v>1+0.360703098248712i</v>
      </c>
      <c r="U424" s="4">
        <f t="shared" si="266"/>
        <v>1.0630647793461225</v>
      </c>
      <c r="V424" s="4">
        <f t="shared" si="267"/>
        <v>0.34617787223041419</v>
      </c>
      <c r="W424" t="str">
        <f t="shared" si="258"/>
        <v>1-0.374698378460761i</v>
      </c>
      <c r="X424" s="4">
        <f t="shared" si="268"/>
        <v>1.0678945991160007</v>
      </c>
      <c r="Y424" s="4">
        <f t="shared" si="269"/>
        <v>-0.35850620872979977</v>
      </c>
      <c r="Z424" t="str">
        <f t="shared" si="259"/>
        <v>0.156315687323899+1.62260797322513i</v>
      </c>
      <c r="AA424" s="4">
        <f t="shared" si="270"/>
        <v>1.630120004440565</v>
      </c>
      <c r="AB424" s="4">
        <f t="shared" si="271"/>
        <v>1.4747566209557812</v>
      </c>
      <c r="AC424" s="48" t="str">
        <f t="shared" si="272"/>
        <v>-0.0245462991987129-0.00206122153113416i</v>
      </c>
      <c r="AD424" s="20">
        <f t="shared" si="273"/>
        <v>-32.169763016525749</v>
      </c>
      <c r="AE424" s="44">
        <f t="shared" si="274"/>
        <v>-175.1999740455708</v>
      </c>
      <c r="AF424" t="str">
        <f t="shared" si="260"/>
        <v>-0.0000333790427773504</v>
      </c>
      <c r="AG424" t="str">
        <f t="shared" si="261"/>
        <v>0.00391002158501604i</v>
      </c>
      <c r="AH424">
        <f t="shared" si="275"/>
        <v>3.9100215850160396E-3</v>
      </c>
      <c r="AI424">
        <f t="shared" si="276"/>
        <v>1.5707963267948966</v>
      </c>
      <c r="AJ424" t="str">
        <f t="shared" si="262"/>
        <v>1+90.0826040201949i</v>
      </c>
      <c r="AK424">
        <f t="shared" si="277"/>
        <v>90.088154310426603</v>
      </c>
      <c r="AL424">
        <f t="shared" si="278"/>
        <v>1.5596958603165252</v>
      </c>
      <c r="AM424" t="str">
        <f t="shared" si="263"/>
        <v>1+678.12182470758i</v>
      </c>
      <c r="AN424">
        <f t="shared" si="279"/>
        <v>678.12256203782067</v>
      </c>
      <c r="AO424">
        <f t="shared" si="280"/>
        <v>1.5693216665809198</v>
      </c>
      <c r="AP424" s="42" t="str">
        <f t="shared" si="281"/>
        <v>-0.000618536934805067+0.0642562102278506i</v>
      </c>
      <c r="AQ424">
        <f t="shared" si="282"/>
        <v>-23.841295439616896</v>
      </c>
      <c r="AR424" s="44">
        <f t="shared" si="283"/>
        <v>90.551518073360398</v>
      </c>
      <c r="AS424" s="42" t="str">
        <f t="shared" si="284"/>
        <v>0.000147629076697909-0.00157597721998039i</v>
      </c>
      <c r="AT424" s="20">
        <f t="shared" si="285"/>
        <v>-56.011058456142671</v>
      </c>
      <c r="AU424" s="44">
        <f t="shared" si="286"/>
        <v>-84.648455972210371</v>
      </c>
    </row>
    <row r="425" spans="14:47" x14ac:dyDescent="0.3">
      <c r="N425" s="8">
        <v>7</v>
      </c>
      <c r="O425" s="35">
        <f t="shared" si="287"/>
        <v>117489.75549395311</v>
      </c>
      <c r="P425" s="34" t="str">
        <f t="shared" si="255"/>
        <v>545.10556621881</v>
      </c>
      <c r="Q425" s="4" t="str">
        <f t="shared" si="256"/>
        <v>1+15770.2039305399i</v>
      </c>
      <c r="R425" s="4">
        <f t="shared" si="264"/>
        <v>15770.203962245261</v>
      </c>
      <c r="S425" s="4">
        <f t="shared" si="265"/>
        <v>1.5707329160740802</v>
      </c>
      <c r="T425" s="4" t="str">
        <f t="shared" si="257"/>
        <v>1+0.369104952731864i</v>
      </c>
      <c r="U425" s="4">
        <f t="shared" si="266"/>
        <v>1.0659448701181462</v>
      </c>
      <c r="V425" s="4">
        <f t="shared" si="267"/>
        <v>0.35359241989108947</v>
      </c>
      <c r="W425" t="str">
        <f t="shared" si="258"/>
        <v>1-0.383426224897859i</v>
      </c>
      <c r="X425" s="4">
        <f t="shared" si="268"/>
        <v>1.0709881745096086</v>
      </c>
      <c r="Y425" s="4">
        <f t="shared" si="269"/>
        <v>-0.36613750379842014</v>
      </c>
      <c r="Z425" t="str">
        <f t="shared" si="259"/>
        <v>0.116554070654151+1.66040336822015i</v>
      </c>
      <c r="AA425" s="4">
        <f t="shared" si="270"/>
        <v>1.6644891698604927</v>
      </c>
      <c r="AB425" s="4">
        <f t="shared" si="271"/>
        <v>1.5007150463245329</v>
      </c>
      <c r="AC425" s="48" t="str">
        <f t="shared" si="272"/>
        <v>-0.0236679651341274-0.00136477514241447i</v>
      </c>
      <c r="AD425" s="20">
        <f t="shared" si="273"/>
        <v>-32.502364956812471</v>
      </c>
      <c r="AE425" s="44">
        <f t="shared" si="274"/>
        <v>-176.69978560102439</v>
      </c>
      <c r="AF425" t="str">
        <f t="shared" si="260"/>
        <v>-0.0000333790427773504</v>
      </c>
      <c r="AG425" t="str">
        <f t="shared" si="261"/>
        <v>0.00400109768761341i</v>
      </c>
      <c r="AH425">
        <f t="shared" si="275"/>
        <v>4.0010976876134101E-3</v>
      </c>
      <c r="AI425">
        <f t="shared" si="276"/>
        <v>1.5707963267948966</v>
      </c>
      <c r="AJ425" t="str">
        <f t="shared" si="262"/>
        <v>1+92.1808974202677i</v>
      </c>
      <c r="AK425">
        <f t="shared" si="277"/>
        <v>92.186321377989245</v>
      </c>
      <c r="AL425">
        <f t="shared" si="278"/>
        <v>1.5599485177293575</v>
      </c>
      <c r="AM425" t="str">
        <f t="shared" si="263"/>
        <v>1+693.917311135906i</v>
      </c>
      <c r="AN425">
        <f t="shared" si="279"/>
        <v>693.91803168247895</v>
      </c>
      <c r="AO425">
        <f t="shared" si="280"/>
        <v>1.5693552338985206</v>
      </c>
      <c r="AP425" s="42" t="str">
        <f t="shared" si="281"/>
        <v>-0.00059070146271435+0.0627938622779481i</v>
      </c>
      <c r="AQ425">
        <f t="shared" si="282"/>
        <v>-24.041271780369296</v>
      </c>
      <c r="AR425" s="44">
        <f t="shared" si="283"/>
        <v>90.538965135570507</v>
      </c>
      <c r="AS425" s="42" t="str">
        <f t="shared" si="284"/>
        <v>0.0000996802039573425-0.00148539676835877i</v>
      </c>
      <c r="AT425" s="20">
        <f t="shared" si="285"/>
        <v>-56.543636737181785</v>
      </c>
      <c r="AU425" s="44">
        <f t="shared" si="286"/>
        <v>-86.160820465453895</v>
      </c>
    </row>
    <row r="426" spans="14:47" x14ac:dyDescent="0.3">
      <c r="N426" s="8">
        <v>8</v>
      </c>
      <c r="O426" s="35">
        <f t="shared" si="287"/>
        <v>120226.44346174144</v>
      </c>
      <c r="P426" s="34" t="str">
        <f t="shared" si="255"/>
        <v>545.10556621881</v>
      </c>
      <c r="Q426" s="4" t="str">
        <f t="shared" si="256"/>
        <v>1+16137.5391689599i</v>
      </c>
      <c r="R426" s="4">
        <f t="shared" si="264"/>
        <v>16137.539199943558</v>
      </c>
      <c r="S426" s="4">
        <f t="shared" si="265"/>
        <v>1.5707343594783032</v>
      </c>
      <c r="T426" s="4" t="str">
        <f t="shared" si="257"/>
        <v>1+0.377702511546635i</v>
      </c>
      <c r="U426" s="4">
        <f t="shared" si="266"/>
        <v>1.0689523783726926</v>
      </c>
      <c r="V426" s="4">
        <f t="shared" si="267"/>
        <v>0.36113788777094208</v>
      </c>
      <c r="W426" t="str">
        <f t="shared" si="258"/>
        <v>1-0.392357368994644i</v>
      </c>
      <c r="X426" s="4">
        <f t="shared" si="268"/>
        <v>1.07421799696542</v>
      </c>
      <c r="Y426" s="4">
        <f t="shared" si="269"/>
        <v>-0.37390058911289897</v>
      </c>
      <c r="Z426" t="str">
        <f t="shared" si="259"/>
        <v>0.074918546722603+1.69907913105904i</v>
      </c>
      <c r="AA426" s="4">
        <f t="shared" si="270"/>
        <v>1.7007300439056663</v>
      </c>
      <c r="AB426" s="4">
        <f t="shared" si="271"/>
        <v>1.5267312514700853</v>
      </c>
      <c r="AC426" s="48" t="str">
        <f t="shared" si="272"/>
        <v>-0.0227952866204111-0.000715193682193267i</v>
      </c>
      <c r="AD426" s="20">
        <f t="shared" si="273"/>
        <v>-32.838825904457849</v>
      </c>
      <c r="AE426" s="44">
        <f t="shared" si="274"/>
        <v>-178.20295561633378</v>
      </c>
      <c r="AF426" t="str">
        <f t="shared" si="260"/>
        <v>-0.0000333790427773504</v>
      </c>
      <c r="AG426" t="str">
        <f t="shared" si="261"/>
        <v>0.00409429522516553i</v>
      </c>
      <c r="AH426">
        <f t="shared" si="275"/>
        <v>4.0942952251655299E-3</v>
      </c>
      <c r="AI426">
        <f t="shared" si="276"/>
        <v>1.5707963267948966</v>
      </c>
      <c r="AJ426" t="str">
        <f t="shared" si="262"/>
        <v>1+94.328066352311i</v>
      </c>
      <c r="AK426">
        <f t="shared" si="277"/>
        <v>94.333366852699498</v>
      </c>
      <c r="AL426">
        <f t="shared" si="278"/>
        <v>1.5601954252956509</v>
      </c>
      <c r="AM426" t="str">
        <f t="shared" si="263"/>
        <v>1+710.080721707676i</v>
      </c>
      <c r="AN426">
        <f t="shared" si="279"/>
        <v>710.08142585262294</v>
      </c>
      <c r="AO426">
        <f t="shared" si="280"/>
        <v>1.5693880371338258</v>
      </c>
      <c r="AP426" s="42" t="str">
        <f t="shared" si="281"/>
        <v>-0.000564118505037242+0.0613647812794568i</v>
      </c>
      <c r="AQ426">
        <f t="shared" si="282"/>
        <v>-24.241249185838548</v>
      </c>
      <c r="AR426" s="44">
        <f t="shared" si="283"/>
        <v>90.526697861029405</v>
      </c>
      <c r="AS426" s="42" t="str">
        <f t="shared" si="284"/>
        <v>0.0000567469468904409-0.00139842432367324i</v>
      </c>
      <c r="AT426" s="20">
        <f t="shared" si="285"/>
        <v>-57.080075090296418</v>
      </c>
      <c r="AU426" s="44">
        <f t="shared" si="286"/>
        <v>-87.676257755304363</v>
      </c>
    </row>
    <row r="427" spans="14:47" x14ac:dyDescent="0.3">
      <c r="N427" s="8">
        <v>9</v>
      </c>
      <c r="O427" s="35">
        <f t="shared" si="287"/>
        <v>123026.87708123829</v>
      </c>
      <c r="P427" s="34" t="str">
        <f t="shared" si="255"/>
        <v>545.10556621881</v>
      </c>
      <c r="Q427" s="4" t="str">
        <f t="shared" si="256"/>
        <v>1+16513.4307442528i</v>
      </c>
      <c r="R427" s="4">
        <f t="shared" si="264"/>
        <v>16513.430774531185</v>
      </c>
      <c r="S427" s="4">
        <f t="shared" si="265"/>
        <v>1.5707357700266353</v>
      </c>
      <c r="T427" s="4" t="str">
        <f t="shared" si="257"/>
        <v>1+0.386500333232513i</v>
      </c>
      <c r="U427" s="4">
        <f t="shared" si="266"/>
        <v>1.0720925834968003</v>
      </c>
      <c r="V427" s="4">
        <f t="shared" si="267"/>
        <v>0.36881483882693172</v>
      </c>
      <c r="W427" t="str">
        <f t="shared" si="258"/>
        <v>1-0.401496546161933i</v>
      </c>
      <c r="X427" s="4">
        <f t="shared" si="268"/>
        <v>1.0775896605758433</v>
      </c>
      <c r="Y427" s="4">
        <f t="shared" si="269"/>
        <v>-0.38179583697271985</v>
      </c>
      <c r="Z427" t="str">
        <f t="shared" si="259"/>
        <v>0.031320801000824+1.73865576814319i</v>
      </c>
      <c r="AA427" s="4">
        <f t="shared" si="270"/>
        <v>1.7389378576225545</v>
      </c>
      <c r="AB427" s="4">
        <f t="shared" si="271"/>
        <v>1.5527838977782902</v>
      </c>
      <c r="AC427" s="48" t="str">
        <f t="shared" si="272"/>
        <v>-0.0219300348191833-0.000111668431351148i</v>
      </c>
      <c r="AD427" s="20">
        <f t="shared" si="273"/>
        <v>-33.179100969679908</v>
      </c>
      <c r="AE427" s="44">
        <f t="shared" si="274"/>
        <v>-179.70825059894796</v>
      </c>
      <c r="AF427" t="str">
        <f t="shared" si="260"/>
        <v>-0.0000333790427773504</v>
      </c>
      <c r="AG427" t="str">
        <f t="shared" si="261"/>
        <v>0.00418966361224044i</v>
      </c>
      <c r="AH427">
        <f t="shared" si="275"/>
        <v>4.1896636122404404E-3</v>
      </c>
      <c r="AI427">
        <f t="shared" si="276"/>
        <v>1.5707963267948966</v>
      </c>
      <c r="AJ427" t="str">
        <f t="shared" si="262"/>
        <v>1+96.5252492737138i</v>
      </c>
      <c r="AK427">
        <f t="shared" si="277"/>
        <v>96.53042912653288</v>
      </c>
      <c r="AL427">
        <f t="shared" si="278"/>
        <v>1.5604367138085777</v>
      </c>
      <c r="AM427" t="str">
        <f t="shared" si="263"/>
        <v>1+726.620626477125i</v>
      </c>
      <c r="AN427">
        <f t="shared" si="279"/>
        <v>726.62131459379145</v>
      </c>
      <c r="AO427">
        <f t="shared" si="280"/>
        <v>1.5694200936792624</v>
      </c>
      <c r="AP427" s="42" t="str">
        <f t="shared" si="281"/>
        <v>-0.000538731714693493+0.0599682113288292i</v>
      </c>
      <c r="AQ427">
        <f t="shared" si="282"/>
        <v>-24.441227608115565</v>
      </c>
      <c r="AR427" s="44">
        <f t="shared" si="283"/>
        <v>90.514709752353014</v>
      </c>
      <c r="AS427" s="42" t="str">
        <f t="shared" si="284"/>
        <v>0.0000185109613514511-0.00131504480315987i</v>
      </c>
      <c r="AT427" s="20">
        <f t="shared" si="285"/>
        <v>-57.620328577795455</v>
      </c>
      <c r="AU427" s="44">
        <f t="shared" si="286"/>
        <v>-89.193540846594956</v>
      </c>
    </row>
    <row r="428" spans="14:47" x14ac:dyDescent="0.3">
      <c r="N428" s="8">
        <v>10</v>
      </c>
      <c r="O428" s="35">
        <f t="shared" si="287"/>
        <v>125892.54117941685</v>
      </c>
      <c r="P428" s="34" t="str">
        <f t="shared" si="255"/>
        <v>545.10556621881</v>
      </c>
      <c r="Q428" s="4" t="str">
        <f t="shared" si="256"/>
        <v>1+16898.0779591075i</v>
      </c>
      <c r="R428" s="4">
        <f t="shared" si="264"/>
        <v>16898.077988696663</v>
      </c>
      <c r="S428" s="4">
        <f t="shared" si="265"/>
        <v>1.5707371484669677</v>
      </c>
      <c r="T428" s="4" t="str">
        <f t="shared" si="257"/>
        <v>1+0.395503082511007i</v>
      </c>
      <c r="U428" s="4">
        <f t="shared" si="266"/>
        <v>1.0753709537995289</v>
      </c>
      <c r="V428" s="4">
        <f t="shared" si="267"/>
        <v>0.37662372290357143</v>
      </c>
      <c r="W428" t="str">
        <f t="shared" si="258"/>
        <v>1-0.410848602112432i</v>
      </c>
      <c r="X428" s="4">
        <f t="shared" si="268"/>
        <v>1.0811089555903879</v>
      </c>
      <c r="Y428" s="4">
        <f t="shared" si="269"/>
        <v>-0.38982349531038041</v>
      </c>
      <c r="Z428" t="str">
        <f t="shared" si="259"/>
        <v>-0.0143316431751199+1.77915426352944i</v>
      </c>
      <c r="AA428" s="4">
        <f t="shared" si="270"/>
        <v>1.7792119855236708</v>
      </c>
      <c r="AB428" s="4">
        <f t="shared" si="271"/>
        <v>1.578851464843805</v>
      </c>
      <c r="AC428" s="48" t="str">
        <f t="shared" si="272"/>
        <v>-0.0210739436856157+0.000446744568588612i</v>
      </c>
      <c r="AD428" s="20">
        <f t="shared" si="273"/>
        <v>-33.523132442928528</v>
      </c>
      <c r="AE428" s="44">
        <f t="shared" si="274"/>
        <v>178.78557400538787</v>
      </c>
      <c r="AF428" t="str">
        <f t="shared" si="260"/>
        <v>-0.0000333790427773504</v>
      </c>
      <c r="AG428" t="str">
        <f t="shared" si="261"/>
        <v>0.00428725341441931i</v>
      </c>
      <c r="AH428">
        <f t="shared" si="275"/>
        <v>4.2872534144193101E-3</v>
      </c>
      <c r="AI428">
        <f t="shared" si="276"/>
        <v>1.5707963267948966</v>
      </c>
      <c r="AJ428" t="str">
        <f t="shared" si="262"/>
        <v>1+98.7736111599443i</v>
      </c>
      <c r="AK428">
        <f t="shared" si="277"/>
        <v>98.77867311103077</v>
      </c>
      <c r="AL428">
        <f t="shared" si="278"/>
        <v>1.5606725110900537</v>
      </c>
      <c r="AM428" t="str">
        <f t="shared" si="263"/>
        <v>1+743.545795120694i</v>
      </c>
      <c r="AN428">
        <f t="shared" si="279"/>
        <v>743.5464675739272</v>
      </c>
      <c r="AO428">
        <f t="shared" si="280"/>
        <v>1.5694514205313714</v>
      </c>
      <c r="AP428" s="42" t="str">
        <f t="shared" si="281"/>
        <v>-0.00051448727840884+0.0586034136392666i</v>
      </c>
      <c r="AQ428">
        <f t="shared" si="282"/>
        <v>-24.641207001446372</v>
      </c>
      <c r="AR428" s="44">
        <f t="shared" si="283"/>
        <v>90.50299445971504</v>
      </c>
      <c r="AS428" s="42" t="str">
        <f t="shared" si="284"/>
        <v>-0.0000153384808119406-0.00123523488321598i</v>
      </c>
      <c r="AT428" s="20">
        <f t="shared" si="285"/>
        <v>-58.164339444374924</v>
      </c>
      <c r="AU428" s="44">
        <f t="shared" si="286"/>
        <v>-90.711431534897073</v>
      </c>
    </row>
    <row r="429" spans="14:47" x14ac:dyDescent="0.3">
      <c r="N429" s="8">
        <v>11</v>
      </c>
      <c r="O429" s="35">
        <f t="shared" si="287"/>
        <v>128824.95516931375</v>
      </c>
      <c r="P429" s="34" t="str">
        <f t="shared" si="255"/>
        <v>545.10556621881</v>
      </c>
      <c r="Q429" s="4" t="str">
        <f t="shared" si="256"/>
        <v>1+17291.6847585686i</v>
      </c>
      <c r="R429" s="4">
        <f t="shared" si="264"/>
        <v>17291.684787484231</v>
      </c>
      <c r="S429" s="4">
        <f t="shared" si="265"/>
        <v>1.5707384955301675</v>
      </c>
      <c r="T429" s="4" t="str">
        <f t="shared" si="257"/>
        <v>1+0.404715532758951i</v>
      </c>
      <c r="U429" s="4">
        <f t="shared" si="266"/>
        <v>1.0787931509127973</v>
      </c>
      <c r="V429" s="4">
        <f t="shared" si="267"/>
        <v>0.38456486994524547</v>
      </c>
      <c r="W429" t="str">
        <f t="shared" si="258"/>
        <v>1-0.420418495429997i</v>
      </c>
      <c r="X429" s="4">
        <f t="shared" si="268"/>
        <v>1.0847818726820717</v>
      </c>
      <c r="Y429" s="4">
        <f t="shared" si="269"/>
        <v>-0.39798368082298163</v>
      </c>
      <c r="Z429" t="str">
        <f t="shared" si="259"/>
        <v>-0.0621356207600501+1.8205960900561i</v>
      </c>
      <c r="AA429" s="4">
        <f t="shared" si="270"/>
        <v>1.8216561032463827</v>
      </c>
      <c r="AB429" s="4">
        <f t="shared" si="271"/>
        <v>1.6049123575857085</v>
      </c>
      <c r="AC429" s="48" t="str">
        <f t="shared" si="272"/>
        <v>-0.0202286949345264+0.000961120211365087i</v>
      </c>
      <c r="AD429" s="20">
        <f t="shared" si="273"/>
        <v>-33.8708497351654</v>
      </c>
      <c r="AE429" s="44">
        <f t="shared" si="274"/>
        <v>177.27976767996248</v>
      </c>
      <c r="AF429" t="str">
        <f t="shared" si="260"/>
        <v>-0.0000333790427773504</v>
      </c>
      <c r="AG429" t="str">
        <f t="shared" si="261"/>
        <v>0.00438711637510702i</v>
      </c>
      <c r="AH429">
        <f t="shared" si="275"/>
        <v>4.38711637510702E-3</v>
      </c>
      <c r="AI429">
        <f t="shared" si="276"/>
        <v>1.5707963267948966</v>
      </c>
      <c r="AJ429" t="str">
        <f t="shared" si="262"/>
        <v>1+101.074344122235i</v>
      </c>
      <c r="AK429">
        <f t="shared" si="277"/>
        <v>101.07929085495201</v>
      </c>
      <c r="AL429">
        <f t="shared" si="278"/>
        <v>1.5609029420579754</v>
      </c>
      <c r="AM429" t="str">
        <f t="shared" si="263"/>
        <v>1+760.865201586829i</v>
      </c>
      <c r="AN429">
        <f t="shared" si="279"/>
        <v>760.86585873317108</v>
      </c>
      <c r="AO429">
        <f t="shared" si="280"/>
        <v>1.5694820342998186</v>
      </c>
      <c r="AP429" s="42" t="str">
        <f t="shared" si="281"/>
        <v>-0.000491333802871132+0.0572696661570761i</v>
      </c>
      <c r="AQ429">
        <f t="shared" si="282"/>
        <v>-24.841187322135557</v>
      </c>
      <c r="AR429" s="44">
        <f t="shared" si="283"/>
        <v>90.491545777511035</v>
      </c>
      <c r="AS429" s="42" t="str">
        <f t="shared" si="284"/>
        <v>-0.0000451039920323961-0.00115896283654213i</v>
      </c>
      <c r="AT429" s="20">
        <f t="shared" si="285"/>
        <v>-58.712037057300954</v>
      </c>
      <c r="AU429" s="44">
        <f t="shared" si="286"/>
        <v>-92.228686542526489</v>
      </c>
    </row>
    <row r="430" spans="14:47" x14ac:dyDescent="0.3">
      <c r="N430" s="8">
        <v>12</v>
      </c>
      <c r="O430" s="35">
        <f t="shared" si="287"/>
        <v>131825.67385564081</v>
      </c>
      <c r="P430" s="34" t="str">
        <f t="shared" si="255"/>
        <v>545.10556621881</v>
      </c>
      <c r="Q430" s="4" t="str">
        <f t="shared" si="256"/>
        <v>1+17694.4598381711i</v>
      </c>
      <c r="R430" s="4">
        <f t="shared" si="264"/>
        <v>17694.459866428533</v>
      </c>
      <c r="S430" s="4">
        <f t="shared" si="265"/>
        <v>1.5707398119304656</v>
      </c>
      <c r="T430" s="4" t="str">
        <f t="shared" si="257"/>
        <v>1+0.414142568539405i</v>
      </c>
      <c r="U430" s="4">
        <f t="shared" si="266"/>
        <v>1.0823650341157625</v>
      </c>
      <c r="V430" s="4">
        <f t="shared" si="267"/>
        <v>0.39263848315031069</v>
      </c>
      <c r="W430" t="str">
        <f t="shared" si="258"/>
        <v>1-0.430211300198733i</v>
      </c>
      <c r="X430" s="4">
        <f t="shared" si="268"/>
        <v>1.0886146071124916</v>
      </c>
      <c r="Y430" s="4">
        <f t="shared" si="269"/>
        <v>-0.40627637209520595</v>
      </c>
      <c r="Z430" t="str">
        <f t="shared" si="259"/>
        <v>-0.1121925303996+1.86300322072815i</v>
      </c>
      <c r="AA430" s="4">
        <f t="shared" si="270"/>
        <v>1.866378355082625</v>
      </c>
      <c r="AB430" s="4">
        <f t="shared" si="271"/>
        <v>1.6309450143441682</v>
      </c>
      <c r="AC430" s="48" t="str">
        <f t="shared" si="272"/>
        <v>-0.0193959036848402+0.00143265815018297i</v>
      </c>
      <c r="AD430" s="20">
        <f t="shared" si="273"/>
        <v>-34.222169424042995</v>
      </c>
      <c r="AE430" s="44">
        <f t="shared" si="274"/>
        <v>175.7755786453767</v>
      </c>
      <c r="AF430" t="str">
        <f t="shared" si="260"/>
        <v>-0.0000333790427773504</v>
      </c>
      <c r="AG430" t="str">
        <f t="shared" si="261"/>
        <v>0.00448930544296715i</v>
      </c>
      <c r="AH430">
        <f t="shared" si="275"/>
        <v>4.4893054429671498E-3</v>
      </c>
      <c r="AI430">
        <f t="shared" si="276"/>
        <v>1.5707963267948966</v>
      </c>
      <c r="AJ430" t="str">
        <f t="shared" si="262"/>
        <v>1+103.428668039657i</v>
      </c>
      <c 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-0.000469222205993019+0.0559662631863658i</v>
      </c>
      <c r="AQ430">
        <f t="shared" si="282"/>
        <v>-25.041168528453426</v>
      </c>
      <c r="AR430" s="44">
        <f t="shared" si="283"/>
        <v>90.480357641096532</v>
      </c>
      <c r="AS430" s="42" t="str">
        <f t="shared" si="284"/>
        <v>-0.0000710795343750032-0.00108618848538083i</v>
      </c>
      <c r="AT430" s="20">
        <f t="shared" si="285"/>
        <v>-59.263337952496435</v>
      </c>
      <c r="AU430" s="44">
        <f t="shared" si="286"/>
        <v>-93.744063713526785</v>
      </c>
    </row>
    <row r="431" spans="14:47" x14ac:dyDescent="0.3">
      <c r="N431" s="8">
        <v>13</v>
      </c>
      <c r="O431" s="35">
        <f t="shared" si="287"/>
        <v>134896.28825916545</v>
      </c>
      <c r="P431" s="34" t="str">
        <f t="shared" si="255"/>
        <v>545.10556621881</v>
      </c>
      <c r="Q431" s="4" t="str">
        <f t="shared" si="256"/>
        <v>1+18106.6167545938i</v>
      </c>
      <c r="R431" s="4">
        <f t="shared" si="264"/>
        <v>18106.616782208013</v>
      </c>
      <c r="S431" s="4">
        <f t="shared" si="265"/>
        <v>1.5707410983658348</v>
      </c>
      <c r="T431" s="4" t="str">
        <f t="shared" si="257"/>
        <v>1+0.423789188191525i</v>
      </c>
      <c r="U431" s="4">
        <f t="shared" si="266"/>
        <v>1.0860926645678222</v>
      </c>
      <c r="V431" s="4">
        <f t="shared" si="267"/>
        <v>0.40084463209605559</v>
      </c>
      <c r="W431" t="str">
        <f t="shared" si="258"/>
        <v>1-0.440232208693355i</v>
      </c>
      <c r="X431" s="4">
        <f t="shared" si="268"/>
        <v>1.0926135627801028</v>
      </c>
      <c r="Y431" s="4">
        <f t="shared" si="269"/>
        <v>-0.41470140274759471</v>
      </c>
      <c r="Z431" t="str">
        <f t="shared" si="259"/>
        <v>-0.16460854951039+1.90639814036759i</v>
      </c>
      <c r="AA431" s="4">
        <f t="shared" si="270"/>
        <v>1.9134915322961115</v>
      </c>
      <c r="AB431" s="4">
        <f t="shared" si="271"/>
        <v>1.6569280145377403</v>
      </c>
      <c r="AC431" s="48" t="str">
        <f t="shared" si="272"/>
        <v>-0.0185771050504662+0.00186267487087514i</v>
      </c>
      <c r="AD431" s="20">
        <f t="shared" si="273"/>
        <v>-34.576995406673539</v>
      </c>
      <c r="AE431" s="44">
        <f t="shared" si="274"/>
        <v>174.27424768987683</v>
      </c>
      <c r="AF431" t="str">
        <f t="shared" si="260"/>
        <v>-0.0000333790427773504</v>
      </c>
      <c r="AG431" t="str">
        <f t="shared" si="261"/>
        <v>0.00459387479999613i</v>
      </c>
      <c r="AH431">
        <f t="shared" si="275"/>
        <v>4.5938747999961296E-3</v>
      </c>
      <c r="AI431">
        <f t="shared" si="276"/>
        <v>1.5707963267948966</v>
      </c>
      <c r="AJ431" t="str">
        <f t="shared" si="262"/>
        <v>1+105.837831205913i</v>
      </c>
      <c r="AK431">
        <f t="shared" si="277"/>
        <v>105.84255530915404</v>
      </c>
      <c r="AL431">
        <f t="shared" si="278"/>
        <v>1.5613481905975646</v>
      </c>
      <c r="AM431" t="str">
        <f t="shared" si="263"/>
        <v>1+796.723673800069i</v>
      </c>
      <c r="AN431">
        <f t="shared" si="279"/>
        <v>796.72430136997752</v>
      </c>
      <c r="AO431">
        <f t="shared" si="280"/>
        <v>1.5695411871426441</v>
      </c>
      <c r="AP431" s="42" t="str">
        <f t="shared" si="281"/>
        <v>-0.000448105613052911+0.0546925150219086i</v>
      </c>
      <c r="AQ431">
        <f t="shared" si="282"/>
        <v>-25.241150580547643</v>
      </c>
      <c r="AR431" s="44">
        <f t="shared" si="283"/>
        <v>90.469424123598316</v>
      </c>
      <c r="AS431" s="42" t="str">
        <f t="shared" si="284"/>
        <v>-0.0000935498683088828-0.00101686327210113i</v>
      </c>
      <c r="AT431" s="20">
        <f t="shared" si="285"/>
        <v>-59.818145987221172</v>
      </c>
      <c r="AU431" s="44">
        <f t="shared" si="286"/>
        <v>-95.256328186524826</v>
      </c>
    </row>
    <row r="432" spans="14:47" x14ac:dyDescent="0.3">
      <c r="N432" s="8">
        <v>14</v>
      </c>
      <c r="O432" s="35">
        <f t="shared" si="287"/>
        <v>138038.42646028858</v>
      </c>
      <c r="P432" s="34" t="str">
        <f t="shared" si="255"/>
        <v>545.10556621881</v>
      </c>
      <c r="Q432" s="4" t="str">
        <f t="shared" si="256"/>
        <v>1+18528.3740388891i</v>
      </c>
      <c r="R432" s="4">
        <f t="shared" si="264"/>
        <v>18528.374065874734</v>
      </c>
      <c r="S432" s="4">
        <f t="shared" si="265"/>
        <v>1.5707423555183599</v>
      </c>
      <c r="T432" s="4" t="str">
        <f t="shared" si="257"/>
        <v>1+0.433660506480737i</v>
      </c>
      <c r="U432" s="4">
        <f t="shared" si="266"/>
        <v>1.0899823094349419</v>
      </c>
      <c r="V432" s="4">
        <f t="shared" si="267"/>
        <v>0.40918324586645449</v>
      </c>
      <c r="W432" t="str">
        <f t="shared" si="258"/>
        <v>1-0.450486534132189i</v>
      </c>
      <c r="X432" s="4">
        <f t="shared" si="268"/>
        <v>1.096785356136027</v>
      </c>
      <c r="Y432" s="4">
        <f t="shared" si="269"/>
        <v>-0.4232584546468961</v>
      </c>
      <c r="Z432" t="str">
        <f t="shared" si="259"/>
        <v>-0.21949485949648+1.95080385753522i</v>
      </c>
      <c r="AA432" s="4">
        <f t="shared" si="270"/>
        <v>1.9631132631408901</v>
      </c>
      <c r="AB432" s="4">
        <f t="shared" si="271"/>
        <v>1.6828401844717151</v>
      </c>
      <c r="AC432" s="48" t="str">
        <f t="shared" si="272"/>
        <v>-0.0177737419211123+0.00225259417790648i</v>
      </c>
      <c r="AD432" s="20">
        <f t="shared" si="273"/>
        <v>-34.935219157832698</v>
      </c>
      <c r="AE432" s="44">
        <f t="shared" si="274"/>
        <v>172.77700210222955</v>
      </c>
      <c r="AF432" t="str">
        <f t="shared" si="260"/>
        <v>-0.0000333790427773504</v>
      </c>
      <c r="AG432" t="str">
        <f t="shared" si="261"/>
        <v>0.0047008798902512i</v>
      </c>
      <c r="AH432">
        <f t="shared" si="275"/>
        <v>4.7008798902511998E-3</v>
      </c>
      <c r="AI432">
        <f t="shared" si="276"/>
        <v>1.5707963267948966</v>
      </c>
      <c r="AJ432" t="str">
        <f t="shared" si="262"/>
        <v>1+108.303110991204i</v>
      </c>
      <c r="AK432">
        <f t="shared" si="277"/>
        <v>108.30772756536373</v>
      </c>
      <c r="AL432">
        <f t="shared" si="278"/>
        <v>1.561563244069192</v>
      </c>
      <c r="AM432" t="str">
        <f t="shared" si="263"/>
        <v>1+815.281752183788i</v>
      </c>
      <c r="AN432">
        <f t="shared" si="279"/>
        <v>815.28236546847211</v>
      </c>
      <c r="AO432">
        <f t="shared" si="280"/>
        <v>1.5695697575802285</v>
      </c>
      <c r="AP432" s="42" t="str">
        <f t="shared" si="281"/>
        <v>-0.000427939257495944+0.0534477475900143i</v>
      </c>
      <c r="AQ432">
        <f t="shared" si="282"/>
        <v>-25.441133440358957</v>
      </c>
      <c r="AR432" s="44">
        <f t="shared" si="283"/>
        <v>90.458739432796861</v>
      </c>
      <c r="AS432" s="42" t="str">
        <f t="shared" si="284"/>
        <v>-0.000112790003122836-0.000950930445409599i</v>
      </c>
      <c r="AT432" s="20">
        <f t="shared" si="285"/>
        <v>-60.376352598191652</v>
      </c>
      <c r="AU432" s="44">
        <f t="shared" si="286"/>
        <v>-96.764258464973594</v>
      </c>
    </row>
    <row r="433" spans="14:47" x14ac:dyDescent="0.3">
      <c r="N433" s="8">
        <v>15</v>
      </c>
      <c r="O433" s="35">
        <f t="shared" si="287"/>
        <v>141253.75446227577</v>
      </c>
      <c r="P433" s="34" t="str">
        <f t="shared" si="255"/>
        <v>545.10556621881</v>
      </c>
      <c r="Q433" s="4" t="str">
        <f t="shared" si="256"/>
        <v>1+18959.9553123519i</v>
      </c>
      <c r="R433" s="4">
        <f t="shared" si="264"/>
        <v>18959.95533872327</v>
      </c>
      <c r="S433" s="4">
        <f t="shared" si="265"/>
        <v>1.5707435840546</v>
      </c>
      <c r="T433" s="4" t="str">
        <f t="shared" si="257"/>
        <v>1+0.443761757310662i</v>
      </c>
      <c r="U433" s="4">
        <f t="shared" si="266"/>
        <v>1.0940404458937736</v>
      </c>
      <c r="V433" s="4">
        <f t="shared" si="267"/>
        <v>0.41765410621765764</v>
      </c>
      <c r="W433" t="str">
        <f t="shared" si="258"/>
        <v>1-0.460979713494314i</v>
      </c>
      <c r="X433" s="4">
        <f t="shared" si="268"/>
        <v>1.1011368199516807</v>
      </c>
      <c r="Y433" s="4">
        <f t="shared" si="269"/>
        <v>-0.4319470512182042</v>
      </c>
      <c r="Z433" t="str">
        <f t="shared" si="259"/>
        <v>-0.27696788158009+1.99624391673005i</v>
      </c>
      <c r="AA433" s="4">
        <f t="shared" si="270"/>
        <v>2.0153662154826089</v>
      </c>
      <c r="AB433" s="4">
        <f t="shared" si="271"/>
        <v>1.7086606999340992</v>
      </c>
      <c r="AC433" s="48" t="str">
        <f t="shared" si="272"/>
        <v>-0.0169871541443994+0.00260393629476823i</v>
      </c>
      <c r="AD433" s="20">
        <f t="shared" si="273"/>
        <v>-35.296720090634267</v>
      </c>
      <c r="AE433" s="44">
        <f t="shared" si="274"/>
        <v>171.28504978498196</v>
      </c>
      <c r="AF433" t="str">
        <f t="shared" si="260"/>
        <v>-0.0000333790427773504</v>
      </c>
      <c r="AG433" t="str">
        <f t="shared" si="261"/>
        <v>0.00481037744924758i</v>
      </c>
      <c r="AH433">
        <f t="shared" si="275"/>
        <v>4.8103774492475803E-3</v>
      </c>
      <c r="AI433">
        <f t="shared" si="276"/>
        <v>1.5707963267948966</v>
      </c>
      <c r="AJ433" t="str">
        <f t="shared" si="262"/>
        <v>1+110.825814519504i</v>
      </c>
      <c r="AK433">
        <f t="shared" si="277"/>
        <v>110.83032601193368</v>
      </c>
      <c r="AL433">
        <f t="shared" si="278"/>
        <v>1.5617734031514192</v>
      </c>
      <c r="AM433" t="str">
        <f t="shared" si="263"/>
        <v>1+834.272103744047i</v>
      </c>
      <c r="AN433">
        <f t="shared" si="279"/>
        <v>834.27270306867752</v>
      </c>
      <c r="AO433">
        <f t="shared" si="280"/>
        <v>1.5695976776771901</v>
      </c>
      <c r="AP433" s="42" t="str">
        <f t="shared" si="281"/>
        <v>-0.000408680386186647+0.0522313020972543i</v>
      </c>
      <c r="AQ433">
        <f t="shared" si="282"/>
        <v>-25.641117071540439</v>
      </c>
      <c r="AR433" s="44">
        <f t="shared" si="283"/>
        <v>90.448297908078388</v>
      </c>
      <c r="AS433" s="42" t="str">
        <f t="shared" si="284"/>
        <v>-0.000129064666538099-0.000888325357579302i</v>
      </c>
      <c r="AT433" s="20">
        <f t="shared" si="285"/>
        <v>-60.937837162174716</v>
      </c>
      <c r="AU433" s="44">
        <f t="shared" si="286"/>
        <v>-98.266652306939633</v>
      </c>
    </row>
    <row r="434" spans="14:47" x14ac:dyDescent="0.3">
      <c r="N434" s="8">
        <v>16</v>
      </c>
      <c r="O434" s="35">
        <f t="shared" si="287"/>
        <v>144543.97707459307</v>
      </c>
      <c r="P434" s="34" t="str">
        <f t="shared" si="255"/>
        <v>545.10556621881</v>
      </c>
      <c r="Q434" s="4" t="str">
        <f t="shared" si="256"/>
        <v>1+19401.5894050859i</v>
      </c>
      <c r="R434" s="4">
        <f t="shared" si="264"/>
        <v>19401.58943085698</v>
      </c>
      <c r="S434" s="4">
        <f t="shared" si="265"/>
        <v>1.5707447846259415</v>
      </c>
      <c r="T434" s="4" t="str">
        <f t="shared" si="257"/>
        <v>1+0.454098296498193i</v>
      </c>
      <c r="U434" s="4">
        <f t="shared" si="266"/>
        <v>1.0982737649978538</v>
      </c>
      <c r="V434" s="4">
        <f t="shared" si="267"/>
        <v>0.42625684081900067</v>
      </c>
      <c r="W434" t="str">
        <f t="shared" si="258"/>
        <v>1-0.471717310402322i</v>
      </c>
      <c r="X434" s="4">
        <f t="shared" si="268"/>
        <v>1.1056750069225589</v>
      </c>
      <c r="Y434" s="4">
        <f t="shared" si="269"/>
        <v>-0.4407665509013467</v>
      </c>
      <c r="Z434" t="str">
        <f t="shared" si="259"/>
        <v>-0.33714952374659+2.04274241087295i</v>
      </c>
      <c r="AA434" s="4">
        <f t="shared" si="270"/>
        <v>2.0703783129036069</v>
      </c>
      <c r="AB434" s="4">
        <f t="shared" si="271"/>
        <v>1.7343691842945792</v>
      </c>
      <c r="AC434" s="48" t="str">
        <f t="shared" si="272"/>
        <v>-0.0162185692822208+0.00291830581097157i</v>
      </c>
      <c r="AD434" s="20">
        <f t="shared" si="273"/>
        <v>-35.661366015002876</v>
      </c>
      <c r="AE434" s="44">
        <f t="shared" si="274"/>
        <v>169.79957362144461</v>
      </c>
      <c r="AF434" t="str">
        <f t="shared" si="260"/>
        <v>-0.0000333790427773504</v>
      </c>
      <c r="AG434" t="str">
        <f t="shared" si="261"/>
        <v>0.00492242553404041i</v>
      </c>
      <c r="AH434">
        <f t="shared" si="275"/>
        <v>4.9224255340404102E-3</v>
      </c>
      <c r="AI434">
        <f t="shared" si="276"/>
        <v>1.5707963267948966</v>
      </c>
      <c r="AJ434" t="str">
        <f t="shared" si="262"/>
        <v>1+113.407279361615i</v>
      </c>
      <c r="AK434">
        <f t="shared" si="277"/>
        <v>113.411688163978</v>
      </c>
      <c r="AL434">
        <f t="shared" si="278"/>
        <v>1.561978779199074</v>
      </c>
      <c r="AM434" t="str">
        <f t="shared" si="263"/>
        <v>1+853.704797416605i</v>
      </c>
      <c r="AN434">
        <f t="shared" si="279"/>
        <v>853.70538309895096</v>
      </c>
      <c r="AO434">
        <f t="shared" si="280"/>
        <v>1.5696249622369591</v>
      </c>
      <c r="AP434" s="42" t="str">
        <f t="shared" si="281"/>
        <v>-0.000390288168913928+0.0510425346868786i</v>
      </c>
      <c r="AQ434">
        <f t="shared" si="282"/>
        <v>-25.841101439380417</v>
      </c>
      <c r="AR434" s="44">
        <f t="shared" si="283"/>
        <v>90.438094017455342</v>
      </c>
      <c r="AS434" s="42" t="str">
        <f t="shared" si="284"/>
        <v>-0.000142627809875874-0.000828975865390594i</v>
      </c>
      <c r="AT434" s="20">
        <f t="shared" si="285"/>
        <v>-61.502467454383293</v>
      </c>
      <c r="AU434" s="44">
        <f t="shared" si="286"/>
        <v>-99.76233236110005</v>
      </c>
    </row>
    <row r="435" spans="14:47" x14ac:dyDescent="0.3">
      <c r="N435" s="8">
        <v>17</v>
      </c>
      <c r="O435" s="35">
        <f t="shared" si="287"/>
        <v>147910.83881682079</v>
      </c>
      <c r="P435" s="34" t="str">
        <f t="shared" si="255"/>
        <v>545.10556621881</v>
      </c>
      <c r="Q435" s="4" t="str">
        <f t="shared" si="256"/>
        <v>1+19853.5104773329i</v>
      </c>
      <c r="R435" s="4">
        <f t="shared" si="264"/>
        <v>19853.510502517365</v>
      </c>
      <c r="S435" s="4">
        <f t="shared" si="265"/>
        <v>1.5707459578689429</v>
      </c>
      <c r="T435" s="4" t="str">
        <f t="shared" si="257"/>
        <v>1+0.464675604613228i</v>
      </c>
      <c r="U435" s="4">
        <f t="shared" si="266"/>
        <v>1.1026891753901773</v>
      </c>
      <c r="V435" s="4">
        <f t="shared" si="267"/>
        <v>0.43499091661022538</v>
      </c>
      <c r="W435" t="str">
        <f t="shared" si="258"/>
        <v>1-0.48270501807222i</v>
      </c>
      <c r="X435" s="4">
        <f t="shared" si="268"/>
        <v>1.1104071930927419</v>
      </c>
      <c r="Y435" s="4">
        <f t="shared" si="269"/>
        <v>-0.44971614079664041</v>
      </c>
      <c r="Z435" t="str">
        <f t="shared" si="259"/>
        <v>-0.40016743932772+2.09032399408098i</v>
      </c>
      <c r="AA435" s="4">
        <f t="shared" si="270"/>
        <v>2.1282829651455573</v>
      </c>
      <c r="AB435" s="4">
        <f t="shared" si="271"/>
        <v>1.7599458009310747</v>
      </c>
      <c r="AC435" s="48" t="str">
        <f t="shared" si="272"/>
        <v>-0.0154690950712768+0.00319737873044765i</v>
      </c>
      <c r="AD435" s="20">
        <f t="shared" si="273"/>
        <v>-36.029013687708002</v>
      </c>
      <c r="AE435" s="44">
        <f t="shared" si="274"/>
        <v>168.32172616348825</v>
      </c>
      <c r="AF435" t="str">
        <f t="shared" si="260"/>
        <v>-0.0000333790427773504</v>
      </c>
      <c r="AG435" t="str">
        <f t="shared" si="261"/>
        <v>0.00503708355400739i</v>
      </c>
      <c r="AH435">
        <f t="shared" si="275"/>
        <v>5.0370835540073898E-3</v>
      </c>
      <c r="AI435">
        <f t="shared" si="276"/>
        <v>1.5707963267948966</v>
      </c>
      <c r="AJ435" t="str">
        <f t="shared" si="262"/>
        <v>1+116.048874244366i</v>
      </c>
      <c r="AK435">
        <f t="shared" si="277"/>
        <v>116.05318269390406</v>
      </c>
      <c r="AL435">
        <f t="shared" si="278"/>
        <v>1.5621794810359146</v>
      </c>
      <c r="AM435" t="str">
        <f t="shared" si="263"/>
        <v>1+873.590136672871i</v>
      </c>
      <c r="AN435">
        <f t="shared" si="279"/>
        <v>873.59070902346787</v>
      </c>
      <c r="AO435">
        <f t="shared" si="280"/>
        <v>1.5696516257260082</v>
      </c>
      <c r="AP435" s="42" t="str">
        <f t="shared" si="281"/>
        <v>-0.000372723611958141+0.04988081610277i</v>
      </c>
      <c r="AQ435">
        <f t="shared" si="282"/>
        <v>-26.041086510729095</v>
      </c>
      <c r="AR435" s="44">
        <f t="shared" si="283"/>
        <v>90.428122354653453</v>
      </c>
      <c r="AS435" s="42" t="str">
        <f t="shared" si="284"/>
        <v>-0.000153722163475677-0.000772802825075835i</v>
      </c>
      <c r="AT435" s="20">
        <f t="shared" si="285"/>
        <v>-62.070100198437089</v>
      </c>
      <c r="AU435" s="44">
        <f t="shared" si="286"/>
        <v>-101.25015148185825</v>
      </c>
    </row>
    <row r="436" spans="14:47" x14ac:dyDescent="0.3">
      <c r="N436" s="8">
        <v>18</v>
      </c>
      <c r="O436" s="35">
        <f t="shared" si="287"/>
        <v>151356.12484362084</v>
      </c>
      <c r="P436" s="34" t="str">
        <f t="shared" si="255"/>
        <v>545.10556621881</v>
      </c>
      <c r="Q436" s="4" t="str">
        <f t="shared" si="256"/>
        <v>1+20315.9581436273i</v>
      </c>
      <c r="R436" s="4">
        <f t="shared" si="264"/>
        <v>20315.958168238496</v>
      </c>
      <c r="S436" s="4">
        <f t="shared" si="265"/>
        <v>1.5707471044056731</v>
      </c>
      <c r="T436" s="4" t="str">
        <f t="shared" si="257"/>
        <v>1+0.475499289884539i</v>
      </c>
      <c r="U436" s="4">
        <f t="shared" si="266"/>
        <v>1.1072938068465392</v>
      </c>
      <c r="V436" s="4">
        <f t="shared" si="267"/>
        <v>0.4438556333182998</v>
      </c>
      <c r="W436" t="str">
        <f t="shared" si="258"/>
        <v>1-0.493948662332058i</v>
      </c>
      <c r="X436" s="4">
        <f t="shared" si="268"/>
        <v>1.1153408810850742</v>
      </c>
      <c r="Y436" s="4">
        <f t="shared" si="269"/>
        <v>-0.45879483054762005</v>
      </c>
      <c r="Z436" t="str">
        <f t="shared" si="259"/>
        <v>-0.46615529777138+2.13901389473938i</v>
      </c>
      <c r="AA436" s="4">
        <f t="shared" si="270"/>
        <v>2.1892193137117295</v>
      </c>
      <c r="AB436" s="4">
        <f t="shared" si="271"/>
        <v>1.7853713389431278</v>
      </c>
      <c r="AC436" s="48" t="str">
        <f t="shared" si="272"/>
        <v>-0.0147397136719279+0.00344288889003181i</v>
      </c>
      <c r="AD436" s="20">
        <f t="shared" si="273"/>
        <v>-36.399509446351423</v>
      </c>
      <c r="AE436" s="44">
        <f t="shared" si="274"/>
        <v>166.85262469954444</v>
      </c>
      <c r="AF436" t="str">
        <f t="shared" si="260"/>
        <v>-0.0000333790427773504</v>
      </c>
      <c r="AG436" t="str">
        <f t="shared" si="261"/>
        <v>0.0051544123023484i</v>
      </c>
      <c r="AH436">
        <f t="shared" si="275"/>
        <v>5.1544123023484004E-3</v>
      </c>
      <c r="AI436">
        <f t="shared" si="276"/>
        <v>1.5707963267948966</v>
      </c>
      <c r="AJ436" t="str">
        <f t="shared" si="262"/>
        <v>1+118.751999776331i</v>
      </c>
      <c r="AK436">
        <f t="shared" si="277"/>
        <v>118.75621015710175</v>
      </c>
      <c r="AL436">
        <f t="shared" si="278"/>
        <v>1.5623756150119983</v>
      </c>
      <c r="AM436" t="str">
        <f t="shared" si="263"/>
        <v>1+893.938664982936i</v>
      </c>
      <c r="AN436">
        <f t="shared" si="279"/>
        <v>893.93922430525083</v>
      </c>
      <c r="AO436">
        <f t="shared" si="280"/>
        <v>1.5696776822815204</v>
      </c>
      <c r="AP436" s="42" t="str">
        <f t="shared" si="281"/>
        <v>-0.000355949475538335+0.0487455313607857i</v>
      </c>
      <c r="AQ436">
        <f t="shared" si="282"/>
        <v>-26.241072253928138</v>
      </c>
      <c r="AR436" s="44">
        <f t="shared" si="283"/>
        <v>90.418377636264225</v>
      </c>
      <c r="AS436" s="42" t="str">
        <f t="shared" si="284"/>
        <v>-0.000162578855009638-0.000719720669538707i</v>
      </c>
      <c r="AT436" s="20">
        <f t="shared" si="285"/>
        <v>-62.640581700279554</v>
      </c>
      <c r="AU436" s="44">
        <f t="shared" si="286"/>
        <v>-102.7289976641913</v>
      </c>
    </row>
    <row r="437" spans="14:47" x14ac:dyDescent="0.3">
      <c r="N437" s="8">
        <v>19</v>
      </c>
      <c r="O437" s="35">
        <f t="shared" si="287"/>
        <v>154881.66189124843</v>
      </c>
      <c r="P437" s="34" t="str">
        <f t="shared" si="255"/>
        <v>545.10556621881</v>
      </c>
      <c r="Q437" s="4" t="str">
        <f t="shared" si="256"/>
        <v>1+20789.177599843i</v>
      </c>
      <c r="R437" s="4">
        <f t="shared" si="264"/>
        <v>20789.177623893975</v>
      </c>
      <c r="S437" s="4">
        <f t="shared" si="265"/>
        <v>1.5707482248440414</v>
      </c>
      <c r="T437" s="4" t="str">
        <f t="shared" si="257"/>
        <v>1+0.486575091173324i</v>
      </c>
      <c r="U437" s="4">
        <f t="shared" si="266"/>
        <v>1.1120950136343246</v>
      </c>
      <c r="V437" s="4">
        <f t="shared" si="267"/>
        <v>0.45285011717984358</v>
      </c>
      <c r="W437" t="str">
        <f t="shared" si="258"/>
        <v>1-0.505454204710848i</v>
      </c>
      <c r="X437" s="4">
        <f t="shared" si="268"/>
        <v>1.1204838031225064</v>
      </c>
      <c r="Y437" s="4">
        <f t="shared" si="269"/>
        <v>-0.46800144651053005</v>
      </c>
      <c r="Z437" t="str">
        <f t="shared" si="259"/>
        <v>-0.53525306817248+2.18883792887797i</v>
      </c>
      <c r="AA437" s="4">
        <f t="shared" si="270"/>
        <v>2.2533324934156642</v>
      </c>
      <c r="AB437" s="4">
        <f t="shared" si="271"/>
        <v>1.8106272912670469</v>
      </c>
      <c r="AC437" s="48" t="str">
        <f t="shared" si="272"/>
        <v>-0.0140312777428478+0.00365661402164949i</v>
      </c>
      <c r="AD437" s="20">
        <f t="shared" si="273"/>
        <v>-36.772689918554846</v>
      </c>
      <c r="AE437" s="44">
        <f t="shared" si="274"/>
        <v>165.39334675330298</v>
      </c>
      <c r="AF437" t="str">
        <f t="shared" si="260"/>
        <v>-0.0000333790427773504</v>
      </c>
      <c r="AG437" t="str">
        <f t="shared" si="261"/>
        <v>0.00527447398831884i</v>
      </c>
      <c r="AH437">
        <f t="shared" si="275"/>
        <v>5.27447398831884E-3</v>
      </c>
      <c r="AI437">
        <f t="shared" si="276"/>
        <v>1.5707963267948966</v>
      </c>
      <c r="AJ437" t="str">
        <f t="shared" si="262"/>
        <v>1+121.518089190445i</v>
      </c>
      <c r="AK437">
        <f t="shared" si="277"/>
        <v>121.52220373453136</v>
      </c>
      <c r="AL437">
        <f t="shared" si="278"/>
        <v>1.5625672850597607</v>
      </c>
      <c r="AM437" t="str">
        <f t="shared" si="263"/>
        <v>1+914.761171405852i</v>
      </c>
      <c r="AN437">
        <f t="shared" si="279"/>
        <v>914.76171799644442</v>
      </c>
      <c r="AO437">
        <f t="shared" si="280"/>
        <v>1.5697031457188844</v>
      </c>
      <c r="AP437" s="42" t="str">
        <f t="shared" si="281"/>
        <v>-0.000339930194965975+0.0476360794273325i</v>
      </c>
      <c r="AQ437">
        <f t="shared" si="282"/>
        <v>-26.441058638743684</v>
      </c>
      <c r="AR437" s="44">
        <f t="shared" si="283"/>
        <v>90.408854698961221</v>
      </c>
      <c r="AS437" s="42" t="str">
        <f t="shared" si="284"/>
        <v>-0.000169417100991645-0.000669638054542555i</v>
      </c>
      <c r="AT437" s="20">
        <f t="shared" si="285"/>
        <v>-63.21374855729853</v>
      </c>
      <c r="AU437" s="44">
        <f t="shared" si="286"/>
        <v>-104.1977985477358</v>
      </c>
    </row>
    <row r="438" spans="14:47" x14ac:dyDescent="0.3">
      <c r="N438" s="8">
        <v>20</v>
      </c>
      <c r="O438" s="35">
        <f t="shared" si="287"/>
        <v>158489.31924611164</v>
      </c>
      <c r="P438" s="34" t="str">
        <f t="shared" si="255"/>
        <v>545.10556621881</v>
      </c>
      <c r="Q438" s="4" t="str">
        <f t="shared" si="256"/>
        <v>1+21273.4197531993i</v>
      </c>
      <c r="R438" s="4">
        <f t="shared" si="264"/>
        <v>21273.419776702809</v>
      </c>
      <c r="S438" s="4">
        <f t="shared" si="265"/>
        <v>1.5707493197781186</v>
      </c>
      <c r="T438" s="4" t="str">
        <f t="shared" si="257"/>
        <v>1+0.497908881016031i</v>
      </c>
      <c r="U438" s="4">
        <f t="shared" si="266"/>
        <v>1.1171003776718706</v>
      </c>
      <c r="V438" s="4">
        <f t="shared" si="267"/>
        <v>0.46197331491756138</v>
      </c>
      <c r="W438" t="str">
        <f t="shared" si="258"/>
        <v>1-0.517227745599452i</v>
      </c>
      <c r="X438" s="4">
        <f t="shared" si="268"/>
        <v>1.1258439238268738</v>
      </c>
      <c r="Y438" s="4">
        <f t="shared" si="269"/>
        <v>-0.47733462626236667</v>
      </c>
      <c r="Z438" t="str">
        <f t="shared" si="259"/>
        <v>-0.60760731616614+2.23982251385915i</v>
      </c>
      <c r="AA438" s="4">
        <f t="shared" si="270"/>
        <v>2.3207739106274317</v>
      </c>
      <c r="AB438" s="4">
        <f t="shared" si="271"/>
        <v>1.8356959244780533</v>
      </c>
      <c r="AC438" s="48" t="str">
        <f t="shared" si="272"/>
        <v>-0.0133445083332802+0.00384036172804442i</v>
      </c>
      <c r="AD438" s="20">
        <f t="shared" si="273"/>
        <v>-37.148382796696161</v>
      </c>
      <c r="AE438" s="44">
        <f t="shared" si="274"/>
        <v>163.94492605386677</v>
      </c>
      <c r="AF438" t="str">
        <f t="shared" si="260"/>
        <v>-0.0000333790427773504</v>
      </c>
      <c r="AG438" t="str">
        <f t="shared" si="261"/>
        <v>0.00539733227021378i</v>
      </c>
      <c r="AH438">
        <f t="shared" si="275"/>
        <v>5.3973322702137796E-3</v>
      </c>
      <c r="AI438">
        <f t="shared" si="276"/>
        <v>1.5707963267948966</v>
      </c>
      <c r="AJ438" t="str">
        <f t="shared" si="262"/>
        <v>1+124.34860910393i</v>
      </c>
      <c r="AK438">
        <f t="shared" si="277"/>
        <v>124.35262999262213</v>
      </c>
      <c r="AL438">
        <f t="shared" si="278"/>
        <v>1.5627545927488342</v>
      </c>
      <c r="AM438" t="str">
        <f t="shared" si="263"/>
        <v>1+936.068696310141i</v>
      </c>
      <c r="AN438">
        <f t="shared" si="279"/>
        <v>936.06923045881967</v>
      </c>
      <c r="AO438">
        <f t="shared" si="280"/>
        <v>1.5697280295390199</v>
      </c>
      <c r="AP438" s="42" t="str">
        <f t="shared" si="281"/>
        <v>-0.000324631805338983+0.0465518729050294i</v>
      </c>
      <c r="AQ438">
        <f t="shared" si="282"/>
        <v>-26.641045636302184</v>
      </c>
      <c r="AR438" s="44">
        <f t="shared" si="283"/>
        <v>90.399548496778877</v>
      </c>
      <c r="AS438" s="42" t="str">
        <f t="shared" si="284"/>
        <v>-0.000174443979241669-0.000622458559471895i</v>
      </c>
      <c r="AT438" s="20">
        <f t="shared" si="285"/>
        <v>-63.789428432998356</v>
      </c>
      <c r="AU438" s="44">
        <f t="shared" si="286"/>
        <v>-105.65552544935434</v>
      </c>
    </row>
    <row r="439" spans="14:47" x14ac:dyDescent="0.3">
      <c r="N439" s="8">
        <v>21</v>
      </c>
      <c r="O439" s="35">
        <f t="shared" si="287"/>
        <v>162181.00973589328</v>
      </c>
      <c r="P439" s="34" t="str">
        <f t="shared" si="255"/>
        <v>545.10556621881</v>
      </c>
      <c r="Q439" s="4" t="str">
        <f t="shared" si="256"/>
        <v>1+21768.9413552958i</v>
      </c>
      <c r="R439" s="4">
        <f t="shared" si="264"/>
        <v>21768.941378264302</v>
      </c>
      <c r="S439" s="4">
        <f t="shared" si="265"/>
        <v>1.5707503897884536</v>
      </c>
      <c r="T439" s="4" t="str">
        <f t="shared" si="257"/>
        <v>1+0.509506668738055i</v>
      </c>
      <c r="U439" s="4">
        <f t="shared" si="266"/>
        <v>1.1223177114741396</v>
      </c>
      <c r="V439" s="4">
        <f t="shared" si="267"/>
        <v>0.47122398802120041</v>
      </c>
      <c r="W439" t="str">
        <f t="shared" si="258"/>
        <v>1-0.52927552748509i</v>
      </c>
      <c r="X439" s="4">
        <f t="shared" si="268"/>
        <v>1.1314294427822797</v>
      </c>
      <c r="Y439" s="4">
        <f t="shared" si="269"/>
        <v>-0.48679281350079606</v>
      </c>
      <c r="Z439" t="str">
        <f t="shared" si="259"/>
        <v>-0.68337151481304+2.29199468238472i</v>
      </c>
      <c r="AA439" s="4">
        <f t="shared" si="270"/>
        <v>2.3917015389336735</v>
      </c>
      <c r="AB439" s="4">
        <f t="shared" si="271"/>
        <v>1.8605603397442623</v>
      </c>
      <c r="AC439" s="48" t="str">
        <f t="shared" si="272"/>
        <v>-0.0126799945416972+0.00399595563002167i</v>
      </c>
      <c r="AD439" s="20">
        <f t="shared" si="273"/>
        <v>-37.526407667911784</v>
      </c>
      <c r="AE439" s="44">
        <f t="shared" si="274"/>
        <v>162.50834900786336</v>
      </c>
      <c r="AF439" t="str">
        <f t="shared" si="260"/>
        <v>-0.0000333790427773504</v>
      </c>
      <c r="AG439" t="str">
        <f t="shared" si="261"/>
        <v>0.00552305228912054i</v>
      </c>
      <c r="AH439">
        <f t="shared" si="275"/>
        <v>5.5230522891205397E-3</v>
      </c>
      <c r="AI439">
        <f t="shared" si="276"/>
        <v>1.5707963267948966</v>
      </c>
      <c r="AJ439" t="str">
        <f t="shared" si="262"/>
        <v>1+127.24506029591i</v>
      </c>
      <c r="AK439">
        <f t="shared" si="277"/>
        <v>127.24898966086046</v>
      </c>
      <c r="AL439">
        <f t="shared" si="278"/>
        <v>1.5629376373396324</v>
      </c>
      <c r="AM439" t="str">
        <f t="shared" si="263"/>
        <v>1+957.872537227546i</v>
      </c>
      <c r="AN439">
        <f t="shared" si="279"/>
        <v>957.87305921752318</v>
      </c>
      <c r="AO439">
        <f t="shared" si="280"/>
        <v>1.5697523469355341</v>
      </c>
      <c r="AP439" s="42" t="str">
        <f t="shared" si="281"/>
        <v>-0.000310021869617654+0.0454923377253105i</v>
      </c>
      <c r="AQ439">
        <f t="shared" si="282"/>
        <v>-26.841033219029306</v>
      </c>
      <c r="AR439" s="44">
        <f t="shared" si="283"/>
        <v>90.390454098452466</v>
      </c>
      <c r="AS439" s="42" t="str">
        <f t="shared" si="284"/>
        <v>-0.000177854287441743-0.000578081427681311i</v>
      </c>
      <c r="AT439" s="20">
        <f t="shared" si="285"/>
        <v>-64.367440886941097</v>
      </c>
      <c r="AU439" s="44">
        <f t="shared" si="286"/>
        <v>-107.10119689368418</v>
      </c>
    </row>
    <row r="440" spans="14:47" x14ac:dyDescent="0.3">
      <c r="N440" s="8">
        <v>22</v>
      </c>
      <c r="O440" s="35">
        <f t="shared" si="287"/>
        <v>165958.69074375604</v>
      </c>
      <c r="P440" s="34" t="str">
        <f t="shared" si="255"/>
        <v>545.10556621881</v>
      </c>
      <c r="Q440" s="4" t="str">
        <f t="shared" si="256"/>
        <v>1+22276.005138245i</v>
      </c>
      <c r="R440" s="4">
        <f t="shared" si="264"/>
        <v>22276.005160690675</v>
      </c>
      <c r="S440" s="4">
        <f t="shared" si="265"/>
        <v>1.5707514354423797</v>
      </c>
      <c r="T440" s="4" t="str">
        <f t="shared" si="257"/>
        <v>1+0.521374603639965i</v>
      </c>
      <c r="U440" s="4">
        <f t="shared" si="266"/>
        <v>1.1277550608712561</v>
      </c>
      <c r="V440" s="4">
        <f t="shared" si="267"/>
        <v>0.48060070738538507</v>
      </c>
      <c r="W440" t="str">
        <f t="shared" si="258"/>
        <v>1-0.541603938261194i</v>
      </c>
      <c r="X440" s="4">
        <f t="shared" si="268"/>
        <v>1.1372487968514344</v>
      </c>
      <c r="Y440" s="4">
        <f t="shared" si="269"/>
        <v>-0.49637425339047864</v>
      </c>
      <c r="Z440" t="str">
        <f t="shared" si="259"/>
        <v>-0.76270637013643+2.34538209682905i</v>
      </c>
      <c r="AA440" s="4">
        <f t="shared" si="270"/>
        <v>2.4662802328958726</v>
      </c>
      <c r="AB440" s="4">
        <f t="shared" si="271"/>
        <v>1.8852045245798434</v>
      </c>
      <c r="AC440" s="48" t="str">
        <f t="shared" si="272"/>
        <v>-0.012038194850814+0.00412522192417137i</v>
      </c>
      <c r="AD440" s="20">
        <f t="shared" si="273"/>
        <v>-37.906576888710887</v>
      </c>
      <c r="AE440" s="44">
        <f t="shared" si="274"/>
        <v>161.08455169359664</v>
      </c>
      <c r="AF440" t="str">
        <f t="shared" si="260"/>
        <v>-0.0000333790427773504</v>
      </c>
      <c r="AG440" t="str">
        <f t="shared" si="261"/>
        <v>0.00565170070345721i</v>
      </c>
      <c r="AH440">
        <f t="shared" si="275"/>
        <v>5.65170070345721E-3</v>
      </c>
      <c r="AI440">
        <f t="shared" si="276"/>
        <v>1.5707963267948966</v>
      </c>
      <c r="AJ440" t="str">
        <f t="shared" si="262"/>
        <v>1+130.208978503147i</v>
      </c>
      <c r="AK440">
        <f t="shared" si="277"/>
        <v>130.21281842749968</v>
      </c>
      <c r="AL440">
        <f t="shared" si="278"/>
        <v>1.5631165158357283</v>
      </c>
      <c r="AM440" t="str">
        <f t="shared" si="263"/>
        <v>1+980.184254843137i</v>
      </c>
      <c r="AN440">
        <f t="shared" si="279"/>
        <v>980.18476495117795</v>
      </c>
      <c r="AO440">
        <f t="shared" si="280"/>
        <v>1.5697761108017176</v>
      </c>
      <c r="AP440" s="42" t="str">
        <f t="shared" si="281"/>
        <v>-0.000296069409930767+0.0444569128478253i</v>
      </c>
      <c r="AQ440">
        <f t="shared" si="282"/>
        <v>-27.041021360591383</v>
      </c>
      <c r="AR440" s="44">
        <f t="shared" si="283"/>
        <v>90.381566684817756</v>
      </c>
      <c r="AS440" s="42" t="str">
        <f t="shared" si="284"/>
        <v>-0.000179830490314713-0.0005364023313487i</v>
      </c>
      <c r="AT440" s="20">
        <f t="shared" si="285"/>
        <v>-64.947598249302274</v>
      </c>
      <c r="AU440" s="44">
        <f t="shared" si="286"/>
        <v>-108.53388162158565</v>
      </c>
    </row>
    <row r="441" spans="14:47" x14ac:dyDescent="0.3">
      <c r="N441" s="8">
        <v>23</v>
      </c>
      <c r="O441" s="35">
        <f t="shared" si="287"/>
        <v>169824.36524617471</v>
      </c>
      <c r="P441" s="34" t="str">
        <f t="shared" si="255"/>
        <v>545.10556621881</v>
      </c>
      <c r="Q441" s="4" t="str">
        <f t="shared" si="256"/>
        <v>1+22794.879953976i</v>
      </c>
      <c r="R441" s="4">
        <f t="shared" si="264"/>
        <v>22794.87997591075</v>
      </c>
      <c r="S441" s="4">
        <f t="shared" si="265"/>
        <v>1.5707524572943168</v>
      </c>
      <c r="T441" s="4" t="str">
        <f t="shared" si="257"/>
        <v>1+0.53351897825793i</v>
      </c>
      <c r="U441" s="4">
        <f t="shared" si="266"/>
        <v>1.1334207074874649</v>
      </c>
      <c r="V441" s="4">
        <f t="shared" si="267"/>
        <v>0.49010184835811593</v>
      </c>
      <c r="W441" t="str">
        <f t="shared" si="258"/>
        <v>1-0.554219514614336i</v>
      </c>
      <c r="X441" s="4">
        <f t="shared" si="268"/>
        <v>1.1433106622346134</v>
      </c>
      <c r="Y441" s="4">
        <f t="shared" si="269"/>
        <v>-0.50607698841102122</v>
      </c>
      <c r="Z441" t="str">
        <f t="shared" si="259"/>
        <v>-0.84578016200102+2.40001306390589i</v>
      </c>
      <c r="AA441" s="4">
        <f t="shared" si="270"/>
        <v>2.5446820605634426</v>
      </c>
      <c r="AB441" s="4">
        <f t="shared" si="271"/>
        <v>1.9096133952244465</v>
      </c>
      <c r="AC441" s="48" t="str">
        <f t="shared" si="272"/>
        <v>-0.0114194400153895+0.00422997656511035i</v>
      </c>
      <c r="AD441" s="20">
        <f t="shared" si="273"/>
        <v>-38.288696493435594</v>
      </c>
      <c r="AE441" s="44">
        <f t="shared" si="274"/>
        <v>159.67441738706233</v>
      </c>
      <c r="AF441" t="str">
        <f t="shared" si="260"/>
        <v>-0.0000333790427773504</v>
      </c>
      <c r="AG441" t="str">
        <f t="shared" si="261"/>
        <v>0.00578334572431599i</v>
      </c>
      <c r="AH441">
        <f t="shared" si="275"/>
        <v>5.7833457243159896E-3</v>
      </c>
      <c r="AI441">
        <f t="shared" si="276"/>
        <v>1.5707963267948966</v>
      </c>
      <c r="AJ441" t="str">
        <f t="shared" si="262"/>
        <v>1+133.241935234305i</v>
      </c>
      <c r="AK441">
        <f t="shared" si="277"/>
        <v>133.24568775379836</v>
      </c>
      <c r="AL441">
        <f t="shared" si="278"/>
        <v>1.5632913230350527</v>
      </c>
      <c r="AM441" t="str">
        <f t="shared" si="263"/>
        <v>1+1003.01567912491i</v>
      </c>
      <c r="AN441">
        <f t="shared" si="279"/>
        <v>1003.0161776214801</v>
      </c>
      <c r="AO441">
        <f t="shared" si="280"/>
        <v>1.5697993337373797</v>
      </c>
      <c r="AP441" s="42" t="str">
        <f t="shared" si="281"/>
        <v>-0.000282744841967183+0.0434450499664937i</v>
      </c>
      <c r="AQ441">
        <f t="shared" si="282"/>
        <v>-27.241010035839821</v>
      </c>
      <c r="AR441" s="44">
        <f t="shared" si="283"/>
        <v>90.372881546269312</v>
      </c>
      <c r="AS441" s="42" t="str">
        <f t="shared" si="284"/>
        <v>-0.000180542755465811-0.000497314146113401i</v>
      </c>
      <c r="AT441" s="20">
        <f t="shared" si="285"/>
        <v>-65.52970652927543</v>
      </c>
      <c r="AU441" s="44">
        <f t="shared" si="286"/>
        <v>-109.95270106666831</v>
      </c>
    </row>
    <row r="442" spans="14:47" x14ac:dyDescent="0.3">
      <c r="N442" s="8">
        <v>24</v>
      </c>
      <c r="O442" s="35">
        <f t="shared" si="287"/>
        <v>173780.0828749378</v>
      </c>
      <c r="P442" s="34" t="str">
        <f t="shared" si="255"/>
        <v>545.10556621881</v>
      </c>
      <c r="Q442" s="4" t="str">
        <f t="shared" si="256"/>
        <v>1+23325.8409167848i</v>
      </c>
      <c r="R442" s="4">
        <f t="shared" si="264"/>
        <v>23325.840938220252</v>
      </c>
      <c r="S442" s="4">
        <f t="shared" si="265"/>
        <v>1.5707534558860641</v>
      </c>
      <c r="T442" s="4" t="str">
        <f t="shared" si="257"/>
        <v>1+0.54594623170013i</v>
      </c>
      <c r="U442" s="4">
        <f t="shared" si="266"/>
        <v>1.1393231709693137</v>
      </c>
      <c r="V442" s="4">
        <f t="shared" si="267"/>
        <v>0.49972558625480623</v>
      </c>
      <c r="W442" t="str">
        <f t="shared" si="258"/>
        <v>1-0.567128945490094i</v>
      </c>
      <c r="X442" s="4">
        <f t="shared" si="268"/>
        <v>1.1496239562625277</v>
      </c>
      <c r="Y442" s="4">
        <f t="shared" si="269"/>
        <v>-0.51589885476204111</v>
      </c>
      <c r="Z442" t="str">
        <f t="shared" si="259"/>
        <v>-0.9327691010573+2.45591654967717i</v>
      </c>
      <c r="AA442" s="4">
        <f t="shared" si="270"/>
        <v>2.6270866553780561</v>
      </c>
      <c r="AB442" s="4">
        <f t="shared" si="271"/>
        <v>1.9337728296481946</v>
      </c>
      <c r="AC442" s="48" t="str">
        <f t="shared" si="272"/>
        <v>-0.0108239373518727+0.00431201325681825i</v>
      </c>
      <c r="AD442" s="20">
        <f t="shared" si="273"/>
        <v>-38.67256712593263</v>
      </c>
      <c r="AE442" s="44">
        <f t="shared" si="274"/>
        <v>158.27877461983118</v>
      </c>
      <c r="AF442" t="str">
        <f t="shared" si="260"/>
        <v>-0.0000333790427773504</v>
      </c>
      <c r="AG442" t="str">
        <f t="shared" si="261"/>
        <v>0.00591805715162941i</v>
      </c>
      <c r="AH442">
        <f t="shared" si="275"/>
        <v>5.9180571516294104E-3</v>
      </c>
      <c r="AI442">
        <f t="shared" si="276"/>
        <v>1.5707963267948966</v>
      </c>
      <c r="AJ442" t="str">
        <f t="shared" si="262"/>
        <v>1+136.345538603191i</v>
      </c>
      <c r="AK442">
        <f t="shared" si="277"/>
        <v>136.34920570723631</v>
      </c>
      <c r="AL442">
        <f t="shared" si="278"/>
        <v>1.5634621515799383</v>
      </c>
      <c r="AM442" t="str">
        <f t="shared" si="263"/>
        <v>1+1026.37891559625i</v>
      </c>
      <c r="AN442">
        <f t="shared" si="279"/>
        <v>1026.3794027456584</v>
      </c>
      <c r="AO442">
        <f t="shared" si="280"/>
        <v>1.5698220280555273</v>
      </c>
      <c r="AP442" s="42" t="str">
        <f t="shared" si="281"/>
        <v>-0.000270019912314579+0.0424562132220797i</v>
      </c>
      <c r="AQ442">
        <f t="shared" si="282"/>
        <v>-27.44099922075748</v>
      </c>
      <c r="AR442" s="44">
        <f t="shared" si="283"/>
        <v>90.364394080275787</v>
      </c>
      <c r="AS442" s="42" t="str">
        <f t="shared" si="284"/>
        <v>-0.000180149075633259-0.000460707721555045i</v>
      </c>
      <c r="AT442" s="20">
        <f t="shared" si="285"/>
        <v>-66.113566346690106</v>
      </c>
      <c r="AU442" s="44">
        <f t="shared" si="286"/>
        <v>-111.35683129989305</v>
      </c>
    </row>
    <row r="443" spans="14:47" x14ac:dyDescent="0.3">
      <c r="N443" s="8">
        <v>25</v>
      </c>
      <c r="O443" s="35">
        <f t="shared" si="287"/>
        <v>177827.94100389251</v>
      </c>
      <c r="P443" s="34" t="str">
        <f t="shared" si="255"/>
        <v>545.10556621881</v>
      </c>
      <c r="Q443" s="4" t="str">
        <f t="shared" si="256"/>
        <v>1+23869.1695492017i</v>
      </c>
      <c r="R443" s="4">
        <f t="shared" si="264"/>
        <v>23869.169570149224</v>
      </c>
      <c r="S443" s="4">
        <f t="shared" si="265"/>
        <v>1.5707544317470881</v>
      </c>
      <c r="T443" s="4" t="str">
        <f t="shared" si="257"/>
        <v>1+0.55866295306083i</v>
      </c>
      <c r="U443" s="4">
        <f t="shared" si="266"/>
        <v>1.1454712109532248</v>
      </c>
      <c r="V443" s="4">
        <f t="shared" si="267"/>
        <v>0.50946989239315199</v>
      </c>
      <c r="W443" t="str">
        <f t="shared" si="258"/>
        <v>1-0.580339075639589i</v>
      </c>
      <c r="X443" s="4">
        <f t="shared" si="268"/>
        <v>1.1561978389160794</v>
      </c>
      <c r="Y443" s="4">
        <f t="shared" si="269"/>
        <v>-0.52583747938031267</v>
      </c>
      <c r="Z443" t="str">
        <f t="shared" si="259"/>
        <v>-1.02385770250779+2.51312219491099i</v>
      </c>
      <c r="AA443" s="4">
        <f t="shared" si="270"/>
        <v>2.7136815880900182</v>
      </c>
      <c r="AB443" s="4">
        <f t="shared" si="271"/>
        <v>1.9576696913409386</v>
      </c>
      <c r="AC443" s="48" t="str">
        <f t="shared" si="272"/>
        <v>-0.0102517762582515+0.00437309240511784i</v>
      </c>
      <c r="AD443" s="20">
        <f t="shared" si="273"/>
        <v>-39.057984984135395</v>
      </c>
      <c r="AE443" s="44">
        <f t="shared" si="274"/>
        <v>156.89839575972996</v>
      </c>
      <c r="AF443" t="str">
        <f t="shared" si="260"/>
        <v>-0.0000333790427773504</v>
      </c>
      <c r="AG443" t="str">
        <f t="shared" si="261"/>
        <v>0.00605590641117937i</v>
      </c>
      <c r="AH443">
        <f t="shared" si="275"/>
        <v>6.0559064111793699E-3</v>
      </c>
      <c r="AI443">
        <f t="shared" si="276"/>
        <v>1.5707963267948966</v>
      </c>
      <c r="AJ443" t="str">
        <f t="shared" si="262"/>
        <v>1+139.521434181391i</v>
      </c>
      <c r="AK443">
        <f t="shared" si="277"/>
        <v>139.52501781412613</v>
      </c>
      <c r="AL443">
        <f t="shared" si="278"/>
        <v>1.5636290920060365</v>
      </c>
      <c r="AM443" t="str">
        <f t="shared" si="263"/>
        <v>1+1050.28635175436i</v>
      </c>
      <c r="AN443">
        <f t="shared" si="279"/>
        <v>1050.2868278148992</v>
      </c>
      <c r="AO443">
        <f t="shared" si="280"/>
        <v>1.5698442057888953</v>
      </c>
      <c r="AP443" s="42" t="str">
        <f t="shared" si="281"/>
        <v>-0.000257867638613198+0.0414898789211425i</v>
      </c>
      <c r="AQ443">
        <f t="shared" si="282"/>
        <v>-27.640988892408032</v>
      </c>
      <c r="AR443" s="44">
        <f t="shared" si="283"/>
        <v>90.356099788951397</v>
      </c>
      <c r="AS443" s="42" t="str">
        <f t="shared" si="284"/>
        <v>-0.000178795473064001-0.000426472634693443i</v>
      </c>
      <c r="AT443" s="20">
        <f t="shared" si="285"/>
        <v>-66.698973876543434</v>
      </c>
      <c r="AU443" s="44">
        <f t="shared" si="286"/>
        <v>-112.74550445131865</v>
      </c>
    </row>
    <row r="444" spans="14:47" x14ac:dyDescent="0.3">
      <c r="N444" s="8">
        <v>26</v>
      </c>
      <c r="O444" s="35">
        <f t="shared" si="287"/>
        <v>181970.08586099857</v>
      </c>
      <c r="P444" s="34" t="str">
        <f t="shared" si="255"/>
        <v>545.10556621881</v>
      </c>
      <c r="Q444" s="4" t="str">
        <f t="shared" si="256"/>
        <v>1+24425.1539312591i</v>
      </c>
      <c r="R444" s="4">
        <f t="shared" si="264"/>
        <v>24425.153951729801</v>
      </c>
      <c r="S444" s="4">
        <f t="shared" si="265"/>
        <v>1.5707553853948033</v>
      </c>
      <c r="T444" s="4" t="str">
        <f t="shared" si="257"/>
        <v>1+0.571675884914015i</v>
      </c>
      <c r="U444" s="4">
        <f t="shared" si="266"/>
        <v>1.1518738287643409</v>
      </c>
      <c r="V444" s="4">
        <f t="shared" si="267"/>
        <v>0.51933253070427454</v>
      </c>
      <c r="W444" t="str">
        <f t="shared" si="258"/>
        <v>1-0.593856909248677i</v>
      </c>
      <c r="X444" s="4">
        <f t="shared" si="268"/>
        <v>1.1630417140680687</v>
      </c>
      <c r="Y444" s="4">
        <f t="shared" si="269"/>
        <v>-0.53589027762311647</v>
      </c>
      <c r="Z444" t="str">
        <f t="shared" si="259"/>
        <v>-1.11923917748858+2.57166033079762i</v>
      </c>
      <c r="AA444" s="4">
        <f t="shared" si="270"/>
        <v>2.8046627593034135</v>
      </c>
      <c r="AB444" s="4">
        <f t="shared" si="271"/>
        <v>1.9812918441884697</v>
      </c>
      <c r="AC444" s="48" t="str">
        <f t="shared" si="272"/>
        <v>-0.00970293477851285+0.00441493114922226i</v>
      </c>
      <c r="AD444" s="20">
        <f t="shared" si="273"/>
        <v>-39.444742767794402</v>
      </c>
      <c r="AE444" s="44">
        <f t="shared" si="274"/>
        <v>155.5339960970465</v>
      </c>
      <c r="AF444" t="str">
        <f t="shared" si="260"/>
        <v>-0.0000333790427773504</v>
      </c>
      <c r="AG444" t="str">
        <f t="shared" si="261"/>
        <v>0.00619696659246795i</v>
      </c>
      <c r="AH444">
        <f t="shared" si="275"/>
        <v>6.1969665924679496E-3</v>
      </c>
      <c r="AI444">
        <f t="shared" si="276"/>
        <v>1.5707963267948966</v>
      </c>
      <c r="AJ444" t="str">
        <f t="shared" si="262"/>
        <v>1+142.771305870777i</v>
      </c>
      <c r="AK444">
        <f t="shared" si="277"/>
        <v>142.77480793209622</v>
      </c>
      <c r="AL444">
        <f t="shared" si="278"/>
        <v>1.5637922327901297</v>
      </c>
      <c r="AM444" t="str">
        <f t="shared" si="263"/>
        <v>1+1074.75066363835i</v>
      </c>
      <c r="AN444">
        <f t="shared" si="279"/>
        <v>1074.751128862433</v>
      </c>
      <c r="AO444">
        <f t="shared" si="280"/>
        <v>1.5698658786963238</v>
      </c>
      <c r="AP444" s="42" t="str">
        <f t="shared" si="281"/>
        <v>-0.000246262252398375+0.0405455352612358i</v>
      </c>
      <c r="AQ444">
        <f t="shared" si="282"/>
        <v>-27.840979028887048</v>
      </c>
      <c r="AR444" s="44">
        <f t="shared" si="283"/>
        <v>90.347994276681831</v>
      </c>
      <c r="AS444" s="42" t="str">
        <f t="shared" si="284"/>
        <v>-0.000176616280013288-0.000394497915088655i</v>
      </c>
      <c r="AT444" s="20">
        <f t="shared" si="285"/>
        <v>-67.285721796681457</v>
      </c>
      <c r="AU444" s="44">
        <f t="shared" si="286"/>
        <v>-114.11800962627164</v>
      </c>
    </row>
    <row r="445" spans="14:47" x14ac:dyDescent="0.3">
      <c r="N445" s="8">
        <v>27</v>
      </c>
      <c r="O445" s="35">
        <f t="shared" si="287"/>
        <v>186208.71366628664</v>
      </c>
      <c r="P445" s="34" t="str">
        <f t="shared" si="255"/>
        <v>545.10556621881</v>
      </c>
      <c r="Q445" s="4" t="str">
        <f t="shared" si="256"/>
        <v>1+24994.0888532361i</v>
      </c>
      <c r="R445" s="4">
        <f t="shared" si="264"/>
        <v>24994.088873240828</v>
      </c>
      <c r="S445" s="4">
        <f t="shared" si="265"/>
        <v>1.5707563173348464</v>
      </c>
      <c r="T445" s="4" t="str">
        <f t="shared" si="257"/>
        <v>1+0.58499192688841i</v>
      </c>
      <c r="U445" s="4">
        <f t="shared" si="266"/>
        <v>1.1585402688403259</v>
      </c>
      <c r="V445" s="4">
        <f t="shared" si="267"/>
        <v>0.52931105497488407</v>
      </c>
      <c r="W445" t="str">
        <f t="shared" si="258"/>
        <v>1-0.607689613651679i</v>
      </c>
      <c r="X445" s="4">
        <f t="shared" si="268"/>
        <v>1.1701652304440286</v>
      </c>
      <c r="Y445" s="4">
        <f t="shared" si="269"/>
        <v>-0.54605445167012434</v>
      </c>
      <c r="Z445" t="str">
        <f t="shared" si="259"/>
        <v>-1.21911584289619+2.63156199503161i</v>
      </c>
      <c r="AA445" s="4">
        <f t="shared" si="270"/>
        <v>2.9002348132686144</v>
      </c>
      <c r="AB445" s="4">
        <f t="shared" si="271"/>
        <v>2.0046281588632953</v>
      </c>
      <c r="AC445" s="48" t="str">
        <f t="shared" si="272"/>
        <v>-0.00917728701882674+0.00443919455592478i</v>
      </c>
      <c r="AD445" s="20">
        <f t="shared" si="273"/>
        <v>-39.832630620263757</v>
      </c>
      <c r="AE445" s="44">
        <f t="shared" si="274"/>
        <v>154.18623341190332</v>
      </c>
      <c r="AF445" t="str">
        <f t="shared" si="260"/>
        <v>-0.0000333790427773504</v>
      </c>
      <c r="AG445" t="str">
        <f t="shared" si="261"/>
        <v>0.00634131248747038i</v>
      </c>
      <c r="AH445">
        <f t="shared" si="275"/>
        <v>6.34131248747038E-3</v>
      </c>
      <c r="AI445">
        <f t="shared" si="276"/>
        <v>1.5707963267948966</v>
      </c>
      <c r="AJ445" t="str">
        <f t="shared" si="262"/>
        <v>1+146.096876796338i</v>
      </c>
      <c r="AK445">
        <f t="shared" si="277"/>
        <v>146.10029914289828</v>
      </c>
      <c r="AL445">
        <f t="shared" si="278"/>
        <v>1.5639516603968655</v>
      </c>
      <c r="AM445" t="str">
        <f t="shared" si="263"/>
        <v>1+1099.78482255021i</v>
      </c>
      <c r="AN445">
        <f t="shared" si="279"/>
        <v>1099.7852771845041</v>
      </c>
      <c r="AO445">
        <f t="shared" si="280"/>
        <v>1.5698870582689941</v>
      </c>
      <c r="AP445" s="42" t="str">
        <f t="shared" si="281"/>
        <v>-0.000235179144511204+0.0396226820622167i</v>
      </c>
      <c r="AQ445">
        <f t="shared" si="282"/>
        <v>-28.040969609276015</v>
      </c>
      <c r="AR445" s="44">
        <f t="shared" si="283"/>
        <v>90.3400732478039</v>
      </c>
      <c r="AS445" s="42" t="str">
        <f t="shared" si="284"/>
        <v>-0.000173734487991709-0.000364672731718662i</v>
      </c>
      <c r="AT445" s="20">
        <f t="shared" si="285"/>
        <v>-67.873600229539775</v>
      </c>
      <c r="AU445" s="44">
        <f t="shared" si="286"/>
        <v>-115.4736933402927</v>
      </c>
    </row>
    <row r="446" spans="14:47" x14ac:dyDescent="0.3">
      <c r="N446" s="8">
        <v>28</v>
      </c>
      <c r="O446" s="35">
        <f t="shared" si="287"/>
        <v>190546.07179632492</v>
      </c>
      <c r="P446" s="34" t="str">
        <f t="shared" si="255"/>
        <v>545.10556621881</v>
      </c>
      <c r="Q446" s="4" t="str">
        <f t="shared" si="256"/>
        <v>1+25576.2759719592i</v>
      </c>
      <c r="R446" s="4">
        <f t="shared" si="264"/>
        <v>25576.275991508566</v>
      </c>
      <c r="S446" s="4">
        <f t="shared" si="265"/>
        <v>1.5707572280613442</v>
      </c>
      <c r="T446" s="4" t="str">
        <f t="shared" si="257"/>
        <v>1+0.59861813932573i</v>
      </c>
      <c r="U446" s="4">
        <f t="shared" si="266"/>
        <v>1.1654800198758446</v>
      </c>
      <c r="V446" s="4">
        <f t="shared" si="267"/>
        <v>0.53940280677396724</v>
      </c>
      <c r="W446" t="str">
        <f t="shared" si="258"/>
        <v>1-0.621844523131567i</v>
      </c>
      <c r="X446" s="4">
        <f t="shared" si="268"/>
        <v>1.177578282301744</v>
      </c>
      <c r="Y446" s="4">
        <f t="shared" si="269"/>
        <v>-0.5563269896937586</v>
      </c>
      <c r="Z446" t="str">
        <f t="shared" si="259"/>
        <v>-1.32369955052868+2.69285894826823i</v>
      </c>
      <c r="AA446" s="4">
        <f t="shared" si="270"/>
        <v>3.0006115735526491</v>
      </c>
      <c r="AB446" s="4">
        <f t="shared" si="271"/>
        <v>2.0276685112621879</v>
      </c>
      <c r="AC446" s="48" t="str">
        <f t="shared" si="272"/>
        <v>-0.00867461122143514+0.0044474880266805i</v>
      </c>
      <c r="AD446" s="20">
        <f t="shared" si="273"/>
        <v>-40.221437056046753</v>
      </c>
      <c r="AE446" s="44">
        <f t="shared" si="274"/>
        <v>152.85570799250723</v>
      </c>
      <c r="AF446" t="str">
        <f t="shared" si="260"/>
        <v>-0.0000333790427773504</v>
      </c>
      <c r="AG446" t="str">
        <f t="shared" si="261"/>
        <v>0.00648902063029089i</v>
      </c>
      <c r="AH446">
        <f t="shared" si="275"/>
        <v>6.4890206302908897E-3</v>
      </c>
      <c r="AI446">
        <f t="shared" si="276"/>
        <v>1.5707963267948966</v>
      </c>
      <c r="AJ446" t="str">
        <f t="shared" si="262"/>
        <v>1+149.499910219798i</v>
      </c>
      <c r="AK446">
        <f t="shared" si="277"/>
        <v>149.50325466600273</v>
      </c>
      <c r="AL446">
        <f t="shared" si="278"/>
        <v>1.5641074593244348</v>
      </c>
      <c r="AM446" t="str">
        <f t="shared" si="263"/>
        <v>1+1125.40210193238i</v>
      </c>
      <c r="AN446">
        <f t="shared" si="279"/>
        <v>1125.4025462179384</v>
      </c>
      <c r="AO446">
        <f t="shared" si="280"/>
        <v>1.5699077557365195</v>
      </c>
      <c r="AP446" s="42" t="str">
        <f t="shared" si="281"/>
        <v>-0.000224594812962219+0.0387208305035436i</v>
      </c>
      <c r="AQ446">
        <f t="shared" si="282"/>
        <v>-28.240960613597448</v>
      </c>
      <c r="AR446" s="44">
        <f t="shared" si="283"/>
        <v>90.33233250433733</v>
      </c>
      <c r="AS446" s="42" t="str">
        <f t="shared" si="284"/>
        <v>-0.000170262157362837-0.000336887033530831i</v>
      </c>
      <c r="AT446" s="20">
        <f t="shared" si="285"/>
        <v>-68.462397669644204</v>
      </c>
      <c r="AU446" s="44">
        <f t="shared" si="286"/>
        <v>-116.81195950315545</v>
      </c>
    </row>
    <row r="447" spans="14:47" x14ac:dyDescent="0.3">
      <c r="N447" s="8">
        <v>29</v>
      </c>
      <c r="O447" s="35">
        <f t="shared" si="287"/>
        <v>194984.45997580473</v>
      </c>
      <c r="P447" s="34" t="str">
        <f t="shared" si="255"/>
        <v>545.10556621881</v>
      </c>
      <c r="Q447" s="4" t="str">
        <f t="shared" si="256"/>
        <v>1+26172.0239707443i</v>
      </c>
      <c r="R447" s="4">
        <f t="shared" si="264"/>
        <v>26172.023989848669</v>
      </c>
      <c r="S447" s="4">
        <f t="shared" si="265"/>
        <v>1.5707581180571761</v>
      </c>
      <c r="T447" s="4" t="str">
        <f t="shared" si="257"/>
        <v>1+0.61256174702416i</v>
      </c>
      <c r="U447" s="4">
        <f t="shared" si="266"/>
        <v>1.172702815685752</v>
      </c>
      <c r="V447" s="4">
        <f t="shared" si="267"/>
        <v>0.5496049141156587</v>
      </c>
      <c r="W447" t="str">
        <f t="shared" si="258"/>
        <v>1-0.636329142808696i</v>
      </c>
      <c r="X447" s="4">
        <f t="shared" si="268"/>
        <v>1.1852910098316152</v>
      </c>
      <c r="Y447" s="4">
        <f t="shared" si="269"/>
        <v>-0.56670466584493995</v>
      </c>
      <c r="Z447" t="str">
        <f t="shared" si="259"/>
        <v>-1.43321213645158+2.75558369096339i</v>
      </c>
      <c r="AA447" s="4">
        <f t="shared" si="270"/>
        <v>3.1060165012400569</v>
      </c>
      <c r="AB447" s="4">
        <f t="shared" si="271"/>
        <v>2.0504037736061882</v>
      </c>
      <c r="AC447" s="48" t="str">
        <f t="shared" si="272"/>
        <v>-0.00819459830662803+0.0044413509365685i</v>
      </c>
      <c r="AD447" s="20">
        <f t="shared" si="273"/>
        <v>-40.610949866680755</v>
      </c>
      <c r="AE447" s="44">
        <f t="shared" si="274"/>
        <v>151.54296306927048</v>
      </c>
      <c r="AF447" t="str">
        <f t="shared" si="260"/>
        <v>-0.0000333790427773504</v>
      </c>
      <c r="AG447" t="str">
        <f t="shared" si="261"/>
        <v>0.00664016933774191i</v>
      </c>
      <c r="AH447">
        <f t="shared" si="275"/>
        <v>6.6401693377419104E-3</v>
      </c>
      <c r="AI447">
        <f t="shared" si="276"/>
        <v>1.5707963267948966</v>
      </c>
      <c r="AJ447" t="str">
        <f t="shared" si="262"/>
        <v>1+152.982210474521i</v>
      </c>
      <c r="AK447">
        <f t="shared" si="277"/>
        <v>152.98547879348106</v>
      </c>
      <c r="AL447">
        <f t="shared" si="278"/>
        <v>1.5642597121492199</v>
      </c>
      <c r="AM447" t="str">
        <f t="shared" si="263"/>
        <v>1+1151.61608440542i</v>
      </c>
      <c r="AN447">
        <f t="shared" si="279"/>
        <v>1151.6165185778082</v>
      </c>
      <c r="AO447">
        <f t="shared" si="280"/>
        <v>1.5699279820729006</v>
      </c>
      <c r="AP447" s="42" t="str">
        <f t="shared" si="281"/>
        <v>-0.000214486813137946+0.0378395028674241i</v>
      </c>
      <c r="AQ447">
        <f t="shared" si="282"/>
        <v>-28.440952022773317</v>
      </c>
      <c r="AR447" s="44">
        <f t="shared" si="283"/>
        <v>90.324767943767853</v>
      </c>
      <c r="AS447" s="42" t="str">
        <f t="shared" si="284"/>
        <v>-0.000166300878223786-0.000311032137329452i</v>
      </c>
      <c r="AT447" s="20">
        <f t="shared" si="285"/>
        <v>-69.051901889454072</v>
      </c>
      <c r="AU447" s="44">
        <f t="shared" si="286"/>
        <v>-118.13226898696158</v>
      </c>
    </row>
    <row r="448" spans="14:47" x14ac:dyDescent="0.3">
      <c r="N448" s="8">
        <v>30</v>
      </c>
      <c r="O448" s="35">
        <f t="shared" si="287"/>
        <v>199526.23149688813</v>
      </c>
      <c r="P448" s="34" t="str">
        <f t="shared" si="255"/>
        <v>545.10556621881</v>
      </c>
      <c r="Q448" s="4" t="str">
        <f t="shared" si="256"/>
        <v>1+26781.6487230666i</v>
      </c>
      <c r="R448" s="4">
        <f t="shared" si="264"/>
        <v>26781.648741736095</v>
      </c>
      <c r="S448" s="4">
        <f t="shared" si="265"/>
        <v>1.5707589877942296</v>
      </c>
      <c r="T448" s="4" t="str">
        <f t="shared" si="257"/>
        <v>1+0.62683014306908i</v>
      </c>
      <c r="U448" s="4">
        <f t="shared" si="266"/>
        <v>1.1802186357874558</v>
      </c>
      <c r="V448" s="4">
        <f t="shared" si="267"/>
        <v>0.55991429090730227</v>
      </c>
      <c r="W448" t="str">
        <f t="shared" si="258"/>
        <v>1-0.651151152620158i</v>
      </c>
      <c r="X448" s="4">
        <f t="shared" si="268"/>
        <v>1.1933137992827203</v>
      </c>
      <c r="Y448" s="4">
        <f t="shared" si="269"/>
        <v>-0.57718404109721844</v>
      </c>
      <c r="Z448" t="str">
        <f t="shared" si="259"/>
        <v>-1.54788589154238+2.81976948060597i</v>
      </c>
      <c r="AA448" s="4">
        <f t="shared" si="270"/>
        <v>3.2166831763468422</v>
      </c>
      <c r="AB448" s="4">
        <f t="shared" si="271"/>
        <v>2.0728257988808765</v>
      </c>
      <c r="AC448" s="48" t="str">
        <f t="shared" si="272"/>
        <v>-0.0077368607023306+0.00442225149576317i</v>
      </c>
      <c r="AD448" s="20">
        <f t="shared" si="273"/>
        <v>-41.000956998459671</v>
      </c>
      <c r="AE448" s="44">
        <f t="shared" si="274"/>
        <v>150.24848562631459</v>
      </c>
      <c r="AF448" t="str">
        <f t="shared" si="260"/>
        <v>-0.0000333790427773504</v>
      </c>
      <c r="AG448" t="str">
        <f t="shared" si="261"/>
        <v>0.00679483875086883i</v>
      </c>
      <c r="AH448">
        <f t="shared" si="275"/>
        <v>6.7948387508688299E-3</v>
      </c>
      <c r="AI448">
        <f t="shared" si="276"/>
        <v>1.5707963267948966</v>
      </c>
      <c r="AJ448" t="str">
        <f t="shared" si="262"/>
        <v>1+156.545623922197i</v>
      </c>
      <c r="AK448">
        <f t="shared" si="277"/>
        <v>156.54881784667023</v>
      </c>
      <c r="AL448">
        <f t="shared" si="278"/>
        <v>1.5644084995694327</v>
      </c>
      <c r="AM448" t="str">
        <f t="shared" si="263"/>
        <v>1+1178.44066896987i</v>
      </c>
      <c r="AN448">
        <f t="shared" si="279"/>
        <v>1178.4410932592918</v>
      </c>
      <c r="AO448">
        <f t="shared" si="280"/>
        <v>1.5699477480023423</v>
      </c>
      <c r="AP448" s="42" t="str">
        <f t="shared" si="281"/>
        <v>-0.000204833710245278+0.0369782322877032i</v>
      </c>
      <c r="AQ448">
        <f t="shared" si="282"/>
        <v>-28.640943818583395</v>
      </c>
      <c r="AR448" s="44">
        <f t="shared" si="283"/>
        <v>90.317375556880165</v>
      </c>
      <c r="AS448" s="42" t="str">
        <f t="shared" si="284"/>
        <v>-0.000161942273161664-0.000287001258409898i</v>
      </c>
      <c r="AT448" s="20">
        <f t="shared" si="285"/>
        <v>-69.64190081704308</v>
      </c>
      <c r="AU448" s="44">
        <f t="shared" si="286"/>
        <v>-119.43413881680524</v>
      </c>
    </row>
    <row r="449" spans="14:47" x14ac:dyDescent="0.3">
      <c r="N449" s="8">
        <v>31</v>
      </c>
      <c r="O449" s="35">
        <f t="shared" si="287"/>
        <v>204173.79446695308</v>
      </c>
      <c r="P449" s="34" t="str">
        <f t="shared" si="255"/>
        <v>545.10556621881</v>
      </c>
      <c r="Q449" s="4" t="str">
        <f t="shared" si="256"/>
        <v>1+27405.4734600388i</v>
      </c>
      <c r="R449" s="4">
        <f t="shared" si="264"/>
        <v>27405.473478283329</v>
      </c>
      <c r="S449" s="4">
        <f t="shared" si="265"/>
        <v>1.5707598377336507</v>
      </c>
      <c r="T449" s="4" t="str">
        <f t="shared" si="257"/>
        <v>1+0.64143089275293i</v>
      </c>
      <c r="U449" s="4">
        <f t="shared" si="266"/>
        <v>1.1880377057054294</v>
      </c>
      <c r="V449" s="4">
        <f t="shared" si="267"/>
        <v>0.57032763722819724</v>
      </c>
      <c r="W449" t="str">
        <f t="shared" si="258"/>
        <v>1-0.666318411391742i</v>
      </c>
      <c r="X449" s="4">
        <f t="shared" si="268"/>
        <v>1.2016572828221925</v>
      </c>
      <c r="Y449" s="4">
        <f t="shared" si="269"/>
        <v>-0.58776146498755033</v>
      </c>
      <c r="Z449" t="str">
        <f t="shared" si="259"/>
        <v>-1.66796405421013+2.88545034935122i</v>
      </c>
      <c r="AA449" s="4">
        <f t="shared" si="270"/>
        <v>3.3328558031676336</v>
      </c>
      <c r="AB449" s="4">
        <f t="shared" si="271"/>
        <v>2.0949273993355768</v>
      </c>
      <c r="AC449" s="48" t="str">
        <f t="shared" si="272"/>
        <v>-0.00730094129381386+0.0043915827992838i</v>
      </c>
      <c r="AD449" s="20">
        <f t="shared" si="273"/>
        <v>-41.391247396420937</v>
      </c>
      <c r="AE449" s="44">
        <f t="shared" si="274"/>
        <v>148.97270754959266</v>
      </c>
      <c r="AF449" t="str">
        <f t="shared" si="260"/>
        <v>-0.0000333790427773504</v>
      </c>
      <c r="AG449" t="str">
        <f t="shared" si="261"/>
        <v>0.00695311087744179i</v>
      </c>
      <c r="AH449">
        <f t="shared" si="275"/>
        <v>6.9531108774417904E-3</v>
      </c>
      <c r="AI449">
        <f t="shared" si="276"/>
        <v>1.5707963267948966</v>
      </c>
      <c r="AJ449" t="str">
        <f t="shared" si="262"/>
        <v>1+160.192039931802i</v>
      </c>
      <c r="AK449">
        <f t="shared" si="277"/>
        <v>160.19516115511118</v>
      </c>
      <c r="AL449">
        <f t="shared" si="278"/>
        <v>1.5645539004477671</v>
      </c>
      <c r="AM449" t="str">
        <f t="shared" si="263"/>
        <v>1+1205.89007837551i</v>
      </c>
      <c r="AN449">
        <f t="shared" si="279"/>
        <v>1205.8904930069286</v>
      </c>
      <c r="AO449">
        <f t="shared" si="280"/>
        <v>1.5699670640049401</v>
      </c>
      <c r="AP449" s="42" t="str">
        <f t="shared" si="281"/>
        <v>-0.000195615033893173+0.0361365625043492i</v>
      </c>
      <c r="AQ449">
        <f t="shared" si="282"/>
        <v>-28.840935983627858</v>
      </c>
      <c r="AR449" s="44">
        <f t="shared" si="283"/>
        <v>90.310151425640043</v>
      </c>
      <c r="AS449" s="42" t="str">
        <f t="shared" si="284"/>
        <v>-0.000157268532440702-0.000264689981022615i</v>
      </c>
      <c r="AT449" s="20">
        <f t="shared" si="285"/>
        <v>-70.232183380048809</v>
      </c>
      <c r="AU449" s="44">
        <f t="shared" si="286"/>
        <v>-120.71714102476724</v>
      </c>
    </row>
    <row r="450" spans="14:47" x14ac:dyDescent="0.3">
      <c r="N450" s="8">
        <v>32</v>
      </c>
      <c r="O450" s="35">
        <f t="shared" si="287"/>
        <v>208929.61308540447</v>
      </c>
      <c r="P450" s="34" t="str">
        <f t="shared" si="255"/>
        <v>545.10556621881</v>
      </c>
      <c r="Q450" s="4" t="str">
        <f t="shared" si="256"/>
        <v>1+28043.8289417941i</v>
      </c>
      <c r="R450" s="4">
        <f t="shared" si="264"/>
        <v>28043.828959623337</v>
      </c>
      <c r="S450" s="4">
        <f t="shared" si="265"/>
        <v>1.5707606683260886</v>
      </c>
      <c r="T450" s="4" t="str">
        <f t="shared" si="257"/>
        <v>1+0.656371737586465i</v>
      </c>
      <c r="U450" s="4">
        <f t="shared" si="266"/>
        <v>1.1961704970037823</v>
      </c>
      <c r="V450" s="4">
        <f t="shared" si="267"/>
        <v>0.58084144048062492</v>
      </c>
      <c r="W450" t="str">
        <f t="shared" si="258"/>
        <v>1-0.681838961004818i</v>
      </c>
      <c r="X450" s="4">
        <f t="shared" si="268"/>
        <v>1.2103323381386328</v>
      </c>
      <c r="Y450" s="4">
        <f t="shared" si="269"/>
        <v>-0.59843307828680825</v>
      </c>
      <c r="Z450" t="str">
        <f t="shared" si="259"/>
        <v>-1.79370132633708+2.95266112206518i</v>
      </c>
      <c r="AA450" s="4">
        <f t="shared" si="270"/>
        <v>3.4547897403255399</v>
      </c>
      <c r="AB450" s="4">
        <f t="shared" si="271"/>
        <v>2.1167023197830606</v>
      </c>
      <c r="AC450" s="48" t="str">
        <f t="shared" si="272"/>
        <v>-0.00688632234192757+0.00435066000981494i</v>
      </c>
      <c r="AD450" s="20">
        <f t="shared" si="273"/>
        <v>-41.781611809955308</v>
      </c>
      <c r="AE450" s="44">
        <f t="shared" si="274"/>
        <v>147.71600706962943</v>
      </c>
      <c r="AF450" t="str">
        <f t="shared" si="260"/>
        <v>-0.0000333790427773504</v>
      </c>
      <c r="AG450" t="str">
        <f t="shared" si="261"/>
        <v>0.00711506963543728i</v>
      </c>
      <c r="AH450">
        <f t="shared" si="275"/>
        <v>7.11506963543728E-3</v>
      </c>
      <c r="AI450">
        <f t="shared" si="276"/>
        <v>1.5707963267948966</v>
      </c>
      <c r="AJ450" t="str">
        <f t="shared" si="262"/>
        <v>1+163.923391881372i</v>
      </c>
      <c r="AK450">
        <f t="shared" si="277"/>
        <v>163.92644205830203</v>
      </c>
      <c r="AL450">
        <f t="shared" si="278"/>
        <v>1.5646959918530878</v>
      </c>
      <c r="AM450" t="str">
        <f t="shared" si="263"/>
        <v>1+1233.97886666256i</v>
      </c>
      <c r="AN450">
        <f t="shared" si="279"/>
        <v>1233.9792718558183</v>
      </c>
      <c r="AO450">
        <f t="shared" si="280"/>
        <v>1.5699859403222369</v>
      </c>
      <c r="AP450" s="42" t="str">
        <f t="shared" si="281"/>
        <v>-0.000186811234715782+0.0353140476234362i</v>
      </c>
      <c r="AQ450">
        <f t="shared" si="282"/>
        <v>-29.040928501289734</v>
      </c>
      <c r="AR450" s="44">
        <f t="shared" si="283"/>
        <v>90.303091721123934</v>
      </c>
      <c r="AS450" s="42" t="str">
        <f t="shared" si="284"/>
        <v>-0.000152352972400638-0.000243996667301425i</v>
      </c>
      <c r="AT450" s="20">
        <f t="shared" si="285"/>
        <v>-70.822540311245035</v>
      </c>
      <c r="AU450" s="44">
        <f t="shared" si="286"/>
        <v>-121.98090120924665</v>
      </c>
    </row>
    <row r="451" spans="14:47" x14ac:dyDescent="0.3">
      <c r="N451" s="8">
        <v>33</v>
      </c>
      <c r="O451" s="35">
        <f t="shared" si="287"/>
        <v>213796.20895022334</v>
      </c>
      <c r="P451" s="34" t="str">
        <f t="shared" si="255"/>
        <v>545.10556621881</v>
      </c>
      <c r="Q451" s="4" t="str">
        <f t="shared" si="256"/>
        <v>1+28697.053632858i</v>
      </c>
      <c r="R451" s="4">
        <f t="shared" si="264"/>
        <v>28697.053650281385</v>
      </c>
      <c r="S451" s="4">
        <f t="shared" si="265"/>
        <v>1.5707614800119345</v>
      </c>
      <c r="T451" s="4" t="str">
        <f t="shared" si="257"/>
        <v>1+0.67166059940337i</v>
      </c>
      <c r="U451" s="4">
        <f t="shared" si="266"/>
        <v>1.2046277270554975</v>
      </c>
      <c r="V451" s="4">
        <f t="shared" si="267"/>
        <v>0.59145197744960976</v>
      </c>
      <c r="W451" t="str">
        <f t="shared" si="258"/>
        <v>1-0.697721030660219i</v>
      </c>
      <c r="X451" s="4">
        <f t="shared" si="268"/>
        <v>1.2193500878031536</v>
      </c>
      <c r="Y451" s="4">
        <f t="shared" si="269"/>
        <v>-0.60919481662679542</v>
      </c>
      <c r="Z451" t="str">
        <f t="shared" si="259"/>
        <v>-1.92536441353521+3.02143743478912i</v>
      </c>
      <c r="AA451" s="4">
        <f t="shared" si="270"/>
        <v>3.5827520563461879</v>
      </c>
      <c r="AB451" s="4">
        <f t="shared" si="271"/>
        <v>2.1381452064450279</v>
      </c>
      <c r="AC451" s="48" t="str">
        <f t="shared" si="272"/>
        <v>-0.00649243423617339+0.00430071860145906i</v>
      </c>
      <c r="AD451" s="20">
        <f t="shared" si="273"/>
        <v>-42.171843556273913</v>
      </c>
      <c r="AE451" s="44">
        <f t="shared" si="274"/>
        <v>146.47871045673304</v>
      </c>
      <c r="AF451" t="str">
        <f t="shared" si="260"/>
        <v>-0.0000333790427773504</v>
      </c>
      <c r="AG451" t="str">
        <f t="shared" si="261"/>
        <v>0.00728080089753253i</v>
      </c>
      <c r="AH451">
        <f t="shared" si="275"/>
        <v>7.2808008975325297E-3</v>
      </c>
      <c r="AI451">
        <f t="shared" si="276"/>
        <v>1.5707963267948966</v>
      </c>
      <c r="AJ451" t="str">
        <f t="shared" si="262"/>
        <v>1+167.7416581831i</v>
      </c>
      <c r="AK451">
        <f t="shared" si="277"/>
        <v>167.74463893077464</v>
      </c>
      <c r="AL451">
        <f t="shared" si="278"/>
        <v>1.5648348491011745</v>
      </c>
      <c r="AM451" t="str">
        <f t="shared" si="263"/>
        <v>1+1262.72192687834i</v>
      </c>
      <c r="AN451">
        <f t="shared" si="279"/>
        <v>1262.7223228482767</v>
      </c>
      <c r="AO451">
        <f t="shared" si="280"/>
        <v>1.5700043869626519</v>
      </c>
      <c r="AP451" s="42" t="str">
        <f t="shared" si="281"/>
        <v>-0.000178403642945385+0.0345102518824927i</v>
      </c>
      <c r="AQ451">
        <f t="shared" si="282"/>
        <v>-29.240921355699797</v>
      </c>
      <c r="AR451" s="44">
        <f t="shared" si="283"/>
        <v>90.296192701495741</v>
      </c>
      <c r="AS451" s="42" t="str">
        <f t="shared" si="284"/>
        <v>-0.000147260608292757-0.000224822804686646i</v>
      </c>
      <c r="AT451" s="20">
        <f t="shared" si="285"/>
        <v>-71.41276491197371</v>
      </c>
      <c r="AU451" s="44">
        <f t="shared" si="286"/>
        <v>-123.22509684177119</v>
      </c>
    </row>
    <row r="452" spans="14:47" x14ac:dyDescent="0.3">
      <c r="N452" s="8">
        <v>34</v>
      </c>
      <c r="O452" s="35">
        <f t="shared" si="287"/>
        <v>218776.16239495538</v>
      </c>
      <c r="P452" s="34" t="str">
        <f t="shared" si="255"/>
        <v>545.10556621881</v>
      </c>
      <c r="Q452" s="4" t="str">
        <f t="shared" si="256"/>
        <v>1+29365.4938816086i</v>
      </c>
      <c r="R452" s="4">
        <f t="shared" si="264"/>
        <v>29365.493898635385</v>
      </c>
      <c r="S452" s="4">
        <f t="shared" si="265"/>
        <v>1.5707622732215549</v>
      </c>
      <c r="T452" s="4" t="str">
        <f t="shared" si="257"/>
        <v>1+0.68730558456056i</v>
      </c>
      <c r="U452" s="4">
        <f t="shared" si="266"/>
        <v>1.2134203585601047</v>
      </c>
      <c r="V452" s="4">
        <f t="shared" si="267"/>
        <v>0.60215531730246152</v>
      </c>
      <c r="W452" t="str">
        <f t="shared" si="258"/>
        <v>1-0.713973041241508i</v>
      </c>
      <c r="X452" s="4">
        <f t="shared" si="268"/>
        <v>1.228721898404862</v>
      </c>
      <c r="Y452" s="4">
        <f t="shared" si="269"/>
        <v>-0.620042415103916</v>
      </c>
      <c r="Z452" t="str">
        <f t="shared" si="259"/>
        <v>-2.06323259086489+3.09181575363445i</v>
      </c>
      <c r="AA452" s="4">
        <f t="shared" si="270"/>
        <v>3.7170221116411466</v>
      </c>
      <c r="AB452" s="4">
        <f t="shared" si="271"/>
        <v>2.1592515720782943</v>
      </c>
      <c r="AC452" s="48" t="str">
        <f t="shared" si="272"/>
        <v>-0.00611866396798512+0.00424291357938833i</v>
      </c>
      <c r="AD452" s="20">
        <f t="shared" si="273"/>
        <v>-42.561739238807725</v>
      </c>
      <c r="AE452" s="44">
        <f t="shared" si="274"/>
        <v>145.26109392719437</v>
      </c>
      <c r="AF452" t="str">
        <f t="shared" si="260"/>
        <v>-0.0000333790427773504</v>
      </c>
      <c r="AG452" t="str">
        <f t="shared" si="261"/>
        <v>0.00745039253663646i</v>
      </c>
      <c r="AH452">
        <f t="shared" si="275"/>
        <v>7.4503925366364602E-3</v>
      </c>
      <c r="AI452">
        <f t="shared" si="276"/>
        <v>1.5707963267948966</v>
      </c>
      <c r="AJ452" t="str">
        <f t="shared" si="262"/>
        <v>1+171.64886333232i</v>
      </c>
      <c r="AK452">
        <f t="shared" si="277"/>
        <v>171.65177623105876</v>
      </c>
      <c r="AL452">
        <f t="shared" si="278"/>
        <v>1.5649705457945473</v>
      </c>
      <c r="AM452" t="str">
        <f t="shared" si="263"/>
        <v>1+1292.13449897386i</v>
      </c>
      <c r="AN452">
        <f t="shared" si="279"/>
        <v>1292.1348859304235</v>
      </c>
      <c r="AO452">
        <f t="shared" si="280"/>
        <v>1.5700224137067877</v>
      </c>
      <c r="AP452" s="42" t="str">
        <f t="shared" si="281"/>
        <v>-0.000170374428847536+0.0337247494211043i</v>
      </c>
      <c r="AQ452">
        <f t="shared" si="282"/>
        <v>-29.440914531703079</v>
      </c>
      <c r="AR452" s="44">
        <f t="shared" si="283"/>
        <v>90.289450710028945</v>
      </c>
      <c r="AS452" s="42" t="str">
        <f t="shared" si="284"/>
        <v>-0.000142048733401417-0.000207073293089976i</v>
      </c>
      <c r="AT452" s="20">
        <f t="shared" si="285"/>
        <v>-72.00265377051079</v>
      </c>
      <c r="AU452" s="44">
        <f t="shared" si="286"/>
        <v>-124.44945536277669</v>
      </c>
    </row>
    <row r="453" spans="14:47" x14ac:dyDescent="0.3">
      <c r="N453" s="8">
        <v>35</v>
      </c>
      <c r="O453" s="35">
        <f t="shared" si="287"/>
        <v>223872.11385683404</v>
      </c>
      <c r="P453" s="34" t="str">
        <f t="shared" si="255"/>
        <v>545.10556621881</v>
      </c>
      <c r="Q453" s="4" t="str">
        <f t="shared" si="256"/>
        <v>1+30049.5041039135i</v>
      </c>
      <c r="R453" s="4">
        <f t="shared" si="264"/>
        <v>30049.504120552709</v>
      </c>
      <c r="S453" s="4">
        <f t="shared" si="265"/>
        <v>1.5707630483755199</v>
      </c>
      <c r="T453" s="4" t="str">
        <f t="shared" si="257"/>
        <v>1+0.70331498823625i</v>
      </c>
      <c r="U453" s="4">
        <f t="shared" si="266"/>
        <v>1.2225595988244322</v>
      </c>
      <c r="V453" s="4">
        <f t="shared" si="267"/>
        <v>0.61294732555257636</v>
      </c>
      <c r="W453" t="str">
        <f t="shared" si="258"/>
        <v>1-0.730603609779814i</v>
      </c>
      <c r="X453" s="4">
        <f t="shared" si="268"/>
        <v>1.2384593794805281</v>
      </c>
      <c r="Y453" s="4">
        <f t="shared" si="269"/>
        <v>-0.63097141387204125</v>
      </c>
      <c r="Z453" t="str">
        <f t="shared" si="259"/>
        <v>-2.20759829521458+3.16383339411737i</v>
      </c>
      <c r="AA453" s="4">
        <f t="shared" si="270"/>
        <v>3.8578921678510607</v>
      </c>
      <c r="AB453" s="4">
        <f t="shared" si="271"/>
        <v>2.180017758092045</v>
      </c>
      <c r="AC453" s="48" t="str">
        <f t="shared" si="272"/>
        <v>-0.00576436322903542+0.00417831958133331i</v>
      </c>
      <c r="AD453" s="20">
        <f t="shared" si="273"/>
        <v>-42.95109941837174</v>
      </c>
      <c r="AE453" s="44">
        <f t="shared" si="274"/>
        <v>144.06338572045695</v>
      </c>
      <c r="AF453" t="str">
        <f t="shared" si="260"/>
        <v>-0.0000333790427773504</v>
      </c>
      <c r="AG453" t="str">
        <f t="shared" si="261"/>
        <v>0.00762393447248092i</v>
      </c>
      <c r="AH453">
        <f t="shared" si="275"/>
        <v>7.6239344724809196E-3</v>
      </c>
      <c r="AI453">
        <f t="shared" si="276"/>
        <v>1.5707963267948966</v>
      </c>
      <c r="AJ453" t="str">
        <f t="shared" si="262"/>
        <v>1+175.64707898092i</v>
      </c>
      <c r="AK453">
        <f t="shared" si="277"/>
        <v>175.64992557507546</v>
      </c>
      <c r="AL453">
        <f t="shared" si="278"/>
        <v>1.5651031538613882</v>
      </c>
      <c r="AM453" t="str">
        <f t="shared" si="263"/>
        <v>1+1322.23217788415i</v>
      </c>
      <c r="AN453">
        <f t="shared" si="279"/>
        <v>1322.2325560325091</v>
      </c>
      <c r="AO453">
        <f t="shared" si="280"/>
        <v>1.5700400301126161</v>
      </c>
      <c r="AP453" s="42" t="str">
        <f t="shared" si="281"/>
        <v>-0.000162706564934882+0.0329571240566579i</v>
      </c>
      <c r="AQ453">
        <f t="shared" si="282"/>
        <v>-29.640908014826444</v>
      </c>
      <c r="AR453" s="44">
        <f t="shared" si="283"/>
        <v>90.282862173173712</v>
      </c>
      <c r="AS453" s="42" t="str">
        <f t="shared" si="284"/>
        <v>-0.000136767497050331-0.000190656674073236i</v>
      </c>
      <c r="AT453" s="20">
        <f t="shared" si="285"/>
        <v>-72.592007433198205</v>
      </c>
      <c r="AU453" s="44">
        <f t="shared" si="286"/>
        <v>-125.6537521063693</v>
      </c>
    </row>
    <row r="454" spans="14:47" x14ac:dyDescent="0.3">
      <c r="N454" s="8">
        <v>36</v>
      </c>
      <c r="O454" s="35">
        <f t="shared" si="287"/>
        <v>229086.76527677779</v>
      </c>
      <c r="P454" s="34" t="str">
        <f t="shared" si="255"/>
        <v>545.10556621881</v>
      </c>
      <c r="Q454" s="4" t="str">
        <f t="shared" si="256"/>
        <v>1+30749.4469710464i</v>
      </c>
      <c r="R454" s="4">
        <f t="shared" si="264"/>
        <v>30749.446987306856</v>
      </c>
      <c r="S454" s="4">
        <f t="shared" si="265"/>
        <v>1.5707638058848266</v>
      </c>
      <c r="T454" s="4" t="str">
        <f t="shared" si="257"/>
        <v>1+0.719697298828175i</v>
      </c>
      <c r="U454" s="4">
        <f t="shared" si="266"/>
        <v>1.2320568988243081</v>
      </c>
      <c r="V454" s="4">
        <f t="shared" si="267"/>
        <v>0.62382366900512731</v>
      </c>
      <c r="W454" t="str">
        <f t="shared" si="258"/>
        <v>1-0.747621554022706i</v>
      </c>
      <c r="X454" s="4">
        <f t="shared" si="268"/>
        <v>1.2485743822613558</v>
      </c>
      <c r="Y454" s="4">
        <f t="shared" si="269"/>
        <v>-0.64197716472926747</v>
      </c>
      <c r="Z454" t="str">
        <f t="shared" si="259"/>
        <v>-2.35876774559858+3.23752854094414i</v>
      </c>
      <c r="AA454" s="4">
        <f t="shared" si="270"/>
        <v>4.0056680255737742</v>
      </c>
      <c r="AB454" s="4">
        <f t="shared" si="271"/>
        <v>2.200440894331817</v>
      </c>
      <c r="AC454" s="48" t="str">
        <f t="shared" si="272"/>
        <v>-0.00542885605854894+0.00410793176139097i</v>
      </c>
      <c r="AD454" s="20">
        <f t="shared" si="273"/>
        <v>-43.339729235622485</v>
      </c>
      <c r="AE454" s="44">
        <f t="shared" si="274"/>
        <v>142.88576830928545</v>
      </c>
      <c r="AF454" t="str">
        <f t="shared" si="260"/>
        <v>-0.0000333790427773504</v>
      </c>
      <c r="AG454" t="str">
        <f t="shared" si="261"/>
        <v>0.00780151871929741i</v>
      </c>
      <c r="AH454">
        <f t="shared" si="275"/>
        <v>7.8015187192974102E-3</v>
      </c>
      <c r="AI454">
        <f t="shared" si="276"/>
        <v>1.5707963267948966</v>
      </c>
      <c r="AJ454" t="str">
        <f t="shared" si="262"/>
        <v>1+179.73842503576i</v>
      </c>
      <c r="AK454">
        <f t="shared" si="277"/>
        <v>179.7412068345362</v>
      </c>
      <c r="AL454">
        <f t="shared" si="278"/>
        <v>1.5652327435935838</v>
      </c>
      <c r="AM454" t="str">
        <f t="shared" si="263"/>
        <v>1+1353.03092179697i</v>
      </c>
      <c r="AN454">
        <f t="shared" si="279"/>
        <v>1353.031291337624</v>
      </c>
      <c r="AO454">
        <f t="shared" si="280"/>
        <v>1.5700572455205444</v>
      </c>
      <c r="AP454" s="42" t="str">
        <f t="shared" si="281"/>
        <v>-0.000155383789879713+0.0322069690651126i</v>
      </c>
      <c r="AQ454">
        <f t="shared" si="282"/>
        <v>-29.840901791248179</v>
      </c>
      <c r="AR454" s="44">
        <f t="shared" si="283"/>
        <v>90.276423598667563</v>
      </c>
      <c r="AS454" s="42" t="str">
        <f t="shared" si="284"/>
        <v>-0.000131460474931624-0.000175485305142287i</v>
      </c>
      <c r="AT454" s="20">
        <f t="shared" si="285"/>
        <v>-73.180631026870657</v>
      </c>
      <c r="AU454" s="44">
        <f t="shared" si="286"/>
        <v>-126.83780809204704</v>
      </c>
    </row>
    <row r="455" spans="14:47" x14ac:dyDescent="0.3">
      <c r="N455" s="8">
        <v>37</v>
      </c>
      <c r="O455" s="35">
        <f t="shared" si="287"/>
        <v>234422.88153199267</v>
      </c>
      <c r="P455" s="34" t="str">
        <f t="shared" si="255"/>
        <v>545.10556621881</v>
      </c>
      <c r="Q455" s="4" t="str">
        <f t="shared" si="256"/>
        <v>1+31465.6936019805i</v>
      </c>
      <c r="R455" s="4">
        <f t="shared" si="264"/>
        <v>31465.693617870824</v>
      </c>
      <c r="S455" s="4">
        <f t="shared" si="265"/>
        <v>1.5707645461511164</v>
      </c>
      <c r="T455" s="4" t="str">
        <f t="shared" si="257"/>
        <v>1+0.73646120245426i</v>
      </c>
      <c r="U455" s="4">
        <f t="shared" si="266"/>
        <v>1.2419239520680703</v>
      </c>
      <c r="V455" s="4">
        <f t="shared" si="267"/>
        <v>0.63477982169453329</v>
      </c>
      <c r="W455" t="str">
        <f t="shared" si="258"/>
        <v>1-0.765035897109483i</v>
      </c>
      <c r="X455" s="4">
        <f t="shared" si="268"/>
        <v>1.2590789982626631</v>
      </c>
      <c r="Y455" s="4">
        <f t="shared" si="269"/>
        <v>-0.65305483869466863</v>
      </c>
      <c r="Z455" t="str">
        <f t="shared" si="259"/>
        <v>-2.51706159268883+3.31294026825708i</v>
      </c>
      <c r="AA455" s="4">
        <f t="shared" si="270"/>
        <v>4.1606696915795327</v>
      </c>
      <c r="AB455" s="4">
        <f t="shared" si="271"/>
        <v>2.2205188571624999</v>
      </c>
      <c r="AC455" s="48" t="str">
        <f t="shared" si="272"/>
        <v>-0.00511144598195215+0.00403266735438386i</v>
      </c>
      <c r="AD455" s="20">
        <f t="shared" si="273"/>
        <v>-43.727438983942484</v>
      </c>
      <c r="AE455" s="44">
        <f t="shared" si="274"/>
        <v>141.72838070749711</v>
      </c>
      <c r="AF455" t="str">
        <f t="shared" si="260"/>
        <v>-0.0000333790427773504</v>
      </c>
      <c r="AG455" t="str">
        <f t="shared" si="261"/>
        <v>0.00798323943460416i</v>
      </c>
      <c r="AH455">
        <f t="shared" si="275"/>
        <v>7.9832394346041596E-3</v>
      </c>
      <c r="AI455">
        <f t="shared" si="276"/>
        <v>1.5707963267948966</v>
      </c>
      <c r="AJ455" t="str">
        <f t="shared" si="262"/>
        <v>1+183.925070782673i</v>
      </c>
      <c r="AK455">
        <f t="shared" si="277"/>
        <v>183.92778926092512</v>
      </c>
      <c r="AL455">
        <f t="shared" si="278"/>
        <v>1.5653593836839053</v>
      </c>
      <c r="AM455" t="str">
        <f t="shared" si="263"/>
        <v>1+1384.54706061401i</v>
      </c>
      <c r="AN455">
        <f t="shared" si="279"/>
        <v>1384.5474217428939</v>
      </c>
      <c r="AO455">
        <f t="shared" si="280"/>
        <v>1.5700740690583694</v>
      </c>
      <c r="AP455" s="42" t="str">
        <f t="shared" si="281"/>
        <v>-0.000148390574049023+0.0314738869666917i</v>
      </c>
      <c r="AQ455">
        <f t="shared" si="282"/>
        <v>-30.040895847768372</v>
      </c>
      <c r="AR455" s="44">
        <f t="shared" si="283"/>
        <v>90.270131573688843</v>
      </c>
      <c r="AS455" s="42" t="str">
        <f t="shared" si="284"/>
        <v>-0.000126165226082663-0.000161475482895978i</v>
      </c>
      <c r="AT455" s="20">
        <f t="shared" si="285"/>
        <v>-73.76833483171086</v>
      </c>
      <c r="AU455" s="44">
        <f t="shared" si="286"/>
        <v>-128.0014877188141</v>
      </c>
    </row>
    <row r="456" spans="14:47" x14ac:dyDescent="0.3">
      <c r="N456" s="8">
        <v>38</v>
      </c>
      <c r="O456" s="35">
        <f t="shared" si="287"/>
        <v>239883.29190194907</v>
      </c>
      <c r="P456" s="34" t="str">
        <f t="shared" si="255"/>
        <v>545.10556621881</v>
      </c>
      <c r="Q456" s="4" t="str">
        <f t="shared" si="256"/>
        <v>1+32198.6237601599i</v>
      </c>
      <c r="R456" s="4">
        <f t="shared" si="264"/>
        <v>32198.623775688509</v>
      </c>
      <c r="S456" s="4">
        <f t="shared" si="265"/>
        <v>1.5707652695668881</v>
      </c>
      <c r="T456" s="4" t="str">
        <f t="shared" si="257"/>
        <v>1+0.7536155875581i</v>
      </c>
      <c r="U456" s="4">
        <f t="shared" si="266"/>
        <v>1.2521726932857704</v>
      </c>
      <c r="V456" s="4">
        <f t="shared" si="267"/>
        <v>0.64581107181541952</v>
      </c>
      <c r="W456" t="str">
        <f t="shared" si="258"/>
        <v>1-0.782855872355352i</v>
      </c>
      <c r="X456" s="4">
        <f t="shared" si="268"/>
        <v>1.2699855577451498</v>
      </c>
      <c r="Y456" s="4">
        <f t="shared" si="269"/>
        <v>-0.66419943456230424</v>
      </c>
      <c r="Z456" t="str">
        <f t="shared" si="259"/>
        <v>-2.68281559895782+3.39010856035218i</v>
      </c>
      <c r="AA456" s="4">
        <f t="shared" si="270"/>
        <v>4.3232320766973098</v>
      </c>
      <c r="AB456" s="4">
        <f t="shared" si="271"/>
        <v>2.240250226432805</v>
      </c>
      <c r="AC456" s="48" t="str">
        <f t="shared" si="272"/>
        <v>-0.00481142260029424+0.00395336781952046i</v>
      </c>
      <c r="AD456" s="20">
        <f t="shared" si="273"/>
        <v>-44.11404463241324</v>
      </c>
      <c r="AE456" s="44">
        <f t="shared" si="274"/>
        <v>140.59132084270934</v>
      </c>
      <c r="AF456" t="str">
        <f t="shared" si="260"/>
        <v>-0.0000333790427773504</v>
      </c>
      <c r="AG456" t="str">
        <f t="shared" si="261"/>
        <v>0.00816919296912979i</v>
      </c>
      <c r="AH456">
        <f t="shared" si="275"/>
        <v>8.1691929691297908E-3</v>
      </c>
      <c r="AI456">
        <f t="shared" si="276"/>
        <v>1.5707963267948966</v>
      </c>
      <c r="AJ456" t="str">
        <f t="shared" si="262"/>
        <v>1+188.20923603665i</v>
      </c>
      <c r="AK456">
        <f t="shared" si="277"/>
        <v>188.21189263566589</v>
      </c>
      <c r="AL456">
        <f t="shared" si="278"/>
        <v>1.5654831412623471</v>
      </c>
      <c r="AM456" t="str">
        <f t="shared" si="263"/>
        <v>1+1416.79730460923i</v>
      </c>
      <c r="AN456">
        <f t="shared" si="279"/>
        <v>1416.7976575178191</v>
      </c>
      <c r="AO456">
        <f t="shared" si="280"/>
        <v>1.5700905096461151</v>
      </c>
      <c r="AP456" s="42" t="str">
        <f t="shared" si="281"/>
        <v>-0.000141712086589136+0.0307574893163842i</v>
      </c>
      <c r="AQ456">
        <f t="shared" si="282"/>
        <v>-30.240890171781292</v>
      </c>
      <c r="AR456" s="44">
        <f t="shared" si="283"/>
        <v>90.263982763051914</v>
      </c>
      <c r="AS456" s="42" t="str">
        <f t="shared" si="284"/>
        <v>-0.000120913831736488-0.000148547519227918i</v>
      </c>
      <c r="AT456" s="20">
        <f t="shared" si="285"/>
        <v>-74.354934804194528</v>
      </c>
      <c r="AU456" s="44">
        <f t="shared" si="286"/>
        <v>-129.14469639423882</v>
      </c>
    </row>
    <row r="457" spans="14:47" x14ac:dyDescent="0.3">
      <c r="N457" s="8">
        <v>39</v>
      </c>
      <c r="O457" s="35">
        <f t="shared" si="287"/>
        <v>245470.89156850305</v>
      </c>
      <c r="P457" s="34" t="str">
        <f t="shared" si="255"/>
        <v>545.10556621881</v>
      </c>
      <c r="Q457" s="4" t="str">
        <f t="shared" si="256"/>
        <v>1+32948.6260548561i</v>
      </c>
      <c r="R457" s="4">
        <f t="shared" si="264"/>
        <v>32948.626070031234</v>
      </c>
      <c r="S457" s="4">
        <f t="shared" si="265"/>
        <v>1.5707659765157065</v>
      </c>
      <c r="T457" s="4" t="str">
        <f t="shared" si="257"/>
        <v>1+0.771169549621745i</v>
      </c>
      <c r="U457" s="4">
        <f t="shared" si="266"/>
        <v>1.2628152969709405</v>
      </c>
      <c r="V457" s="4">
        <f t="shared" si="267"/>
        <v>0.65691252964020141</v>
      </c>
      <c r="W457" t="str">
        <f t="shared" si="258"/>
        <v>1-0.801090928147066i</v>
      </c>
      <c r="X457" s="4">
        <f t="shared" si="268"/>
        <v>1.2813066280791368</v>
      </c>
      <c r="Y457" s="4">
        <f t="shared" si="269"/>
        <v>-0.67540578841062171</v>
      </c>
      <c r="Z457" t="str">
        <f t="shared" si="259"/>
        <v>-2.85638135087589+3.46907433287937i</v>
      </c>
      <c r="AA457" s="4">
        <f t="shared" si="270"/>
        <v>4.4937057256427035</v>
      </c>
      <c r="AB457" s="4">
        <f t="shared" si="271"/>
        <v>2.2596342418501578</v>
      </c>
      <c r="AC457" s="48" t="str">
        <f t="shared" si="272"/>
        <v>-0.00452806760542703+0.00387080146494182i</v>
      </c>
      <c r="AD457" s="20">
        <f t="shared" si="273"/>
        <v>-44.499368298987712</v>
      </c>
      <c r="AE457" s="44">
        <f t="shared" si="274"/>
        <v>139.47464796465874</v>
      </c>
      <c r="AF457" t="str">
        <f t="shared" si="260"/>
        <v>-0.0000333790427773504</v>
      </c>
      <c r="AG457" t="str">
        <f t="shared" si="261"/>
        <v>0.00835947791789973i</v>
      </c>
      <c r="AH457">
        <f t="shared" si="275"/>
        <v>8.3594779178997308E-3</v>
      </c>
      <c r="AI457">
        <f t="shared" si="276"/>
        <v>1.5707963267948966</v>
      </c>
      <c r="AJ457" t="str">
        <f t="shared" si="262"/>
        <v>1+192.593192318818i</v>
      </c>
      <c r="AK457">
        <f t="shared" si="277"/>
        <v>192.59578844708216</v>
      </c>
      <c r="AL457">
        <f t="shared" si="278"/>
        <v>1.5656040819316432</v>
      </c>
      <c r="AM457" t="str">
        <f t="shared" si="263"/>
        <v>1+1449.79875328888i</v>
      </c>
      <c r="AN457">
        <f t="shared" si="279"/>
        <v>1449.7990981642909</v>
      </c>
      <c r="AO457">
        <f t="shared" si="280"/>
        <v>1.5701065760007633</v>
      </c>
      <c r="AP457" s="42" t="str">
        <f t="shared" si="281"/>
        <v>-0.000135334163990351+0.0300573964991546i</v>
      </c>
      <c r="AQ457">
        <f t="shared" si="282"/>
        <v>-30.440884751248653</v>
      </c>
      <c r="AR457" s="44">
        <f t="shared" si="283"/>
        <v>90.257973907443258</v>
      </c>
      <c r="AS457" s="42" t="str">
        <f t="shared" si="284"/>
        <v>-0.000115733412157392-0.000136625775071528i</v>
      </c>
      <c r="AT457" s="20">
        <f t="shared" si="285"/>
        <v>-74.940253050236393</v>
      </c>
      <c r="AU457" s="44">
        <f t="shared" si="286"/>
        <v>-130.26737812789793</v>
      </c>
    </row>
    <row r="458" spans="14:47" x14ac:dyDescent="0.3">
      <c r="N458" s="8">
        <v>40</v>
      </c>
      <c r="O458" s="35">
        <f t="shared" si="287"/>
        <v>251188.64315095844</v>
      </c>
      <c r="P458" s="34" t="str">
        <f t="shared" si="255"/>
        <v>545.10556621881</v>
      </c>
      <c r="Q458" s="4" t="str">
        <f t="shared" si="256"/>
        <v>1+33716.0981472135i</v>
      </c>
      <c r="R458" s="4">
        <f t="shared" si="264"/>
        <v>33716.098162043214</v>
      </c>
      <c r="S458" s="4">
        <f t="shared" si="265"/>
        <v>1.5707666673724052</v>
      </c>
      <c r="T458" s="4" t="str">
        <f t="shared" si="257"/>
        <v>1+0.78913239598824i</v>
      </c>
      <c r="U458" s="4">
        <f t="shared" si="266"/>
        <v>1.2738641758045246</v>
      </c>
      <c r="V458" s="4">
        <f t="shared" si="267"/>
        <v>0.66807913640737593</v>
      </c>
      <c r="W458" t="str">
        <f t="shared" si="258"/>
        <v>1-0.819750732952581i</v>
      </c>
      <c r="X458" s="4">
        <f t="shared" si="268"/>
        <v>1.2930550120456183</v>
      </c>
      <c r="Y458" s="4">
        <f t="shared" si="269"/>
        <v>-0.68666858403605846</v>
      </c>
      <c r="Z458" t="str">
        <f t="shared" si="259"/>
        <v>-3.03812700467326+3.54987945453651i</v>
      </c>
      <c r="AA458" s="4">
        <f t="shared" si="270"/>
        <v>4.6724575801461636</v>
      </c>
      <c r="AB458" s="4">
        <f t="shared" si="271"/>
        <v>2.2786707592388109</v>
      </c>
      <c r="AC458" s="48" t="str">
        <f t="shared" si="272"/>
        <v>-0.00426066020974138+0.00378566645943343i</v>
      </c>
      <c r="AD458" s="20">
        <f t="shared" si="273"/>
        <v>-44.883238674344888</v>
      </c>
      <c r="AE458" s="44">
        <f t="shared" si="274"/>
        <v>138.37838506287363</v>
      </c>
      <c r="AF458" t="str">
        <f t="shared" si="260"/>
        <v>-0.0000333790427773504</v>
      </c>
      <c r="AG458" t="str">
        <f t="shared" si="261"/>
        <v>0.00855419517251251i</v>
      </c>
      <c r="AH458">
        <f t="shared" si="275"/>
        <v>8.55419517251251E-3</v>
      </c>
      <c r="AI458">
        <f t="shared" si="276"/>
        <v>1.5707963267948966</v>
      </c>
      <c r="AJ458" t="str">
        <f t="shared" si="262"/>
        <v>1+197.079264060827i</v>
      </c>
      <c r="AK458">
        <f t="shared" si="277"/>
        <v>197.08180109476669</v>
      </c>
      <c r="AL458">
        <f t="shared" si="278"/>
        <v>1.5657222698019777</v>
      </c>
      <c r="AM458" t="str">
        <f t="shared" si="263"/>
        <v>1+1483.56890445789i</v>
      </c>
      <c r="AN458">
        <f t="shared" si="279"/>
        <v>1483.5692414829798</v>
      </c>
      <c r="AO458">
        <f t="shared" si="280"/>
        <v>1.5701222766408747</v>
      </c>
      <c r="AP458" s="42" t="str">
        <f t="shared" si="281"/>
        <v>-0.000129243280065115+0.0293732375297583i</v>
      </c>
      <c r="AQ458">
        <f t="shared" si="282"/>
        <v>-30.640879574673537</v>
      </c>
      <c r="AR458" s="44">
        <f t="shared" si="283"/>
        <v>90.25210182169748</v>
      </c>
      <c r="AS458" s="42" t="str">
        <f t="shared" si="284"/>
        <v>-0.000110646618420627-0.000125638656324773i</v>
      </c>
      <c r="AT458" s="20">
        <f t="shared" si="285"/>
        <v>-75.524118249018443</v>
      </c>
      <c r="AU458" s="44">
        <f t="shared" si="286"/>
        <v>-131.36951311542879</v>
      </c>
    </row>
    <row r="459" spans="14:47" x14ac:dyDescent="0.3">
      <c r="N459" s="8">
        <v>41</v>
      </c>
      <c r="O459" s="35">
        <f t="shared" si="287"/>
        <v>257039.57827688678</v>
      </c>
      <c r="P459" s="34" t="str">
        <f t="shared" si="255"/>
        <v>545.10556621881</v>
      </c>
      <c r="Q459" s="4" t="str">
        <f t="shared" si="256"/>
        <v>1+34501.4469610936i</v>
      </c>
      <c r="R459" s="4">
        <f t="shared" si="264"/>
        <v>34501.446975585743</v>
      </c>
      <c r="S459" s="4">
        <f t="shared" si="265"/>
        <v>1.5707673425032858</v>
      </c>
      <c r="T459" s="4" t="str">
        <f t="shared" si="257"/>
        <v>1+0.807513650796485i</v>
      </c>
      <c r="U459" s="4">
        <f t="shared" si="266"/>
        <v>1.2853319789932356</v>
      </c>
      <c r="V459" s="4">
        <f t="shared" si="267"/>
        <v>0.67930567415543253</v>
      </c>
      <c r="W459" t="str">
        <f t="shared" si="258"/>
        <v>1-0.838845180447386i</v>
      </c>
      <c r="X459" s="4">
        <f t="shared" si="268"/>
        <v>1.3052437461102073</v>
      </c>
      <c r="Y459" s="4">
        <f t="shared" si="269"/>
        <v>-0.69798236427036808</v>
      </c>
      <c r="Z459" t="str">
        <f t="shared" si="259"/>
        <v>-3.22843806724862+3.63256676926862i</v>
      </c>
      <c r="AA459" s="4">
        <f t="shared" si="270"/>
        <v>4.8598717768326631</v>
      </c>
      <c r="AB459" s="4">
        <f t="shared" si="271"/>
        <v>2.297360207097312</v>
      </c>
      <c r="AC459" s="48" t="str">
        <f t="shared" si="272"/>
        <v>-0.00400848199121614+0.00369859414369i</v>
      </c>
      <c r="AD459" s="20">
        <f t="shared" si="273"/>
        <v>-45.265491397214973</v>
      </c>
      <c r="AE459" s="44">
        <f t="shared" si="274"/>
        <v>137.30252127074522</v>
      </c>
      <c r="AF459" t="str">
        <f t="shared" si="260"/>
        <v>-0.0000333790427773504</v>
      </c>
      <c r="AG459" t="str">
        <f t="shared" si="261"/>
        <v>0.00875344797463391i</v>
      </c>
      <c r="AH459">
        <f t="shared" si="275"/>
        <v>8.7534479746339093E-3</v>
      </c>
      <c r="AI459">
        <f t="shared" si="276"/>
        <v>1.5707963267948966</v>
      </c>
      <c r="AJ459" t="str">
        <f t="shared" si="262"/>
        <v>1+201.669829837292i</v>
      </c>
      <c r="AK459">
        <f t="shared" si="277"/>
        <v>201.67230912200694</v>
      </c>
      <c r="AL459">
        <f t="shared" si="278"/>
        <v>1.5658377675249089</v>
      </c>
      <c r="AM459" t="str">
        <f t="shared" si="263"/>
        <v>1+1518.1256634974i</v>
      </c>
      <c r="AN459">
        <f t="shared" si="279"/>
        <v>1518.1259928508639</v>
      </c>
      <c r="AO459">
        <f t="shared" si="280"/>
        <v>1.5701376198911055</v>
      </c>
      <c r="AP459" s="42" t="str">
        <f t="shared" si="281"/>
        <v>-0.000123426517276172+0.0287046498570554i</v>
      </c>
      <c r="AQ459">
        <f t="shared" si="282"/>
        <v>-30.840874631076744</v>
      </c>
      <c r="AR459" s="44">
        <f t="shared" si="283"/>
        <v>90.246363393112389</v>
      </c>
      <c r="AS459" s="42" t="str">
        <f t="shared" si="284"/>
        <v>-0.000105672096886237-0.000115518576610145i</v>
      </c>
      <c r="AT459" s="20">
        <f t="shared" si="285"/>
        <v>-76.106366028291731</v>
      </c>
      <c r="AU459" s="44">
        <f t="shared" si="286"/>
        <v>-132.45111533614246</v>
      </c>
    </row>
    <row r="460" spans="14:47" x14ac:dyDescent="0.3">
      <c r="N460" s="8">
        <v>42</v>
      </c>
      <c r="O460" s="35">
        <f t="shared" si="287"/>
        <v>263026.79918953858</v>
      </c>
      <c r="P460" s="34" t="str">
        <f t="shared" si="255"/>
        <v>545.10556621881</v>
      </c>
      <c r="Q460" s="4" t="str">
        <f t="shared" si="256"/>
        <v>1+35305.0888988331i</v>
      </c>
      <c r="R460" s="4">
        <f t="shared" si="264"/>
        <v>35305.088912995358</v>
      </c>
      <c r="S460" s="4">
        <f t="shared" si="265"/>
        <v>1.5707680022663111</v>
      </c>
      <c r="T460" s="4" t="str">
        <f t="shared" si="257"/>
        <v>1+0.82632306003109i</v>
      </c>
      <c r="U460" s="4">
        <f t="shared" si="266"/>
        <v>1.2972315905570386</v>
      </c>
      <c r="V460" s="4">
        <f t="shared" si="267"/>
        <v>0.69058677646801558</v>
      </c>
      <c r="W460" t="str">
        <f t="shared" si="258"/>
        <v>1-0.858384394760294i</v>
      </c>
      <c r="X460" s="4">
        <f t="shared" si="268"/>
        <v>1.3178860987080774</v>
      </c>
      <c r="Y460" s="4">
        <f t="shared" si="269"/>
        <v>-0.70934154313206599</v>
      </c>
      <c r="Z460" t="str">
        <f t="shared" si="259"/>
        <v>-3.42771821388119+3.71718011898452i</v>
      </c>
      <c r="AA460" s="4">
        <f t="shared" si="270"/>
        <v>5.0563504813992699</v>
      </c>
      <c r="AB460" s="4">
        <f t="shared" si="271"/>
        <v>2.3157035438155358</v>
      </c>
      <c r="AC460" s="48" t="str">
        <f t="shared" si="272"/>
        <v>-0.00377082116462378+0.00361015256064161i</v>
      </c>
      <c r="AD460" s="20">
        <f t="shared" si="273"/>
        <v>-45.645969382207781</v>
      </c>
      <c r="AE460" s="44">
        <f t="shared" si="274"/>
        <v>136.24701423622349</v>
      </c>
      <c r="AF460" t="str">
        <f t="shared" si="260"/>
        <v>-0.0000333790427773504</v>
      </c>
      <c r="AG460" t="str">
        <f t="shared" si="261"/>
        <v>0.00895734197073704i</v>
      </c>
      <c r="AH460">
        <f t="shared" si="275"/>
        <v>8.95734197073704E-3</v>
      </c>
      <c r="AI460">
        <f t="shared" si="276"/>
        <v>1.5707963267948966</v>
      </c>
      <c r="AJ460" t="str">
        <f t="shared" si="262"/>
        <v>1+206.367323626953i</v>
      </c>
      <c r="AK460">
        <f t="shared" si="277"/>
        <v>206.36974647692804</v>
      </c>
      <c r="AL460">
        <f t="shared" si="278"/>
        <v>1.5659506363265256</v>
      </c>
      <c r="AM460" t="str">
        <f t="shared" si="263"/>
        <v>1+1553.48735285845i</v>
      </c>
      <c r="AN460">
        <f t="shared" si="279"/>
        <v>1553.4876747149153</v>
      </c>
      <c r="AO460">
        <f t="shared" si="280"/>
        <v>1.5701526138866211</v>
      </c>
      <c r="AP460" s="42" t="str">
        <f t="shared" si="281"/>
        <v>-0.000117871539354092+0.0280512791727325i</v>
      </c>
      <c r="AQ460">
        <f t="shared" si="282"/>
        <v>-31.040869909973079</v>
      </c>
      <c r="AR460" s="44">
        <f t="shared" si="283"/>
        <v>90.240755579802141</v>
      </c>
      <c r="AS460" s="42" t="str">
        <f t="shared" si="284"/>
        <v>-0.00010082492483941-0.000106201891438936i</v>
      </c>
      <c r="AT460" s="20">
        <f t="shared" si="285"/>
        <v>-76.686839292180849</v>
      </c>
      <c r="AU460" s="44">
        <f t="shared" si="286"/>
        <v>-133.51223018397442</v>
      </c>
    </row>
    <row r="461" spans="14:47" x14ac:dyDescent="0.3">
      <c r="N461" s="8">
        <v>43</v>
      </c>
      <c r="O461" s="35">
        <f t="shared" si="287"/>
        <v>269153.48039269145</v>
      </c>
      <c r="P461" s="34" t="str">
        <f t="shared" si="255"/>
        <v>545.10556621881</v>
      </c>
      <c r="Q461" s="4" t="str">
        <f t="shared" si="256"/>
        <v>1+36127.4500620251i</v>
      </c>
      <c r="R461" s="4">
        <f t="shared" si="264"/>
        <v>36127.450075864988</v>
      </c>
      <c r="S461" s="4">
        <f t="shared" si="265"/>
        <v>1.5707686470112965</v>
      </c>
      <c r="T461" s="4" t="str">
        <f t="shared" si="257"/>
        <v>1+0.845570596689805i</v>
      </c>
      <c r="U461" s="4">
        <f t="shared" si="266"/>
        <v>1.3095761276024975</v>
      </c>
      <c r="V461" s="4">
        <f t="shared" si="267"/>
        <v>0.70191694008659855</v>
      </c>
      <c r="W461" t="str">
        <f t="shared" si="258"/>
        <v>1-0.878378735841367i</v>
      </c>
      <c r="X461" s="4">
        <f t="shared" si="268"/>
        <v>1.3309955685795043</v>
      </c>
      <c r="Y461" s="4">
        <f t="shared" si="269"/>
        <v>-0.72074041875338457</v>
      </c>
      <c r="Z461" t="str">
        <f t="shared" si="259"/>
        <v>-3.63639014447995+3.8037643668022i</v>
      </c>
      <c r="AA461" s="4">
        <f t="shared" si="270"/>
        <v>5.2623147607326812</v>
      </c>
      <c r="AB461" s="4">
        <f t="shared" si="271"/>
        <v>2.3337022158572736</v>
      </c>
      <c r="AC461" s="48" t="str">
        <f t="shared" si="272"/>
        <v>-0.00354697629800247+0.0035208501321099i</v>
      </c>
      <c r="AD461" s="20">
        <f t="shared" si="273"/>
        <v>-46.024523101366917</v>
      </c>
      <c r="AE461" s="44">
        <f t="shared" si="274"/>
        <v>135.21179244246665</v>
      </c>
      <c r="AF461" t="str">
        <f t="shared" si="260"/>
        <v>-0.0000333790427773504</v>
      </c>
      <c r="AG461" t="str">
        <f t="shared" si="261"/>
        <v>0.00916598526811748i</v>
      </c>
      <c r="AH461">
        <f t="shared" si="275"/>
        <v>9.1659852681174794E-3</v>
      </c>
      <c r="AI461">
        <f t="shared" si="276"/>
        <v>1.5707963267948966</v>
      </c>
      <c r="AJ461" t="str">
        <f t="shared" si="262"/>
        <v>1+211.174236103196i</v>
      </c>
      <c r="AK461">
        <f t="shared" si="277"/>
        <v>211.17660380299796</v>
      </c>
      <c r="AL461">
        <f t="shared" si="278"/>
        <v>1.5660609360398507</v>
      </c>
      <c r="AM461" t="str">
        <f t="shared" si="263"/>
        <v>1+1589.67272177684i</v>
      </c>
      <c r="AN461">
        <f t="shared" si="279"/>
        <v>1589.6730363069591</v>
      </c>
      <c r="AO461">
        <f t="shared" si="280"/>
        <v>1.5701672665774093</v>
      </c>
      <c r="AP461" s="42" t="str">
        <f t="shared" si="281"/>
        <v>-0.000112566565146217+0.0274127792243304i</v>
      </c>
      <c r="AQ461">
        <f t="shared" si="282"/>
        <v>-31.240865401349041</v>
      </c>
      <c r="AR461" s="44">
        <f t="shared" si="283"/>
        <v>90.235275409087791</v>
      </c>
      <c r="AS461" s="42" t="str">
        <f t="shared" si="284"/>
        <v>-0.000096117016414962-0.0000976288081768407i</v>
      </c>
      <c r="AT461" s="20">
        <f t="shared" si="285"/>
        <v>-77.265388502715965</v>
      </c>
      <c r="AU461" s="44">
        <f t="shared" si="286"/>
        <v>-134.55293214844551</v>
      </c>
    </row>
    <row r="462" spans="14:47" x14ac:dyDescent="0.3">
      <c r="N462" s="8">
        <v>44</v>
      </c>
      <c r="O462" s="35">
        <f t="shared" si="287"/>
        <v>275422.87033381703</v>
      </c>
      <c r="P462" s="34" t="str">
        <f t="shared" si="255"/>
        <v>545.10556621881</v>
      </c>
      <c r="Q462" s="4" t="str">
        <f t="shared" si="256"/>
        <v>1+36968.9664774432i</v>
      </c>
      <c r="R462" s="4">
        <f t="shared" si="264"/>
        <v>36968.966490968058</v>
      </c>
      <c r="S462" s="4">
        <f t="shared" si="265"/>
        <v>1.5707692770800941</v>
      </c>
      <c r="T462" s="4" t="str">
        <f t="shared" si="257"/>
        <v>1+0.865266466071335i</v>
      </c>
      <c r="U462" s="4">
        <f t="shared" si="266"/>
        <v>1.3223789386206877</v>
      </c>
      <c r="V462" s="4">
        <f t="shared" si="267"/>
        <v>0.7132905373379449</v>
      </c>
      <c r="W462" t="str">
        <f t="shared" si="258"/>
        <v>1-0.8988388049549i</v>
      </c>
      <c r="X462" s="4">
        <f t="shared" si="268"/>
        <v>1.3445858831970356</v>
      </c>
      <c r="Y462" s="4">
        <f t="shared" si="269"/>
        <v>-0.7321731870157695</v>
      </c>
      <c r="Z462" t="str">
        <f t="shared" si="259"/>
        <v>-3.85489648018682+3.89236542083594i</v>
      </c>
      <c r="AA462" s="4">
        <f t="shared" si="270"/>
        <v>5.4782054947104788</v>
      </c>
      <c r="AB462" s="4">
        <f t="shared" si="271"/>
        <v>2.3513581171629805</v>
      </c>
      <c r="AC462" s="48" t="str">
        <f t="shared" si="272"/>
        <v>-0.00333625950003739+0.00343113941714872i</v>
      </c>
      <c r="AD462" s="20">
        <f t="shared" si="273"/>
        <v>-46.401010820819479</v>
      </c>
      <c r="AE462" s="44">
        <f t="shared" si="274"/>
        <v>134.19675746466538</v>
      </c>
      <c r="AF462" t="str">
        <f t="shared" si="260"/>
        <v>-0.0000333790427773504</v>
      </c>
      <c r="AG462" t="str">
        <f t="shared" si="261"/>
        <v>0.00937948849221326i</v>
      </c>
      <c r="AH462">
        <f t="shared" si="275"/>
        <v>9.3794884922132598E-3</v>
      </c>
      <c r="AI462">
        <f t="shared" si="276"/>
        <v>1.5707963267948966</v>
      </c>
      <c r="AJ462" t="str">
        <f t="shared" si="262"/>
        <v>1+216.093115954642i</v>
      </c>
      <c r="AK462">
        <f t="shared" si="277"/>
        <v>216.09542975960034</v>
      </c>
      <c r="AL462">
        <f t="shared" si="278"/>
        <v>1.5661687251365108</v>
      </c>
      <c r="AM462" t="str">
        <f t="shared" si="263"/>
        <v>1+1626.70095621411i</v>
      </c>
      <c r="AN462">
        <f t="shared" si="279"/>
        <v>1626.7012635846511</v>
      </c>
      <c r="AO462">
        <f t="shared" si="280"/>
        <v>1.5701815857324961</v>
      </c>
      <c r="AP462" s="42" t="str">
        <f t="shared" si="281"/>
        <v>-0.000107500343641684+0.0267888116324822i</v>
      </c>
      <c r="AQ462">
        <f t="shared" si="282"/>
        <v>-31.44086109564201</v>
      </c>
      <c r="AR462" s="44">
        <f t="shared" si="283"/>
        <v>90.22991997592429</v>
      </c>
      <c r="AS462" s="42" t="str">
        <f t="shared" si="284"/>
        <v>-0.00009155749848805-0.0000897432759700069i</v>
      </c>
      <c r="AT462" s="20">
        <f t="shared" si="285"/>
        <v>-77.841871916461486</v>
      </c>
      <c r="AU462" s="44">
        <f t="shared" si="286"/>
        <v>-135.57332255941031</v>
      </c>
    </row>
    <row r="463" spans="14:47" x14ac:dyDescent="0.3">
      <c r="N463" s="8">
        <v>45</v>
      </c>
      <c r="O463" s="35">
        <f t="shared" si="287"/>
        <v>281838.29312644573</v>
      </c>
      <c r="P463" s="34" t="str">
        <f t="shared" si="255"/>
        <v>545.10556621881</v>
      </c>
      <c r="Q463" s="4" t="str">
        <f t="shared" si="256"/>
        <v>1+37830.0843282298i</v>
      </c>
      <c r="R463" s="4">
        <f t="shared" si="264"/>
        <v>37830.084341446796</v>
      </c>
      <c r="S463" s="4">
        <f t="shared" si="265"/>
        <v>1.570769892806775</v>
      </c>
      <c r="T463" s="4" t="str">
        <f t="shared" si="257"/>
        <v>1+0.88542111118633i</v>
      </c>
      <c r="U463" s="4">
        <f t="shared" si="266"/>
        <v>1.3356536018498342</v>
      </c>
      <c r="V463" s="4">
        <f t="shared" si="267"/>
        <v>0.72470182931480764</v>
      </c>
      <c r="W463" t="str">
        <f t="shared" si="258"/>
        <v>1-0.919775450300357i</v>
      </c>
      <c r="X463" s="4">
        <f t="shared" si="268"/>
        <v>1.3586709973261462</v>
      </c>
      <c r="Y463" s="4">
        <f t="shared" si="269"/>
        <v>-0.74363395581898384</v>
      </c>
      <c r="Z463" t="str">
        <f t="shared" si="259"/>
        <v>-4.08370070223544+3.98303025853735i</v>
      </c>
      <c r="AA463" s="4">
        <f t="shared" si="270"/>
        <v>5.7044843295307892</v>
      </c>
      <c r="AB463" s="4">
        <f t="shared" si="271"/>
        <v>2.3686735499792073</v>
      </c>
      <c r="AC463" s="48" t="str">
        <f t="shared" si="272"/>
        <v>-0.00313799910893265+0.00334142089556138i</v>
      </c>
      <c r="AD463" s="20">
        <f t="shared" si="273"/>
        <v>-46.775298794003781</v>
      </c>
      <c r="AE463" s="44">
        <f t="shared" si="274"/>
        <v>133.20178615197941</v>
      </c>
      <c r="AF463" t="str">
        <f t="shared" si="260"/>
        <v>-0.0000333790427773504</v>
      </c>
      <c r="AG463" t="str">
        <f t="shared" si="261"/>
        <v>0.0095979648452598i</v>
      </c>
      <c r="AH463">
        <f t="shared" si="275"/>
        <v>9.5979648452598001E-3</v>
      </c>
      <c r="AI463">
        <f t="shared" si="276"/>
        <v>1.5707963267948966</v>
      </c>
      <c r="AJ463" t="str">
        <f t="shared" si="262"/>
        <v>1+221.126571236497i</v>
      </c>
      <c r="AK463">
        <f t="shared" si="277"/>
        <v>221.12883237336911</v>
      </c>
      <c r="AL463">
        <f t="shared" si="278"/>
        <v>1.5662740607576875</v>
      </c>
      <c r="AM463" t="str">
        <f t="shared" si="263"/>
        <v>1+1664.5916890303i</v>
      </c>
      <c r="AN463">
        <f t="shared" si="279"/>
        <v>1664.5919894042343</v>
      </c>
      <c r="AO463">
        <f t="shared" si="280"/>
        <v>1.5701955789440629</v>
      </c>
      <c r="AP463" s="42" t="str">
        <f t="shared" si="281"/>
        <v>-0.000102662130119687+0.0261790457122734i</v>
      </c>
      <c r="AQ463">
        <f t="shared" si="282"/>
        <v>-31.640856983719608</v>
      </c>
      <c r="AR463" s="44">
        <f t="shared" si="283"/>
        <v>90.224686441363104</v>
      </c>
      <c r="AS463" s="42" t="str">
        <f t="shared" si="284"/>
        <v>-0.0000871530566960102-0.0000824928595045858i</v>
      </c>
      <c r="AT463" s="20">
        <f t="shared" si="285"/>
        <v>-78.41615577772339</v>
      </c>
      <c r="AU463" s="44">
        <f t="shared" si="286"/>
        <v>-136.57352740665746</v>
      </c>
    </row>
    <row r="464" spans="14:47" x14ac:dyDescent="0.3">
      <c r="N464" s="8">
        <v>46</v>
      </c>
      <c r="O464" s="35">
        <f t="shared" si="287"/>
        <v>288403.1503126609</v>
      </c>
      <c r="P464" s="34" t="str">
        <f t="shared" si="255"/>
        <v>545.10556621881</v>
      </c>
      <c r="Q464" s="4" t="str">
        <f t="shared" si="256"/>
        <v>1+38711.2601904675i</v>
      </c>
      <c r="R464" s="4">
        <f t="shared" si="264"/>
        <v>38711.260203383637</v>
      </c>
      <c r="S464" s="4">
        <f t="shared" si="265"/>
        <v>1.5707704945178058</v>
      </c>
      <c r="T464" s="4" t="str">
        <f t="shared" si="257"/>
        <v>1+0.90604521829441i</v>
      </c>
      <c r="U464" s="4">
        <f t="shared" si="266"/>
        <v>1.3494139237439953</v>
      </c>
      <c r="V464" s="4">
        <f t="shared" si="267"/>
        <v>0.73614497974003168</v>
      </c>
      <c r="W464" t="str">
        <f t="shared" si="258"/>
        <v>1-0.941199772764231i</v>
      </c>
      <c r="X464" s="4">
        <f t="shared" si="268"/>
        <v>1.3732650917617617</v>
      </c>
      <c r="Y464" s="4">
        <f t="shared" si="269"/>
        <v>-0.75511675990169158</v>
      </c>
      <c r="Z464" t="str">
        <f t="shared" si="259"/>
        <v>-4.32328813505713+4.07580695160347i</v>
      </c>
      <c r="AA464" s="4">
        <f t="shared" si="270"/>
        <v>5.9416346745205502</v>
      </c>
      <c r="AB464" s="4">
        <f t="shared" si="271"/>
        <v>2.3856511872769177</v>
      </c>
      <c r="AC464" s="48" t="str">
        <f t="shared" si="272"/>
        <v>-0.00295154191685612+0.00325204672806301i</v>
      </c>
      <c r="AD464" s="20">
        <f t="shared" si="273"/>
        <v>-47.147261413036681</v>
      </c>
      <c r="AE464" s="44">
        <f t="shared" si="274"/>
        <v>132.226732725998</v>
      </c>
      <c r="AF464" t="str">
        <f t="shared" si="260"/>
        <v>-0.0000333790427773504</v>
      </c>
      <c r="AG464" t="str">
        <f t="shared" si="261"/>
        <v>0.00982153016631139i</v>
      </c>
      <c r="AH464">
        <f t="shared" si="275"/>
        <v>9.8215301663113902E-3</v>
      </c>
      <c r="AI464">
        <f t="shared" si="276"/>
        <v>1.5707963267948966</v>
      </c>
      <c r="AJ464" t="str">
        <f t="shared" si="262"/>
        <v>1+226.277270753379i</v>
      </c>
      <c r="AK464">
        <f t="shared" si="277"/>
        <v>226.27948042100061</v>
      </c>
      <c r="AL464">
        <f t="shared" si="278"/>
        <v>1.5663769987443654</v>
      </c>
      <c r="AM464" t="str">
        <f t="shared" si="263"/>
        <v>1+1703.3650103935i</v>
      </c>
      <c r="AN464">
        <f t="shared" si="279"/>
        <v>1703.36530393009</v>
      </c>
      <c r="AO464">
        <f t="shared" si="280"/>
        <v>1.570209253631474</v>
      </c>
      <c r="AP464" s="42" t="str">
        <f t="shared" si="281"/>
        <v>-0.0000980416633704873+0.0255831582986286i</v>
      </c>
      <c r="AQ464">
        <f t="shared" si="282"/>
        <v>-31.840853056860361</v>
      </c>
      <c r="AR464" s="44">
        <f t="shared" si="283"/>
        <v>90.219572031049708</v>
      </c>
      <c r="AS464" s="42" t="str">
        <f t="shared" si="284"/>
        <v>-0.0000829082521595369-0.0000758286001545457i</v>
      </c>
      <c r="AT464" s="20">
        <f t="shared" si="285"/>
        <v>-78.988114469897027</v>
      </c>
      <c r="AU464" s="44">
        <f t="shared" si="286"/>
        <v>-137.55369524295227</v>
      </c>
    </row>
    <row r="465" spans="14:47" x14ac:dyDescent="0.3">
      <c r="N465" s="8">
        <v>47</v>
      </c>
      <c r="O465" s="35">
        <f t="shared" si="287"/>
        <v>295120.92266663886</v>
      </c>
      <c r="P465" s="34" t="str">
        <f t="shared" si="255"/>
        <v>545.10556621881</v>
      </c>
      <c r="Q465" s="4" t="str">
        <f t="shared" si="256"/>
        <v>1+39612.9612752623i</v>
      </c>
      <c r="R465" s="4">
        <f t="shared" si="264"/>
        <v>39612.961287884435</v>
      </c>
      <c r="S465" s="4">
        <f t="shared" si="265"/>
        <v>1.5707710825322212</v>
      </c>
      <c r="T465" s="4" t="str">
        <f t="shared" si="257"/>
        <v>1+0.927149722570155i</v>
      </c>
      <c r="U465" s="4">
        <f t="shared" si="266"/>
        <v>1.3636739375898901</v>
      </c>
      <c r="V465" s="4">
        <f t="shared" si="267"/>
        <v>0.74761406943655306</v>
      </c>
      <c r="W465" t="str">
        <f t="shared" si="258"/>
        <v>1-0.963123131805874i</v>
      </c>
      <c r="X465" s="4">
        <f t="shared" si="268"/>
        <v>1.3883825722831424</v>
      </c>
      <c r="Y465" s="4">
        <f t="shared" si="269"/>
        <v>-0.76661557612503906</v>
      </c>
      <c r="Z465" t="str">
        <f t="shared" si="259"/>
        <v>-4.57416697571894+4.17074469146501i</v>
      </c>
      <c r="AA465" s="4">
        <f t="shared" si="270"/>
        <v>6.190162744479446</v>
      </c>
      <c r="AB465" s="4">
        <f t="shared" si="271"/>
        <v>2.4022940368806527</v>
      </c>
      <c r="AC465" s="48" t="str">
        <f t="shared" si="272"/>
        <v>-0.00277625496627029+0.00316332445219519i</v>
      </c>
      <c r="AD465" s="20">
        <f t="shared" si="273"/>
        <v>-47.51678131984562</v>
      </c>
      <c r="AE465" s="44">
        <f t="shared" si="274"/>
        <v>131.27143078936203</v>
      </c>
      <c r="AF465" t="str">
        <f t="shared" si="260"/>
        <v>-0.0000333790427773504</v>
      </c>
      <c r="AG465" t="str">
        <f t="shared" si="261"/>
        <v>0.0100503029926605i</v>
      </c>
      <c r="AH465">
        <f t="shared" si="275"/>
        <v>1.0050302992660499E-2</v>
      </c>
      <c r="AI465">
        <f t="shared" si="276"/>
        <v>1.5707963267948966</v>
      </c>
      <c r="AJ465" t="str">
        <f t="shared" si="262"/>
        <v>1+231.547945474347i</v>
      </c>
      <c r="AK465">
        <f t="shared" si="277"/>
        <v>231.55010484426728</v>
      </c>
      <c r="AL465">
        <f t="shared" si="278"/>
        <v>1.5664775936668969</v>
      </c>
      <c r="AM465" t="str">
        <f t="shared" si="263"/>
        <v>1+1743.0414784319i</v>
      </c>
      <c r="AN465">
        <f t="shared" si="279"/>
        <v>1743.0417652867829</v>
      </c>
      <c r="AO465">
        <f t="shared" si="280"/>
        <v>1.5702226170452094</v>
      </c>
      <c r="AP465" s="42" t="str">
        <f t="shared" si="281"/>
        <v>-0.0000936291439409594+0.0250008335756367i</v>
      </c>
      <c r="AQ465">
        <f t="shared" si="282"/>
        <v>-32.040849306735517</v>
      </c>
      <c r="AR465" s="44">
        <f t="shared" si="283"/>
        <v>90.214574033755113</v>
      </c>
      <c r="AS465" s="42" t="str">
        <f t="shared" si="284"/>
        <v>-0.0000788258097992203-0.0000697048677357249i</v>
      </c>
      <c r="AT465" s="20">
        <f t="shared" si="285"/>
        <v>-79.557630626581144</v>
      </c>
      <c r="AU465" s="44">
        <f t="shared" si="286"/>
        <v>-138.51399517688284</v>
      </c>
    </row>
    <row r="466" spans="14:47" x14ac:dyDescent="0.3">
      <c r="N466" s="8">
        <v>48</v>
      </c>
      <c r="O466" s="35">
        <f t="shared" si="287"/>
        <v>301995.17204020242</v>
      </c>
      <c r="P466" s="34" t="str">
        <f t="shared" si="255"/>
        <v>545.10556621881</v>
      </c>
      <c r="Q466" s="4" t="str">
        <f t="shared" si="256"/>
        <v>1+40535.6656764648i</v>
      </c>
      <c r="R466" s="4">
        <f t="shared" si="264"/>
        <v>40535.665688799607</v>
      </c>
      <c r="S466" s="4">
        <f t="shared" si="265"/>
        <v>1.5707716571617942</v>
      </c>
      <c r="T466" s="4" t="str">
        <f t="shared" si="257"/>
        <v>1+0.948745813901085i</v>
      </c>
      <c r="U466" s="4">
        <f t="shared" si="266"/>
        <v>1.3784479023143501</v>
      </c>
      <c r="V466" s="4">
        <f t="shared" si="267"/>
        <v>0.75910311131887509</v>
      </c>
      <c r="W466" t="str">
        <f t="shared" si="258"/>
        <v>1-0.985557151480444i</v>
      </c>
      <c r="X466" s="4">
        <f t="shared" si="268"/>
        <v>1.4040380688693048</v>
      </c>
      <c r="Y466" s="4">
        <f t="shared" si="269"/>
        <v>-0.77812433912534851</v>
      </c>
      <c r="Z466" t="str">
        <f t="shared" si="259"/>
        <v>-4.83686937187786+4.2678938153683i</v>
      </c>
      <c r="AA466" s="4">
        <f t="shared" si="270"/>
        <v>6.4505986497277217</v>
      </c>
      <c r="AB466" s="4">
        <f t="shared" si="271"/>
        <v>2.4186054073945602</v>
      </c>
      <c r="AC466" s="48" t="str">
        <f t="shared" si="272"/>
        <v>-0.00261152695560227+0.00307552058027737i</v>
      </c>
      <c r="AD466" s="20">
        <f t="shared" si="273"/>
        <v>-47.883749478734636</v>
      </c>
      <c r="AE466" s="44">
        <f t="shared" si="274"/>
        <v>130.33569524016369</v>
      </c>
      <c r="AF466" t="str">
        <f t="shared" si="260"/>
        <v>-0.0000333790427773504</v>
      </c>
      <c r="AG466" t="str">
        <f t="shared" si="261"/>
        <v>0.0102844046226878i</v>
      </c>
      <c r="AH466">
        <f t="shared" si="275"/>
        <v>1.0284404622687799E-2</v>
      </c>
      <c r="AI466">
        <f t="shared" si="276"/>
        <v>1.5707963267948966</v>
      </c>
      <c r="AJ466" t="str">
        <f t="shared" si="262"/>
        <v>1+236.941389980906i</v>
      </c>
      <c r="AK466">
        <f t="shared" si="277"/>
        <v>236.94350019800876</v>
      </c>
      <c r="AL466">
        <f t="shared" si="278"/>
        <v>1.5665758988538931</v>
      </c>
      <c r="AM466" t="str">
        <f t="shared" si="263"/>
        <v>1+1783.64213013404i</v>
      </c>
      <c r="AN466">
        <f t="shared" si="279"/>
        <v>1783.6424104593091</v>
      </c>
      <c r="AO466">
        <f t="shared" si="280"/>
        <v>1.5702356762707086</v>
      </c>
      <c r="AP466" s="42" t="str">
        <f t="shared" si="281"/>
        <v>-0.0000894152133586227+0.0244317629097297i</v>
      </c>
      <c r="AQ466">
        <f t="shared" si="282"/>
        <v>-32.240845725391033</v>
      </c>
      <c r="AR466" s="44">
        <f t="shared" si="283"/>
        <v>90.209689799940804</v>
      </c>
      <c r="AS466" s="42" t="str">
        <f t="shared" si="284"/>
        <v>-0.0000749068794014041-0.0000640792057405172i</v>
      </c>
      <c r="AT466" s="20">
        <f t="shared" si="285"/>
        <v>-80.124595204125654</v>
      </c>
      <c r="AU466" s="44">
        <f t="shared" si="286"/>
        <v>-139.45461495989551</v>
      </c>
    </row>
    <row r="467" spans="14:47" x14ac:dyDescent="0.3">
      <c r="N467" s="8">
        <v>49</v>
      </c>
      <c r="O467" s="35">
        <f t="shared" si="287"/>
        <v>309029.54325135931</v>
      </c>
      <c r="P467" s="34" t="str">
        <f t="shared" ref="P467:P530" si="288">COMPLEX(Adc,0)</f>
        <v>545.10556621881</v>
      </c>
      <c r="Q467" s="4" t="str">
        <f t="shared" ref="Q467:Q530" si="289">IMSUM(COMPLEX(1,0),IMDIV(COMPLEX(0,2*PI()*O467),COMPLEX(wp_lf,0)))</f>
        <v>1+41479.8626241619i</v>
      </c>
      <c r="R467" s="4">
        <f t="shared" si="264"/>
        <v>41479.862636215948</v>
      </c>
      <c r="S467" s="4">
        <f t="shared" si="265"/>
        <v>1.5707722187112014</v>
      </c>
      <c r="T467" s="4" t="str">
        <f t="shared" ref="T467:T530" si="290">IMSUM(COMPLEX(1,0),IMDIV(COMPLEX(0,2*PI()*O467),COMPLEX(wz_esr,0)))</f>
        <v>1+0.97084494282068i</v>
      </c>
      <c r="U467" s="4">
        <f t="shared" si="266"/>
        <v>1.3937503015248067</v>
      </c>
      <c r="V467" s="4">
        <f t="shared" si="267"/>
        <v>0.77060606581553648</v>
      </c>
      <c r="W467" t="str">
        <f t="shared" ref="W467:W530" si="291">IMSUB(COMPLEX(1,0),IMDIV(COMPLEX(0,2*PI()*O467),COMPLEX(wz_rhp,0)))</f>
        <v>1-1.00851372660212i</v>
      </c>
      <c r="X467" s="4">
        <f t="shared" si="268"/>
        <v>1.4202464352164015</v>
      </c>
      <c r="Y467" s="4">
        <f t="shared" si="269"/>
        <v>-0.7896369572376547</v>
      </c>
      <c r="Z467" t="str">
        <f t="shared" ref="Z467:Z530" si="292">IMSUM(COMPLEX(1,0),IMDIV(COMPLEX(0,2*PI()*O467),COMPLEX(Q*(wsl/2),0)),IMDIV(IMPOWER(COMPLEX(0,2*PI()*O467),2),IMPOWER(COMPLEX(wsl/2,0),2)))</f>
        <v>-5.11195255053722+4.36730583306475i</v>
      </c>
      <c r="AA467" s="4">
        <f t="shared" si="270"/>
        <v>6.7234975361388649</v>
      </c>
      <c r="AB467" s="4">
        <f t="shared" si="271"/>
        <v>2.4345888759793843</v>
      </c>
      <c r="AC467" s="48" t="str">
        <f t="shared" si="272"/>
        <v>-0.00245676929192572+0.00298886407230434i</v>
      </c>
      <c r="AD467" s="20">
        <f t="shared" si="273"/>
        <v>-48.248065212089983</v>
      </c>
      <c r="AE467" s="44">
        <f t="shared" si="274"/>
        <v>129.41932408947099</v>
      </c>
      <c r="AF467" t="str">
        <f t="shared" ref="AF467:AF530" si="293">COMPLEX(Adc_ea,0)</f>
        <v>-0.0000333790427773504</v>
      </c>
      <c r="AG467" t="str">
        <f t="shared" ref="AG467:AG530" si="294">COMPLEX(0,2*PI()*O467*wp0_ea)</f>
        <v>0.0105239591801762i</v>
      </c>
      <c r="AH467">
        <f t="shared" si="275"/>
        <v>1.05239591801762E-2</v>
      </c>
      <c r="AI467">
        <f t="shared" si="276"/>
        <v>1.5707963267948966</v>
      </c>
      <c r="AJ467" t="str">
        <f t="shared" ref="AJ467:AJ530" si="295">IMSUM(COMPLEX(1,0),IMDIV(COMPLEX(0,2*PI()*O467),COMPLEX(wp1_ea,0)))</f>
        <v>1+242.460463948722i</v>
      </c>
      <c r="AK467">
        <f t="shared" si="277"/>
        <v>242.46252613183248</v>
      </c>
      <c r="AL467">
        <f t="shared" si="278"/>
        <v>1.5666719664204609</v>
      </c>
      <c r="AM467" t="str">
        <f t="shared" ref="AM467:AM530" si="296">IMSUM(COMPLEX(1,0),IMDIV(COMPLEX(0,2*PI()*O467),COMPLEX(wz_ea,0)))</f>
        <v>1+1825.18849250288i</v>
      </c>
      <c r="AN467">
        <f t="shared" si="279"/>
        <v>1825.1887664471685</v>
      </c>
      <c r="AO467">
        <f t="shared" si="280"/>
        <v>1.570248438232128</v>
      </c>
      <c r="AP467" s="42" t="str">
        <f t="shared" si="281"/>
        <v>-0.0000853909342901755+0.0238756446866268i</v>
      </c>
      <c r="AQ467">
        <f t="shared" si="282"/>
        <v>-32.440842305230653</v>
      </c>
      <c r="AR467" s="44">
        <f t="shared" si="283"/>
        <v>90.204916740356012</v>
      </c>
      <c r="AS467" s="42" t="str">
        <f t="shared" si="284"/>
        <v>-0.0000711512707817899-0.0000589121725866346i</v>
      </c>
      <c r="AT467" s="20">
        <f t="shared" si="285"/>
        <v>-80.688907517320644</v>
      </c>
      <c r="AU467" s="44">
        <f t="shared" si="286"/>
        <v>-140.37575917017298</v>
      </c>
    </row>
    <row r="468" spans="14:47" x14ac:dyDescent="0.3">
      <c r="N468" s="8">
        <v>50</v>
      </c>
      <c r="O468" s="35">
        <f t="shared" si="287"/>
        <v>316227.7660168382</v>
      </c>
      <c r="P468" s="34" t="str">
        <f t="shared" si="288"/>
        <v>545.10556621881</v>
      </c>
      <c r="Q468" s="4" t="str">
        <f t="shared" si="289"/>
        <v>1+42446.0527440732i</v>
      </c>
      <c r="R468" s="4">
        <f t="shared" ref="R468:R531" si="297">IMABS(Q468)</f>
        <v>42446.052755852856</v>
      </c>
      <c r="S468" s="4">
        <f t="shared" ref="S468:S531" si="298">IMARGUMENT(Q468)</f>
        <v>1.5707727674781835</v>
      </c>
      <c r="T468" s="4" t="str">
        <f t="shared" si="290"/>
        <v>1+0.99345882657961i</v>
      </c>
      <c r="U468" s="4">
        <f t="shared" ref="U468:U531" si="299">IMABS(T468)</f>
        <v>1.4095958428247921</v>
      </c>
      <c r="V468" s="4">
        <f t="shared" ref="V468:V531" si="300">IMARGUMENT(T468)</f>
        <v>0.78211685662705388</v>
      </c>
      <c r="W468" t="str">
        <f t="shared" si="291"/>
        <v>1-1.0320050290509i</v>
      </c>
      <c r="X468" s="4">
        <f t="shared" ref="X468:X531" si="301">IMABS(W468)</f>
        <v>1.437022748597373</v>
      </c>
      <c r="Y468" s="4">
        <f t="shared" ref="Y468:Y531" si="302">IMARGUMENT(W468)</f>
        <v>-0.80114732858863069</v>
      </c>
      <c r="Z468" t="str">
        <f t="shared" si="292"/>
        <v>-5.4+4.46903345412201i</v>
      </c>
      <c r="AA468" s="4">
        <f t="shared" ref="AA468:AA531" si="303">IMABS(Z468)</f>
        <v>7.009440777555775</v>
      </c>
      <c r="AB468" s="4">
        <f t="shared" ref="AB468:AB531" si="304">IMARGUMENT(Z468)</f>
        <v>2.4502482580068303</v>
      </c>
      <c r="AC468" s="48" t="str">
        <f t="shared" ref="AC468:AC531" si="305">(IMDIV(IMPRODUCT(P468,T468,W468),IMPRODUCT(Q468,Z468)))</f>
        <v>-0.0023114168277926+0.00290354966271918i</v>
      </c>
      <c r="AD468" s="20">
        <f t="shared" ref="AD468:AD531" si="306">20*LOG(IMABS(AC468))</f>
        <v>-48.609636200958057</v>
      </c>
      <c r="AE468" s="44">
        <f t="shared" ref="AE468:AE531" si="307">(180/PI())*IMARGUMENT(AC468)</f>
        <v>128.522100180802</v>
      </c>
      <c r="AF468" t="str">
        <f t="shared" si="293"/>
        <v>-0.0000333790427773504</v>
      </c>
      <c r="AG468" t="str">
        <f t="shared" si="294"/>
        <v>0.010769093680123i</v>
      </c>
      <c r="AH468">
        <f t="shared" ref="AH468:AH531" si="308">IMABS(AG468)</f>
        <v>1.0769093680123E-2</v>
      </c>
      <c r="AI468">
        <f t="shared" ref="AI468:AI531" si="309">IMARGUMENT(AG468)</f>
        <v>1.5707963267948966</v>
      </c>
      <c r="AJ468" t="str">
        <f t="shared" si="295"/>
        <v>1+248.108093663867i</v>
      </c>
      <c r="AK468">
        <f t="shared" ref="AK468:AK531" si="310">IMABS(AJ468)</f>
        <v>248.11010890634464</v>
      </c>
      <c r="AL468">
        <f t="shared" ref="AL468:AL531" si="311">IMARGUMENT(AJ468)</f>
        <v>1.5667658472957988</v>
      </c>
      <c r="AM468" t="str">
        <f t="shared" si="296"/>
        <v>1+1867.70259396967i</v>
      </c>
      <c r="AN468">
        <f t="shared" ref="AN468:AN531" si="312">IMABS(AM468)</f>
        <v>1867.7028616782256</v>
      </c>
      <c r="AO468">
        <f t="shared" ref="AO468:AO531" si="313">IMARGUMENT(AM468)</f>
        <v>1.5702609096960118</v>
      </c>
      <c r="AP468" s="42" t="str">
        <f t="shared" ref="AP468:AP531" si="314">IMPRODUCT(AF468,IMDIV(AM468,IMPRODUCT(AG468,AJ468)))</f>
        <v>-0.0000815477715925123+0.0233321841519599i</v>
      </c>
      <c r="AQ468">
        <f t="shared" ref="AQ468:AQ531" si="315">20*LOG(IMABS(AP468))</f>
        <v>-32.640839039000255</v>
      </c>
      <c r="AR468" s="44">
        <f t="shared" ref="AR468:AR531" si="316">(180/PI())*IMARGUMENT(AP468)</f>
        <v>90.200252324667076</v>
      </c>
      <c r="AS468" s="42" t="str">
        <f t="shared" ref="AS468:AS531" si="317">IMPRODUCT(AC468,AP468)</f>
        <v>-0.000067557664533397-0.0000541671810826989i</v>
      </c>
      <c r="AT468" s="20">
        <f t="shared" ref="AT468:AT531" si="318">20*LOG(IMABS(AS468))</f>
        <v>-81.25047523995832</v>
      </c>
      <c r="AU468" s="44">
        <f t="shared" ref="AU468:AU531" si="319">(180/PI())*IMARGUMENT(AS468)</f>
        <v>-141.2776474945309</v>
      </c>
    </row>
    <row r="469" spans="14:47" x14ac:dyDescent="0.3">
      <c r="N469" s="8">
        <v>51</v>
      </c>
      <c r="O469" s="35">
        <f t="shared" si="287"/>
        <v>323593.65692962846</v>
      </c>
      <c r="P469" s="34" t="str">
        <f t="shared" si="288"/>
        <v>545.10556621881</v>
      </c>
      <c r="Q469" s="4" t="str">
        <f t="shared" si="289"/>
        <v>1+43434.7483229893i</v>
      </c>
      <c r="R469" s="4">
        <f t="shared" si="297"/>
        <v>43434.748334500815</v>
      </c>
      <c r="S469" s="4">
        <f t="shared" si="298"/>
        <v>1.5707733037537042</v>
      </c>
      <c r="T469" s="4" t="str">
        <f t="shared" si="290"/>
        <v>1+1.01659945535838i</v>
      </c>
      <c r="U469" s="4">
        <f t="shared" si="299"/>
        <v>1.425999457445533</v>
      </c>
      <c r="V469" s="4">
        <f t="shared" si="300"/>
        <v>0.7936293867198293</v>
      </c>
      <c r="W469" t="str">
        <f t="shared" si="291"/>
        <v>1-1.05604351422628i</v>
      </c>
      <c r="X469" s="4">
        <f t="shared" si="301"/>
        <v>1.4543823101026057</v>
      </c>
      <c r="Y469" s="4">
        <f t="shared" si="302"/>
        <v>-0.81264935725538134</v>
      </c>
      <c r="Z469" t="str">
        <f t="shared" si="292"/>
        <v>-5.70162270752575+4.5731306158713i</v>
      </c>
      <c r="AA469" s="4">
        <f t="shared" si="303"/>
        <v>7.3090372231089837</v>
      </c>
      <c r="AB469" s="4">
        <f t="shared" si="304"/>
        <v>2.4655875785938202</v>
      </c>
      <c r="AC469" s="48" t="str">
        <f t="shared" si="305"/>
        <v>-0.00217492831821489+0.00281974102537572i</v>
      </c>
      <c r="AD469" s="20">
        <f t="shared" si="306"/>
        <v>-48.968378452256374</v>
      </c>
      <c r="AE469" s="44">
        <f t="shared" si="307"/>
        <v>127.64379281163539</v>
      </c>
      <c r="AF469" t="str">
        <f t="shared" si="293"/>
        <v>-0.0000333790427773504</v>
      </c>
      <c r="AG469" t="str">
        <f t="shared" si="294"/>
        <v>0.0110199380960848i</v>
      </c>
      <c r="AH469">
        <f t="shared" si="308"/>
        <v>1.10199380960848E-2</v>
      </c>
      <c r="AI469">
        <f t="shared" si="309"/>
        <v>1.5707963267948966</v>
      </c>
      <c r="AJ469" t="str">
        <f t="shared" si="295"/>
        <v>1+253.887273574372i</v>
      </c>
      <c r="AK469">
        <f t="shared" si="310"/>
        <v>253.88924294469038</v>
      </c>
      <c r="AL469">
        <f t="shared" si="311"/>
        <v>1.5668575912501661</v>
      </c>
      <c r="AM469" t="str">
        <f t="shared" si="296"/>
        <v>1+1911.20697607375i</v>
      </c>
      <c r="AN469">
        <f t="shared" si="312"/>
        <v>1911.207237688516</v>
      </c>
      <c r="AO469">
        <f t="shared" si="313"/>
        <v>1.57027309727488</v>
      </c>
      <c r="AP469" s="42" t="str">
        <f t="shared" si="314"/>
        <v>-0.0000778775742161201+0.0228010932555022i</v>
      </c>
      <c r="AQ469">
        <f t="shared" si="315"/>
        <v>-32.840835919772047</v>
      </c>
      <c r="AR469" s="44">
        <f t="shared" si="316"/>
        <v>90.19569408011759</v>
      </c>
      <c r="AS469" s="42" t="str">
        <f t="shared" si="317"/>
        <v>-0.0000641237999344407-0.0000498103379986242i</v>
      </c>
      <c r="AT469" s="20">
        <f t="shared" si="318"/>
        <v>-81.809214372028421</v>
      </c>
      <c r="AU469" s="44">
        <f t="shared" si="319"/>
        <v>-142.16051310824702</v>
      </c>
    </row>
    <row r="470" spans="14:47" x14ac:dyDescent="0.3">
      <c r="N470" s="8">
        <v>52</v>
      </c>
      <c r="O470" s="35">
        <f t="shared" si="287"/>
        <v>331131.12148259126</v>
      </c>
      <c r="P470" s="34" t="str">
        <f t="shared" si="288"/>
        <v>545.10556621881</v>
      </c>
      <c r="Q470" s="4" t="str">
        <f t="shared" si="289"/>
        <v>1+44446.4735803933i</v>
      </c>
      <c r="R470" s="4">
        <f t="shared" si="297"/>
        <v>44446.473591642789</v>
      </c>
      <c r="S470" s="4">
        <f t="shared" si="298"/>
        <v>1.5707738278221035</v>
      </c>
      <c r="T470" s="4" t="str">
        <f t="shared" si="290"/>
        <v>1+1.04027909862466i</v>
      </c>
      <c r="U470" s="4">
        <f t="shared" si="299"/>
        <v>1.4429763002334219</v>
      </c>
      <c r="V470" s="4">
        <f t="shared" si="300"/>
        <v>0.80513755445369706</v>
      </c>
      <c r="W470" t="str">
        <f t="shared" si="291"/>
        <v>1-1.08064192765129i</v>
      </c>
      <c r="X470" s="4">
        <f t="shared" si="301"/>
        <v>1.4723406452984635</v>
      </c>
      <c r="Y470" s="4">
        <f t="shared" si="302"/>
        <v>-0.82413696938584324</v>
      </c>
      <c r="Z470" t="str">
        <f t="shared" si="292"/>
        <v>-6.01746045531643+4.67965251200569i</v>
      </c>
      <c r="AA470" s="4">
        <f t="shared" si="303"/>
        <v>7.6229245020804308</v>
      </c>
      <c r="AB470" s="4">
        <f t="shared" si="304"/>
        <v>2.48061104599903</v>
      </c>
      <c r="AC470" s="48" t="str">
        <f t="shared" si="305"/>
        <v>-0.00204678663219617+0.00273757376575449i</v>
      </c>
      <c r="AD470" s="20">
        <f t="shared" si="306"/>
        <v>-49.32421623440122</v>
      </c>
      <c r="AE470" s="44">
        <f t="shared" si="307"/>
        <v>126.78415925807766</v>
      </c>
      <c r="AF470" t="str">
        <f t="shared" si="293"/>
        <v>-0.0000333790427773504</v>
      </c>
      <c r="AG470" t="str">
        <f t="shared" si="294"/>
        <v>0.0112766254290913i</v>
      </c>
      <c r="AH470">
        <f t="shared" si="308"/>
        <v>1.1276625429091299E-2</v>
      </c>
      <c r="AI470">
        <f t="shared" si="309"/>
        <v>1.5707963267948966</v>
      </c>
      <c r="AJ470" t="str">
        <f t="shared" si="295"/>
        <v>1+259.801067877922i</v>
      </c>
      <c r="AK470">
        <f t="shared" si="310"/>
        <v>259.80299242023489</v>
      </c>
      <c r="AL470">
        <f t="shared" si="311"/>
        <v>1.5669472469212409</v>
      </c>
      <c r="AM470" t="str">
        <f t="shared" si="296"/>
        <v>1+1955.72470541437i</v>
      </c>
      <c r="AN470">
        <f t="shared" si="312"/>
        <v>1955.724961074058</v>
      </c>
      <c r="AO470">
        <f t="shared" si="313"/>
        <v>1.5702850074307333</v>
      </c>
      <c r="AP470" s="42" t="str">
        <f t="shared" si="314"/>
        <v>-0.0000743725579225162+0.0222820904989156i</v>
      </c>
      <c r="AQ470">
        <f t="shared" si="315"/>
        <v>-33.040832940930073</v>
      </c>
      <c r="AR470" s="44">
        <f t="shared" si="316"/>
        <v>90.191239590219354</v>
      </c>
      <c r="AS470" s="42" t="str">
        <f t="shared" si="317"/>
        <v>-0.0000608466416386407-0.0000458102853340265i</v>
      </c>
      <c r="AT470" s="20">
        <f t="shared" si="318"/>
        <v>-82.365049175331308</v>
      </c>
      <c r="AU470" s="44">
        <f t="shared" si="319"/>
        <v>-143.02460115170297</v>
      </c>
    </row>
    <row r="471" spans="14:47" x14ac:dyDescent="0.3">
      <c r="N471" s="8">
        <v>53</v>
      </c>
      <c r="O471" s="35">
        <f t="shared" si="287"/>
        <v>338844.15613920329</v>
      </c>
      <c r="P471" s="34" t="str">
        <f t="shared" si="288"/>
        <v>545.10556621881</v>
      </c>
      <c r="Q471" s="4" t="str">
        <f t="shared" si="289"/>
        <v>1+45481.7649464082i</v>
      </c>
      <c r="R471" s="4">
        <f t="shared" si="297"/>
        <v>45481.764957401618</v>
      </c>
      <c r="S471" s="4">
        <f t="shared" si="298"/>
        <v>1.5707743399612499</v>
      </c>
      <c r="T471" s="4" t="str">
        <f t="shared" si="290"/>
        <v>1+1.06451031163876i</v>
      </c>
      <c r="U471" s="4">
        <f t="shared" si="299"/>
        <v>1.4605417500315592</v>
      </c>
      <c r="V471" s="4">
        <f t="shared" si="300"/>
        <v>0.81663526973923806</v>
      </c>
      <c r="W471" t="str">
        <f t="shared" si="291"/>
        <v>1-1.10581331173034i</v>
      </c>
      <c r="X471" s="4">
        <f t="shared" si="301"/>
        <v>1.4909135053382614</v>
      </c>
      <c r="Y471" s="4">
        <f t="shared" si="302"/>
        <v>-0.83560412917693483</v>
      </c>
      <c r="Z471" t="str">
        <f t="shared" si="292"/>
        <v>-6.34818317758011+4.78865562184446i</v>
      </c>
      <c r="AA471" s="4">
        <f t="shared" si="303"/>
        <v>7.9517703890852918</v>
      </c>
      <c r="AB471" s="4">
        <f t="shared" si="304"/>
        <v>2.4953230268473168</v>
      </c>
      <c r="AC471" s="48" t="str">
        <f t="shared" si="305"/>
        <v>-0.00192649875127175+0.00265715823362213i</v>
      </c>
      <c r="AD471" s="20">
        <f t="shared" si="306"/>
        <v>-49.677081983159184</v>
      </c>
      <c r="AE471" s="44">
        <f t="shared" si="307"/>
        <v>125.9429462046549</v>
      </c>
      <c r="AF471" t="str">
        <f t="shared" si="293"/>
        <v>-0.0000333790427773504</v>
      </c>
      <c r="AG471" t="str">
        <f t="shared" si="294"/>
        <v>0.0115392917781641i</v>
      </c>
      <c r="AH471">
        <f t="shared" si="308"/>
        <v>1.1539291778164099E-2</v>
      </c>
      <c r="AI471">
        <f t="shared" si="309"/>
        <v>1.5707963267948966</v>
      </c>
      <c r="AJ471" t="str">
        <f t="shared" si="295"/>
        <v>1+265.852612146535i</v>
      </c>
      <c r="AK471">
        <f t="shared" si="310"/>
        <v>265.85449288122999</v>
      </c>
      <c r="AL471">
        <f t="shared" si="311"/>
        <v>1.5670348618398779</v>
      </c>
      <c r="AM471" t="str">
        <f t="shared" si="296"/>
        <v>1+2001.27938588086i</v>
      </c>
      <c r="AN471">
        <f t="shared" si="312"/>
        <v>2001.2796357210232</v>
      </c>
      <c r="AO471">
        <f t="shared" si="313"/>
        <v>1.5702966464784809</v>
      </c>
      <c r="AP471" s="42" t="str">
        <f t="shared" si="314"/>
        <v>-0.0000710252887791331+0.0217749007869409i</v>
      </c>
      <c r="AQ471">
        <f t="shared" si="315"/>
        <v>-33.240830096156202</v>
      </c>
      <c r="AR471" s="44">
        <f t="shared" si="316"/>
        <v>90.186886493472556</v>
      </c>
      <c r="AS471" s="42" t="str">
        <f t="shared" si="317"/>
        <v>-0.0000577225267821833-0.0000421380446059827i</v>
      </c>
      <c r="AT471" s="20">
        <f t="shared" si="318"/>
        <v>-82.917912079315386</v>
      </c>
      <c r="AU471" s="44">
        <f t="shared" si="319"/>
        <v>-143.87016730187258</v>
      </c>
    </row>
    <row r="472" spans="14:47" x14ac:dyDescent="0.3">
      <c r="N472" s="8">
        <v>54</v>
      </c>
      <c r="O472" s="35">
        <f t="shared" si="287"/>
        <v>346736.85045253241</v>
      </c>
      <c r="P472" s="34" t="str">
        <f t="shared" si="288"/>
        <v>545.10556621881</v>
      </c>
      <c r="Q472" s="4" t="str">
        <f t="shared" si="289"/>
        <v>1+46541.17134622i</v>
      </c>
      <c r="R472" s="4">
        <f t="shared" si="297"/>
        <v>46541.171356963183</v>
      </c>
      <c r="S472" s="4">
        <f t="shared" si="298"/>
        <v>1.5707748404426858</v>
      </c>
      <c r="T472" s="4" t="str">
        <f t="shared" si="290"/>
        <v>1+1.08930594211054i</v>
      </c>
      <c r="U472" s="4">
        <f t="shared" si="299"/>
        <v>1.4787114104913546</v>
      </c>
      <c r="V472" s="4">
        <f t="shared" si="300"/>
        <v>0.82811647012051381</v>
      </c>
      <c r="W472" t="str">
        <f t="shared" si="291"/>
        <v>1-1.13157101266443i</v>
      </c>
      <c r="X472" s="4">
        <f t="shared" si="301"/>
        <v>1.5101168685576636</v>
      </c>
      <c r="Y472" s="4">
        <f t="shared" si="302"/>
        <v>-0.84704485460832146</v>
      </c>
      <c r="Z472" t="str">
        <f t="shared" si="292"/>
        <v>-6.69449238155152+4.90019774027927i</v>
      </c>
      <c r="AA472" s="4">
        <f t="shared" si="303"/>
        <v>8.2962742324786607</v>
      </c>
      <c r="AB472" s="4">
        <f t="shared" si="304"/>
        <v>2.5097280231340195</v>
      </c>
      <c r="AC472" s="48" t="str">
        <f t="shared" si="305"/>
        <v>-0.00181359558533968+0.00257858215285447i</v>
      </c>
      <c r="AD472" s="20">
        <f t="shared" si="306"/>
        <v>-50.026916179558569</v>
      </c>
      <c r="AE472" s="44">
        <f t="shared" si="307"/>
        <v>125.11989108185576</v>
      </c>
      <c r="AF472" t="str">
        <f t="shared" si="293"/>
        <v>-0.0000333790427773504</v>
      </c>
      <c r="AG472" t="str">
        <f t="shared" si="294"/>
        <v>0.0118080764124782i</v>
      </c>
      <c r="AH472">
        <f t="shared" si="308"/>
        <v>1.18080764124782E-2</v>
      </c>
      <c r="AI472">
        <f t="shared" si="309"/>
        <v>1.5707963267948966</v>
      </c>
      <c r="AJ472" t="str">
        <f t="shared" si="295"/>
        <v>1+272.045114989082i</v>
      </c>
      <c r="AK472">
        <f t="shared" si="310"/>
        <v>272.04695291332126</v>
      </c>
      <c r="AL472">
        <f t="shared" si="311"/>
        <v>1.5671204824552833</v>
      </c>
      <c r="AM472" t="str">
        <f t="shared" si="296"/>
        <v>1+2047.89517116782i</v>
      </c>
      <c r="AN472">
        <f t="shared" si="312"/>
        <v>2047.8954153209274</v>
      </c>
      <c r="AO472">
        <f t="shared" si="313"/>
        <v>1.5703080205892872</v>
      </c>
      <c r="AP472" s="42" t="str">
        <f t="shared" si="314"/>
        <v>-0.0000678286673967032+0.0212792552819544i</v>
      </c>
      <c r="AQ472">
        <f t="shared" si="315"/>
        <v>-33.440827379416262</v>
      </c>
      <c r="AR472" s="44">
        <f t="shared" si="316"/>
        <v>90.182632482115409</v>
      </c>
      <c r="AS472" s="42" t="str">
        <f t="shared" si="317"/>
        <v>-0.0000547472941243317-0.0000387668652298696i</v>
      </c>
      <c r="AT472" s="20">
        <f t="shared" si="318"/>
        <v>-83.467743558974831</v>
      </c>
      <c r="AU472" s="44">
        <f t="shared" si="319"/>
        <v>-144.69747643602884</v>
      </c>
    </row>
    <row r="473" spans="14:47" x14ac:dyDescent="0.3">
      <c r="N473" s="8">
        <v>55</v>
      </c>
      <c r="O473" s="35">
        <f t="shared" si="287"/>
        <v>354813.38923357555</v>
      </c>
      <c r="P473" s="34" t="str">
        <f t="shared" si="288"/>
        <v>545.10556621881</v>
      </c>
      <c r="Q473" s="4" t="str">
        <f t="shared" si="289"/>
        <v>1+47625.2544911245i</v>
      </c>
      <c r="R473" s="4">
        <f t="shared" si="297"/>
        <v>47625.254501623131</v>
      </c>
      <c r="S473" s="4">
        <f t="shared" si="298"/>
        <v>1.5707753295317735</v>
      </c>
      <c r="T473" s="4" t="str">
        <f t="shared" si="290"/>
        <v>1+1.1146791370115i</v>
      </c>
      <c r="U473" s="4">
        <f t="shared" si="299"/>
        <v>1.497501111348069</v>
      </c>
      <c r="V473" s="4">
        <f t="shared" si="300"/>
        <v>0.83957513667994466</v>
      </c>
      <c r="W473" t="str">
        <f t="shared" si="291"/>
        <v>1-1.15792868752754i</v>
      </c>
      <c r="X473" s="4">
        <f t="shared" si="301"/>
        <v>1.5299669425838101</v>
      </c>
      <c r="Y473" s="4">
        <f t="shared" si="302"/>
        <v>-0.85845323283264741</v>
      </c>
      <c r="Z473" t="str">
        <f t="shared" si="292"/>
        <v>-7.05712263548265+5.01433800841774i</v>
      </c>
      <c r="AA473" s="4">
        <f t="shared" si="303"/>
        <v>8.6571684490313796</v>
      </c>
      <c r="AB473" s="4">
        <f t="shared" si="304"/>
        <v>2.5238306509501696</v>
      </c>
      <c r="AC473" s="48" t="str">
        <f t="shared" si="305"/>
        <v>-0.00170763163374823+0.00250191306811839i</v>
      </c>
      <c r="AD473" s="20">
        <f t="shared" si="306"/>
        <v>-50.373667201716955</v>
      </c>
      <c r="AE473" s="44">
        <f t="shared" si="307"/>
        <v>124.31472331456632</v>
      </c>
      <c r="AF473" t="str">
        <f t="shared" si="293"/>
        <v>-0.0000333790427773504</v>
      </c>
      <c r="AG473" t="str">
        <f t="shared" si="294"/>
        <v>0.0120831218452046i</v>
      </c>
      <c r="AH473">
        <f t="shared" si="308"/>
        <v>1.20831218452046E-2</v>
      </c>
      <c r="AI473">
        <f t="shared" si="309"/>
        <v>1.5707963267948966</v>
      </c>
      <c r="AJ473" t="str">
        <f t="shared" si="295"/>
        <v>1+278.381859752539i</v>
      </c>
      <c r="AK473">
        <f t="shared" si="310"/>
        <v>278.38365584078804</v>
      </c>
      <c r="AL473">
        <f t="shared" si="311"/>
        <v>1.5672041541596162</v>
      </c>
      <c r="AM473" t="str">
        <f t="shared" si="296"/>
        <v>1+2095.59677758162i</v>
      </c>
      <c r="AN473">
        <f t="shared" si="312"/>
        <v>2095.5970161771247</v>
      </c>
      <c r="AO473">
        <f t="shared" si="313"/>
        <v>1.5703191357938442</v>
      </c>
      <c r="AP473" s="42" t="str">
        <f t="shared" si="314"/>
        <v>-0.000064775913875733+0.0207948912618112i</v>
      </c>
      <c r="AQ473">
        <f t="shared" si="315"/>
        <v>-33.640824784948215</v>
      </c>
      <c r="AR473" s="44">
        <f t="shared" si="316"/>
        <v>90.178475300902022</v>
      </c>
      <c r="AS473" s="42" t="str">
        <f t="shared" si="317"/>
        <v>-0.0000519163967983872-0.0000356720778444485i</v>
      </c>
      <c r="AT473" s="20">
        <f t="shared" si="318"/>
        <v>-84.014491986665149</v>
      </c>
      <c r="AU473" s="44">
        <f t="shared" si="319"/>
        <v>-145.5068013845316</v>
      </c>
    </row>
    <row r="474" spans="14:47" x14ac:dyDescent="0.3">
      <c r="N474" s="8">
        <v>56</v>
      </c>
      <c r="O474" s="35">
        <f t="shared" si="287"/>
        <v>363078.05477010203</v>
      </c>
      <c r="P474" s="34" t="str">
        <f t="shared" si="288"/>
        <v>545.10556621881</v>
      </c>
      <c r="Q474" s="4" t="str">
        <f t="shared" si="289"/>
        <v>1+48734.5891763554i</v>
      </c>
      <c r="R474" s="4">
        <f t="shared" si="297"/>
        <v>48734.589186615056</v>
      </c>
      <c r="S474" s="4">
        <f t="shared" si="298"/>
        <v>1.5707758074878344</v>
      </c>
      <c r="T474" s="4" t="str">
        <f t="shared" si="290"/>
        <v>1+1.14064334954543i</v>
      </c>
      <c r="U474" s="4">
        <f t="shared" si="299"/>
        <v>1.5169269101911991</v>
      </c>
      <c r="V474" s="4">
        <f t="shared" si="300"/>
        <v>0.85100530966397125</v>
      </c>
      <c r="W474" t="str">
        <f t="shared" si="291"/>
        <v>1-1.18490031150778i</v>
      </c>
      <c r="X474" s="4">
        <f t="shared" si="301"/>
        <v>1.5504801669841617</v>
      </c>
      <c r="Y474" s="4">
        <f t="shared" si="302"/>
        <v>-0.86982343512700566</v>
      </c>
      <c r="Z474" t="str">
        <f t="shared" si="292"/>
        <v>-7.43684312676105+5.13113694494092i</v>
      </c>
      <c r="AA474" s="4">
        <f t="shared" si="303"/>
        <v>9.0352200880659623</v>
      </c>
      <c r="AB474" s="4">
        <f t="shared" si="304"/>
        <v>2.5376356208614284</v>
      </c>
      <c r="AC474" s="48" t="str">
        <f t="shared" si="305"/>
        <v>-0.0016081845172183+0.00242720061056685i</v>
      </c>
      <c r="AD474" s="20">
        <f t="shared" si="306"/>
        <v>-50.717291152469528</v>
      </c>
      <c r="AE474" s="44">
        <f t="shared" si="307"/>
        <v>123.52716548489343</v>
      </c>
      <c r="AF474" t="str">
        <f t="shared" si="293"/>
        <v>-0.0000333790427773504</v>
      </c>
      <c r="AG474" t="str">
        <f t="shared" si="294"/>
        <v>0.0123645739090724i</v>
      </c>
      <c r="AH474">
        <f t="shared" si="308"/>
        <v>1.2364573909072399E-2</v>
      </c>
      <c r="AI474">
        <f t="shared" si="309"/>
        <v>1.5707963267948966</v>
      </c>
      <c r="AJ474" t="str">
        <f t="shared" si="295"/>
        <v>1+284.866206262857i</v>
      </c>
      <c r="AK474">
        <f t="shared" si="310"/>
        <v>284.86796146740085</v>
      </c>
      <c r="AL474">
        <f t="shared" si="311"/>
        <v>1.5672859213120329</v>
      </c>
      <c r="AM474" t="str">
        <f t="shared" si="296"/>
        <v>1+2144.4094971454i</v>
      </c>
      <c r="AN474">
        <f t="shared" si="312"/>
        <v>2144.4097303098092</v>
      </c>
      <c r="AO474">
        <f t="shared" si="313"/>
        <v>1.57032999798557</v>
      </c>
      <c r="AP474" s="42" t="str">
        <f t="shared" si="314"/>
        <v>-0.000061860553430214+0.0203215519809099i</v>
      </c>
      <c r="AQ474">
        <f t="shared" si="315"/>
        <v>-33.840822307249006</v>
      </c>
      <c r="AR474" s="44">
        <f t="shared" si="316"/>
        <v>90.174412745907901</v>
      </c>
      <c r="AS474" s="42" t="str">
        <f t="shared" si="317"/>
        <v>-0.0000492250001914775-0.000032830953234602i</v>
      </c>
      <c r="AT474" s="20">
        <f t="shared" si="318"/>
        <v>-84.558113459718527</v>
      </c>
      <c r="AU474" s="44">
        <f t="shared" si="319"/>
        <v>-146.29842176919868</v>
      </c>
    </row>
    <row r="475" spans="14:47" x14ac:dyDescent="0.3">
      <c r="N475" s="8">
        <v>57</v>
      </c>
      <c r="O475" s="35">
        <f t="shared" si="287"/>
        <v>371535.2290971732</v>
      </c>
      <c r="P475" s="34" t="str">
        <f t="shared" si="288"/>
        <v>545.10556621881</v>
      </c>
      <c r="Q475" s="4" t="str">
        <f t="shared" si="289"/>
        <v>1+49869.763585846i</v>
      </c>
      <c r="R475" s="4">
        <f t="shared" si="297"/>
        <v>49869.763595872108</v>
      </c>
      <c r="S475" s="4">
        <f t="shared" si="298"/>
        <v>1.570776274564287</v>
      </c>
      <c r="T475" s="4" t="str">
        <f t="shared" si="290"/>
        <v>1+1.16721234628148i</v>
      </c>
      <c r="U475" s="4">
        <f t="shared" si="299"/>
        <v>1.5370050947579574</v>
      </c>
      <c r="V475" s="4">
        <f t="shared" si="300"/>
        <v>0.86240110373164525</v>
      </c>
      <c r="W475" t="str">
        <f t="shared" si="291"/>
        <v>1-1.2125001853172i</v>
      </c>
      <c r="X475" s="4">
        <f t="shared" si="301"/>
        <v>1.5716732164779816</v>
      </c>
      <c r="Y475" s="4">
        <f t="shared" si="302"/>
        <v>-0.88114973131566865</v>
      </c>
      <c r="Z475" t="str">
        <f t="shared" si="292"/>
        <v>-7.83445929345851+5.25065647819092i</v>
      </c>
      <c r="AA475" s="4">
        <f t="shared" si="303"/>
        <v>9.4312324683906859</v>
      </c>
      <c r="AB475" s="4">
        <f t="shared" si="304"/>
        <v>2.5511477198671848</v>
      </c>
      <c r="AC475" s="48" t="str">
        <f t="shared" si="305"/>
        <v>-0.0015148544037896+0.00235447858669571i</v>
      </c>
      <c r="AD475" s="20">
        <f t="shared" si="306"/>
        <v>-51.05775166470454</v>
      </c>
      <c r="AE475" s="44">
        <f t="shared" si="307"/>
        <v>122.75693441314365</v>
      </c>
      <c r="AF475" t="str">
        <f t="shared" si="293"/>
        <v>-0.0000333790427773504</v>
      </c>
      <c r="AG475" t="str">
        <f t="shared" si="294"/>
        <v>0.0126525818336912i</v>
      </c>
      <c r="AH475">
        <f t="shared" si="308"/>
        <v>1.2652581833691201E-2</v>
      </c>
      <c r="AI475">
        <f t="shared" si="309"/>
        <v>1.5707963267948966</v>
      </c>
      <c r="AJ475" t="str">
        <f t="shared" si="295"/>
        <v>1+291.501592606386i</v>
      </c>
      <c r="AK475">
        <f t="shared" si="310"/>
        <v>291.5033078578345</v>
      </c>
      <c r="AL475">
        <f t="shared" si="311"/>
        <v>1.5673658272621838</v>
      </c>
      <c r="AM475" t="str">
        <f t="shared" si="296"/>
        <v>1+2194.35921100919i</v>
      </c>
      <c r="AN475">
        <f t="shared" si="312"/>
        <v>2194.3594388661295</v>
      </c>
      <c r="AO475">
        <f t="shared" si="313"/>
        <v>1.5703406129237318</v>
      </c>
      <c r="AP475" s="42" t="str">
        <f t="shared" si="314"/>
        <v>-0.0000590764026580915+0.0198589865343989i</v>
      </c>
      <c r="AQ475">
        <f t="shared" si="315"/>
        <v>-34.040819941063198</v>
      </c>
      <c r="AR475" s="44">
        <f t="shared" si="316"/>
        <v>90.170442663362735</v>
      </c>
      <c r="AS475" s="42" t="str">
        <f t="shared" si="317"/>
        <v>-0.000046668066399994-0.00003022256733147i</v>
      </c>
      <c r="AT475" s="20">
        <f t="shared" si="318"/>
        <v>-85.098571605767731</v>
      </c>
      <c r="AU475" s="44">
        <f t="shared" si="319"/>
        <v>-147.07262292349361</v>
      </c>
    </row>
    <row r="476" spans="14:47" x14ac:dyDescent="0.3">
      <c r="N476" s="8">
        <v>58</v>
      </c>
      <c r="O476" s="35">
        <f t="shared" si="287"/>
        <v>380189.39632056188</v>
      </c>
      <c r="P476" s="34" t="str">
        <f t="shared" si="288"/>
        <v>545.10556621881</v>
      </c>
      <c r="Q476" s="4" t="str">
        <f t="shared" si="289"/>
        <v>1+51031.3796040941i</v>
      </c>
      <c r="R476" s="4">
        <f t="shared" si="297"/>
        <v>51031.379613892001</v>
      </c>
      <c r="S476" s="4">
        <f t="shared" si="298"/>
        <v>1.5707767310087817</v>
      </c>
      <c r="T476" s="4" t="str">
        <f t="shared" si="290"/>
        <v>1+1.19440021445341i</v>
      </c>
      <c r="U476" s="4">
        <f t="shared" si="299"/>
        <v>1.5577521857748593</v>
      </c>
      <c r="V476" s="4">
        <f t="shared" si="300"/>
        <v>0.87375672273265392</v>
      </c>
      <c r="W476" t="str">
        <f t="shared" si="291"/>
        <v>1-1.2407429427742i</v>
      </c>
      <c r="X476" s="4">
        <f t="shared" si="301"/>
        <v>1.5935630047299609</v>
      </c>
      <c r="Y476" s="4">
        <f t="shared" si="302"/>
        <v>-0.89242650358019981</v>
      </c>
      <c r="Z476" t="str">
        <f t="shared" si="292"/>
        <v>-8.25081453277398+5.37295997900631i</v>
      </c>
      <c r="AA476" s="4">
        <f t="shared" si="303"/>
        <v>9.8460468915315342</v>
      </c>
      <c r="AB476" s="4">
        <f t="shared" si="304"/>
        <v>2.5643717948622533</v>
      </c>
      <c r="AC476" s="48" t="str">
        <f t="shared" si="305"/>
        <v>-0.00142726334963028+0.00228376689608869i</v>
      </c>
      <c r="AD476" s="20">
        <f t="shared" si="306"/>
        <v>-51.39501968633401</v>
      </c>
      <c r="AE476" s="44">
        <f t="shared" si="307"/>
        <v>122.0037421608473</v>
      </c>
      <c r="AF476" t="str">
        <f t="shared" si="293"/>
        <v>-0.0000333790427773504</v>
      </c>
      <c r="AG476" t="str">
        <f t="shared" si="294"/>
        <v>0.012947298324675i</v>
      </c>
      <c r="AH476">
        <f t="shared" si="308"/>
        <v>1.2947298324675E-2</v>
      </c>
      <c r="AI476">
        <f t="shared" si="309"/>
        <v>1.5707963267948966</v>
      </c>
      <c r="AJ476" t="str">
        <f t="shared" si="295"/>
        <v>1+298.291536952794i</v>
      </c>
      <c r="AK476">
        <f t="shared" si="310"/>
        <v>298.29321316057474</v>
      </c>
      <c r="AL476">
        <f t="shared" si="311"/>
        <v>1.5674439143731778</v>
      </c>
      <c r="AM476" t="str">
        <f t="shared" si="296"/>
        <v>1+2245.47240317243i</v>
      </c>
      <c r="AN476">
        <f t="shared" si="312"/>
        <v>2245.4726258427131</v>
      </c>
      <c r="AO476">
        <f t="shared" si="313"/>
        <v>1.570350986236501</v>
      </c>
      <c r="AP476" s="42" t="str">
        <f t="shared" si="314"/>
        <v>-0.0000564175564294111+0.0194069497254573i</v>
      </c>
      <c r="AQ476">
        <f t="shared" si="315"/>
        <v>-34.2408176813721</v>
      </c>
      <c r="AR476" s="44">
        <f t="shared" si="316"/>
        <v>90.16656294850965</v>
      </c>
      <c r="AS476" s="42" t="str">
        <f t="shared" si="317"/>
        <v>-0.0000442404266264895-0.0000278276726189943i</v>
      </c>
      <c r="AT476" s="20">
        <f t="shared" si="318"/>
        <v>-85.635837367706102</v>
      </c>
      <c r="AU476" s="44">
        <f t="shared" si="319"/>
        <v>-147.82969489064308</v>
      </c>
    </row>
    <row r="477" spans="14:47" x14ac:dyDescent="0.3">
      <c r="N477" s="8">
        <v>59</v>
      </c>
      <c r="O477" s="35">
        <f t="shared" si="287"/>
        <v>389045.14499428123</v>
      </c>
      <c r="P477" s="34" t="str">
        <f t="shared" si="288"/>
        <v>545.10556621881</v>
      </c>
      <c r="Q477" s="4" t="str">
        <f t="shared" si="289"/>
        <v>1+52220.0531352885i</v>
      </c>
      <c r="R477" s="4">
        <f t="shared" si="297"/>
        <v>52220.053144863363</v>
      </c>
      <c r="S477" s="4">
        <f t="shared" si="298"/>
        <v>1.5707771770633312</v>
      </c>
      <c r="T477" s="4" t="str">
        <f t="shared" si="290"/>
        <v>1+1.22222136942881i</v>
      </c>
      <c r="U477" s="4">
        <f t="shared" si="299"/>
        <v>1.5791849403690614</v>
      </c>
      <c r="V477" s="4">
        <f t="shared" si="300"/>
        <v>0.88506647392675264</v>
      </c>
      <c r="W477" t="str">
        <f t="shared" si="291"/>
        <v>1-1.26964355856264i</v>
      </c>
      <c r="X477" s="4">
        <f t="shared" si="301"/>
        <v>1.6161666887421</v>
      </c>
      <c r="Y477" s="4">
        <f t="shared" si="302"/>
        <v>-0.90364825958008199</v>
      </c>
      <c r="Z477" t="str">
        <f t="shared" si="292"/>
        <v>-8.68679198999178+5.49811229432211i</v>
      </c>
      <c r="AA477" s="4">
        <f t="shared" si="303"/>
        <v>10.28054443491984</v>
      </c>
      <c r="AB477" s="4">
        <f t="shared" si="304"/>
        <v>2.5773127375207112</v>
      </c>
      <c r="AC477" s="48" t="str">
        <f t="shared" si="305"/>
        <v>-0.0013450545732848+0.00221507328498652i</v>
      </c>
      <c r="AD477" s="20">
        <f t="shared" si="306"/>
        <v>-51.729073246842809</v>
      </c>
      <c r="AE477" s="44">
        <f t="shared" si="307"/>
        <v>121.26729695979976</v>
      </c>
      <c r="AF477" t="str">
        <f t="shared" si="293"/>
        <v>-0.0000333790427773504</v>
      </c>
      <c r="AG477" t="str">
        <f t="shared" si="294"/>
        <v>0.0132488796446083i</v>
      </c>
      <c r="AH477">
        <f t="shared" si="308"/>
        <v>1.3248879644608301E-2</v>
      </c>
      <c r="AI477">
        <f t="shared" si="309"/>
        <v>1.5707963267948966</v>
      </c>
      <c r="AJ477" t="str">
        <f t="shared" si="295"/>
        <v>1+305.23963942045i</v>
      </c>
      <c r="AK477">
        <f t="shared" si="310"/>
        <v>305.24127747329049</v>
      </c>
      <c r="AL477">
        <f t="shared" si="311"/>
        <v>1.5675202240440229</v>
      </c>
      <c r="AM477" t="str">
        <f t="shared" si="296"/>
        <v>1+2297.77617452617i</v>
      </c>
      <c r="AN477">
        <f t="shared" si="312"/>
        <v>2297.7763921278593</v>
      </c>
      <c r="AO477">
        <f t="shared" si="313"/>
        <v>1.5703611234239363</v>
      </c>
      <c r="AP477" s="42" t="str">
        <f t="shared" si="314"/>
        <v>-0.0000538783753643757+0.0189652019355828i</v>
      </c>
      <c r="AQ477">
        <f t="shared" si="315"/>
        <v>-34.440815523382717</v>
      </c>
      <c r="AR477" s="44">
        <f t="shared" si="316"/>
        <v>90.162771544490369</v>
      </c>
      <c r="AS477" s="42" t="str">
        <f t="shared" si="317"/>
        <v>-0.0000419368427966991-0.0000256285761466335i</v>
      </c>
      <c r="AT477" s="20">
        <f t="shared" si="318"/>
        <v>-86.169888770225526</v>
      </c>
      <c r="AU477" s="44">
        <f t="shared" si="319"/>
        <v>-148.56993149570985</v>
      </c>
    </row>
    <row r="478" spans="14:47" x14ac:dyDescent="0.3">
      <c r="N478" s="8">
        <v>60</v>
      </c>
      <c r="O478" s="35">
        <f t="shared" si="287"/>
        <v>398107.17055349716</v>
      </c>
      <c r="P478" s="34" t="str">
        <f t="shared" si="288"/>
        <v>545.10556621881</v>
      </c>
      <c r="Q478" s="4" t="str">
        <f t="shared" si="289"/>
        <v>1+53436.4144298692i</v>
      </c>
      <c r="R478" s="4">
        <f t="shared" si="297"/>
        <v>53436.414439226115</v>
      </c>
      <c r="S478" s="4">
        <f t="shared" si="298"/>
        <v>1.5707776129644393</v>
      </c>
      <c r="T478" s="4" t="str">
        <f t="shared" si="290"/>
        <v>1+1.25069056235229i</v>
      </c>
      <c r="U478" s="4">
        <f t="shared" si="299"/>
        <v>1.6013203560677942</v>
      </c>
      <c r="V478" s="4">
        <f t="shared" si="300"/>
        <v>0.89632478156307416</v>
      </c>
      <c r="W478" t="str">
        <f t="shared" si="291"/>
        <v>1-1.29921735617155i</v>
      </c>
      <c r="X478" s="4">
        <f t="shared" si="301"/>
        <v>1.6395016738562336</v>
      </c>
      <c r="Y478" s="4">
        <f t="shared" si="302"/>
        <v>-0.91480964481461668</v>
      </c>
      <c r="Z478" t="str">
        <f t="shared" si="292"/>
        <v>-9.1433164317511+5.62617978155246i</v>
      </c>
      <c r="AA478" s="4">
        <f t="shared" si="303"/>
        <v>10.735647828868052</v>
      </c>
      <c r="AB478" s="4">
        <f t="shared" si="304"/>
        <v>2.5899754705203586</v>
      </c>
      <c r="AC478" s="48" t="str">
        <f t="shared" si="305"/>
        <v>-0.00126789167977765+0.00214839494350504i</v>
      </c>
      <c r="AD478" s="20">
        <f t="shared" si="306"/>
        <v>-52.059897207370732</v>
      </c>
      <c r="AE478" s="44">
        <f t="shared" si="307"/>
        <v>120.54730407108769</v>
      </c>
      <c r="AF478" t="str">
        <f t="shared" si="293"/>
        <v>-0.0000333790427773504</v>
      </c>
      <c r="AG478" t="str">
        <f t="shared" si="294"/>
        <v>0.0135574856958988i</v>
      </c>
      <c r="AH478">
        <f t="shared" si="308"/>
        <v>1.35574856958988E-2</v>
      </c>
      <c r="AI478">
        <f t="shared" si="309"/>
        <v>1.5707963267948966</v>
      </c>
      <c r="AJ478" t="str">
        <f t="shared" si="295"/>
        <v>1+312.34958398525i</v>
      </c>
      <c r="AK478">
        <f t="shared" si="310"/>
        <v>312.35118475164899</v>
      </c>
      <c r="AL478">
        <f t="shared" si="311"/>
        <v>1.5675947967315602</v>
      </c>
      <c r="AM478" t="str">
        <f t="shared" si="296"/>
        <v>1+2351.2982572223i</v>
      </c>
      <c r="AN478">
        <f t="shared" si="312"/>
        <v>2351.2984698707701</v>
      </c>
      <c r="AO478">
        <f t="shared" si="313"/>
        <v>1.5703710298609004</v>
      </c>
      <c r="AP478" s="42" t="str">
        <f t="shared" si="314"/>
        <v>-0.0000514534738747714+0.0185335089978162i</v>
      </c>
      <c r="AQ478">
        <f t="shared" si="315"/>
        <v>-34.640813462517819</v>
      </c>
      <c r="AR478" s="44">
        <f t="shared" si="316"/>
        <v>90.15906644125559</v>
      </c>
      <c r="AS478" s="42" t="str">
        <f t="shared" si="317"/>
        <v>-0.000039752059584892-0.0000236090242385137i</v>
      </c>
      <c r="AT478" s="20">
        <f t="shared" si="318"/>
        <v>-86.700710669888551</v>
      </c>
      <c r="AU478" s="44">
        <f t="shared" si="319"/>
        <v>-149.29362948765672</v>
      </c>
    </row>
    <row r="479" spans="14:47" x14ac:dyDescent="0.3">
      <c r="N479" s="8">
        <v>61</v>
      </c>
      <c r="O479" s="35">
        <f t="shared" si="287"/>
        <v>407380.27780411334</v>
      </c>
      <c r="P479" s="34" t="str">
        <f t="shared" si="288"/>
        <v>545.10556621881</v>
      </c>
      <c r="Q479" s="4" t="str">
        <f t="shared" si="289"/>
        <v>1+54681.1084186954i</v>
      </c>
      <c r="R479" s="4">
        <f t="shared" si="297"/>
        <v>54681.108427839325</v>
      </c>
      <c r="S479" s="4">
        <f t="shared" si="298"/>
        <v>1.5707780389432271</v>
      </c>
      <c r="T479" s="4" t="str">
        <f t="shared" si="290"/>
        <v>1+1.27982288796677i</v>
      </c>
      <c r="U479" s="4">
        <f t="shared" si="299"/>
        <v>1.6241756754007872</v>
      </c>
      <c r="V479" s="4">
        <f t="shared" si="300"/>
        <v>0.90752619974505411</v>
      </c>
      <c r="W479" t="str">
        <f t="shared" si="291"/>
        <v>1-1.32948001601988i</v>
      </c>
      <c r="X479" s="4">
        <f t="shared" si="301"/>
        <v>1.6635856193764782</v>
      </c>
      <c r="Y479" s="4">
        <f t="shared" si="302"/>
        <v>-0.92590545416536008</v>
      </c>
      <c r="Z479" t="str">
        <f t="shared" si="292"/>
        <v>-9.6213562076004+5.7572303437743i</v>
      </c>
      <c r="AA479" s="4">
        <f t="shared" si="303"/>
        <v>11.212323421343424</v>
      </c>
      <c r="AB479" s="4">
        <f t="shared" si="304"/>
        <v>2.6023649350261522</v>
      </c>
      <c r="AC479" s="48" t="str">
        <f t="shared" si="305"/>
        <v>-0.00119545784896262+0.00208371995494055i</v>
      </c>
      <c r="AD479" s="20">
        <f t="shared" si="306"/>
        <v>-52.387482996286536</v>
      </c>
      <c r="AE479" s="44">
        <f t="shared" si="307"/>
        <v>119.84346657800117</v>
      </c>
      <c r="AF479" t="str">
        <f t="shared" si="293"/>
        <v>-0.0000333790427773504</v>
      </c>
      <c r="AG479" t="str">
        <f t="shared" si="294"/>
        <v>0.0138732801055598i</v>
      </c>
      <c r="AH479">
        <f t="shared" si="308"/>
        <v>1.38732801055598E-2</v>
      </c>
      <c r="AI479">
        <f t="shared" si="309"/>
        <v>1.5707963267948966</v>
      </c>
      <c r="AJ479" t="str">
        <f t="shared" si="295"/>
        <v>1+319.625140433915i</v>
      </c>
      <c r="AK479">
        <f t="shared" si="310"/>
        <v>319.62670476260251</v>
      </c>
      <c r="AL479">
        <f t="shared" si="311"/>
        <v>1.5676676719718958</v>
      </c>
      <c r="AM479" t="str">
        <f t="shared" si="296"/>
        <v>1+2406.06702937753i</v>
      </c>
      <c r="AN479">
        <f t="shared" si="312"/>
        <v>2406.0672371855308</v>
      </c>
      <c r="AO479">
        <f t="shared" si="313"/>
        <v>1.5703807107999093</v>
      </c>
      <c r="AP479" s="42" t="str">
        <f t="shared" si="314"/>
        <v>-0.0000491377087434254+0.0181116420728389i</v>
      </c>
      <c r="AQ479">
        <f t="shared" si="315"/>
        <v>-34.840811494406104</v>
      </c>
      <c r="AR479" s="44">
        <f t="shared" si="316"/>
        <v>90.155445674500271</v>
      </c>
      <c r="AS479" s="42" t="str">
        <f t="shared" si="317"/>
        <v>-0.0000376808479443179-0.0000217540938978256i</v>
      </c>
      <c r="AT479" s="20">
        <f t="shared" si="318"/>
        <v>-87.228294490692633</v>
      </c>
      <c r="AU479" s="44">
        <f t="shared" si="319"/>
        <v>-150.00108774749856</v>
      </c>
    </row>
    <row r="480" spans="14:47" x14ac:dyDescent="0.3">
      <c r="N480" s="8">
        <v>62</v>
      </c>
      <c r="O480" s="35">
        <f t="shared" si="287"/>
        <v>416869.38347033598</v>
      </c>
      <c r="P480" s="34" t="str">
        <f t="shared" si="288"/>
        <v>545.10556621881</v>
      </c>
      <c r="Q480" s="4" t="str">
        <f t="shared" si="289"/>
        <v>1+55954.7950549953i</v>
      </c>
      <c r="R480" s="4">
        <f t="shared" si="297"/>
        <v>55954.795063931087</v>
      </c>
      <c r="S480" s="4">
        <f t="shared" si="298"/>
        <v>1.5707784552255537</v>
      </c>
      <c r="T480" s="4" t="str">
        <f t="shared" si="290"/>
        <v>1+1.30963379261692i</v>
      </c>
      <c r="U480" s="4">
        <f t="shared" si="299"/>
        <v>1.6477683911169607</v>
      </c>
      <c r="V480" s="4">
        <f t="shared" si="300"/>
        <v>0.91866542451459954</v>
      </c>
      <c r="W480" t="str">
        <f t="shared" si="291"/>
        <v>1-1.36044758377045i</v>
      </c>
      <c r="X480" s="4">
        <f t="shared" si="301"/>
        <v>1.6884364448171731</v>
      </c>
      <c r="Y480" s="4">
        <f t="shared" si="302"/>
        <v>-0.9369306425670143</v>
      </c>
      <c r="Z480" t="str">
        <f t="shared" si="292"/>
        <v>-10.1219253039961+5.89133346573037i</v>
      </c>
      <c r="AA480" s="4">
        <f t="shared" si="303"/>
        <v>11.71158323473437</v>
      </c>
      <c r="AB480" s="4">
        <f t="shared" si="304"/>
        <v>2.6144860793517961</v>
      </c>
      <c r="AC480" s="48" t="str">
        <f t="shared" si="305"/>
        <v>-0.00112745500062231+0.0020210286059804i</v>
      </c>
      <c r="AD480" s="20">
        <f t="shared" si="306"/>
        <v>-52.711828332205492</v>
      </c>
      <c r="AE480" s="44">
        <f t="shared" si="307"/>
        <v>119.15548611664344</v>
      </c>
      <c r="AF480" t="str">
        <f t="shared" si="293"/>
        <v>-0.0000333790427773504</v>
      </c>
      <c r="AG480" t="str">
        <f t="shared" si="294"/>
        <v>0.0141964303119673i</v>
      </c>
      <c r="AH480">
        <f t="shared" si="308"/>
        <v>1.41964303119673E-2</v>
      </c>
      <c r="AI480">
        <f t="shared" si="309"/>
        <v>1.5707963267948966</v>
      </c>
      <c r="AJ480" t="str">
        <f t="shared" si="295"/>
        <v>1+327.070166362778i</v>
      </c>
      <c r="AK480">
        <f t="shared" si="310"/>
        <v>327.07169508316565</v>
      </c>
      <c r="AL480">
        <f t="shared" si="311"/>
        <v>1.567738888401349</v>
      </c>
      <c r="AM480" t="str">
        <f t="shared" si="296"/>
        <v>1+2462.11153011981i</v>
      </c>
      <c r="AN480">
        <f t="shared" si="312"/>
        <v>2462.1117331975233</v>
      </c>
      <c r="AO480">
        <f t="shared" si="313"/>
        <v>1.5703901713739179</v>
      </c>
      <c r="AP480" s="42" t="str">
        <f t="shared" si="314"/>
        <v>-0.0000469261682175058+0.0176993775278775i</v>
      </c>
      <c r="AQ480">
        <f t="shared" si="315"/>
        <v>-35.040809614873147</v>
      </c>
      <c r="AR480" s="44">
        <f t="shared" si="316"/>
        <v>90.151907324623082</v>
      </c>
      <c r="AS480" s="42" t="str">
        <f t="shared" si="317"/>
        <v>-0.0000357180411488702-0.0000200500908300443i</v>
      </c>
      <c r="AT480" s="20">
        <f t="shared" si="318"/>
        <v>-87.752637947078625</v>
      </c>
      <c r="AU480" s="44">
        <f t="shared" si="319"/>
        <v>-150.69260655873339</v>
      </c>
    </row>
    <row r="481" spans="14:47" x14ac:dyDescent="0.3">
      <c r="N481" s="8">
        <v>63</v>
      </c>
      <c r="O481" s="35">
        <f t="shared" si="287"/>
        <v>426579.51880159322</v>
      </c>
      <c r="P481" s="34" t="str">
        <f t="shared" si="288"/>
        <v>545.10556621881</v>
      </c>
      <c r="Q481" s="4" t="str">
        <f t="shared" si="289"/>
        <v>1+57258.1496642824i</v>
      </c>
      <c r="R481" s="4">
        <f t="shared" si="297"/>
        <v>57258.149673014792</v>
      </c>
      <c r="S481" s="4">
        <f t="shared" si="298"/>
        <v>1.5707788620321377</v>
      </c>
      <c r="T481" s="4" t="str">
        <f t="shared" si="290"/>
        <v>1+1.34013908243896i</v>
      </c>
      <c r="U481" s="4">
        <f t="shared" si="299"/>
        <v>1.6721162520232669</v>
      </c>
      <c r="V481" s="4">
        <f t="shared" si="300"/>
        <v>0.92973730509767583</v>
      </c>
      <c r="W481" t="str">
        <f t="shared" si="291"/>
        <v>1-1.39213647883758i</v>
      </c>
      <c r="X481" s="4">
        <f t="shared" si="301"/>
        <v>1.7140723367787885</v>
      </c>
      <c r="Y481" s="4">
        <f t="shared" si="302"/>
        <v>-0.94788033476388789</v>
      </c>
      <c r="Z481" t="str">
        <f t="shared" si="292"/>
        <v>-10.646085495104+6.02856025067098i</v>
      </c>
      <c r="AA481" s="4">
        <f t="shared" si="303"/>
        <v>12.234487119002329</v>
      </c>
      <c r="AB481" s="4">
        <f t="shared" si="304"/>
        <v>2.6263438487204431</v>
      </c>
      <c r="AC481" s="48" t="str">
        <f t="shared" si="305"/>
        <v>-0.00106360294708477+0.00196029456681913i</v>
      </c>
      <c r="AD481" s="20">
        <f t="shared" si="306"/>
        <v>-53.032936936392289</v>
      </c>
      <c r="AE481" s="44">
        <f t="shared" si="307"/>
        <v>118.48306354791505</v>
      </c>
      <c r="AF481" t="str">
        <f t="shared" si="293"/>
        <v>-0.0000333790427773504</v>
      </c>
      <c r="AG481" t="str">
        <f t="shared" si="294"/>
        <v>0.0145271076536383i</v>
      </c>
      <c r="AH481">
        <f t="shared" si="308"/>
        <v>1.4527107653638301E-2</v>
      </c>
      <c r="AI481">
        <f t="shared" si="309"/>
        <v>1.5707963267948966</v>
      </c>
      <c r="AJ481" t="str">
        <f t="shared" si="295"/>
        <v>1+334.688609223131i</v>
      </c>
      <c r="AK481">
        <f t="shared" si="310"/>
        <v>334.69010314575132</v>
      </c>
      <c r="AL481">
        <f t="shared" si="311"/>
        <v>1.5678084837769222</v>
      </c>
      <c r="AM481" t="str">
        <f t="shared" si="296"/>
        <v>1+2519.46147498524i</v>
      </c>
      <c r="AN481">
        <f t="shared" si="312"/>
        <v>2519.4616734403403</v>
      </c>
      <c r="AO481">
        <f t="shared" si="313"/>
        <v>1.5703994165990409</v>
      </c>
      <c r="AP481" s="42" t="str">
        <f t="shared" si="314"/>
        <v>-0.0000448141615925428+0.0172964968183536i</v>
      </c>
      <c r="AQ481">
        <f t="shared" si="315"/>
        <v>-35.240807819932442</v>
      </c>
      <c r="AR481" s="44">
        <f t="shared" si="316"/>
        <v>90.148449515709331</v>
      </c>
      <c r="AS481" s="42" t="str">
        <f t="shared" si="317"/>
        <v>-0.000033858564263682-0.0000184844539477297i</v>
      </c>
      <c r="AT481" s="20">
        <f t="shared" si="318"/>
        <v>-88.273744756324731</v>
      </c>
      <c r="AU481" s="44">
        <f t="shared" si="319"/>
        <v>-151.3684869363756</v>
      </c>
    </row>
    <row r="482" spans="14:47" x14ac:dyDescent="0.3">
      <c r="N482" s="8">
        <v>64</v>
      </c>
      <c r="O482" s="35">
        <f t="shared" si="287"/>
        <v>436515.83224016649</v>
      </c>
      <c r="P482" s="34" t="str">
        <f t="shared" si="288"/>
        <v>545.10556621881</v>
      </c>
      <c r="Q482" s="4" t="str">
        <f t="shared" si="289"/>
        <v>1+58591.8633024227i</v>
      </c>
      <c r="R482" s="4">
        <f t="shared" si="297"/>
        <v>58591.863310956302</v>
      </c>
      <c r="S482" s="4">
        <f t="shared" si="298"/>
        <v>1.5707792595786734</v>
      </c>
      <c r="T482" s="4" t="str">
        <f t="shared" si="290"/>
        <v>1+1.37135493174134i</v>
      </c>
      <c r="U482" s="4">
        <f t="shared" si="299"/>
        <v>1.6972372694503544</v>
      </c>
      <c r="V482" s="4">
        <f t="shared" si="300"/>
        <v>0.94073685426248232</v>
      </c>
      <c r="W482" t="str">
        <f t="shared" si="291"/>
        <v>1-1.4245635030929i</v>
      </c>
      <c r="X482" s="4">
        <f t="shared" si="301"/>
        <v>1.7405117564510488</v>
      </c>
      <c r="Y482" s="4">
        <f t="shared" si="302"/>
        <v>-0.95874983411829207</v>
      </c>
      <c r="Z482" t="str">
        <f t="shared" si="292"/>
        <v>-11.1949485949648+6.16898345805391i</v>
      </c>
      <c r="AA482" s="4">
        <f t="shared" si="303"/>
        <v>12.782145005813661</v>
      </c>
      <c r="AB482" s="4">
        <f t="shared" si="304"/>
        <v>2.6379431760476191</v>
      </c>
      <c r="AC482" s="48" t="str">
        <f t="shared" si="305"/>
        <v>-0.001003638542539+0.00190148595020328i</v>
      </c>
      <c r="AD482" s="20">
        <f t="shared" si="306"/>
        <v>-53.350818236462572</v>
      </c>
      <c r="AE482" s="44">
        <f t="shared" si="307"/>
        <v>117.82589957440115</v>
      </c>
      <c r="AF482" t="str">
        <f t="shared" si="293"/>
        <v>-0.0000333790427773504</v>
      </c>
      <c r="AG482" t="str">
        <f t="shared" si="294"/>
        <v>0.0148654874600761i</v>
      </c>
      <c r="AH482">
        <f t="shared" si="308"/>
        <v>1.4865487460076101E-2</v>
      </c>
      <c r="AI482">
        <f t="shared" si="309"/>
        <v>1.5707963267948966</v>
      </c>
      <c r="AJ482" t="str">
        <f t="shared" si="295"/>
        <v>1+342.484508414221i</v>
      </c>
      <c r="AK482">
        <f t="shared" si="310"/>
        <v>342.48596833115749</v>
      </c>
      <c r="AL482">
        <f t="shared" si="311"/>
        <v>1.5678764949963062</v>
      </c>
      <c r="AM482" t="str">
        <f t="shared" si="296"/>
        <v>1+2578.14727167373i</v>
      </c>
      <c r="AN482">
        <f t="shared" si="312"/>
        <v>2578.1474656114415</v>
      </c>
      <c r="AO482">
        <f t="shared" si="313"/>
        <v>1.5704084513772127</v>
      </c>
      <c r="AP482" s="42" t="str">
        <f t="shared" si="314"/>
        <v>-0.0000427972092651042+0.0169027863722173i</v>
      </c>
      <c r="AQ482">
        <f t="shared" si="315"/>
        <v>-35.440806105776524</v>
      </c>
      <c r="AR482" s="44">
        <f t="shared" si="316"/>
        <v>90.145070414537159</v>
      </c>
      <c r="AS482" s="42" t="str">
        <f t="shared" si="317"/>
        <v>-0.0000320974578773271-0.0000170456661715857i</v>
      </c>
      <c r="AT482" s="20">
        <f t="shared" si="318"/>
        <v>-88.791624342239089</v>
      </c>
      <c r="AU482" s="44">
        <f t="shared" si="319"/>
        <v>-152.02903001106176</v>
      </c>
    </row>
    <row r="483" spans="14:47" x14ac:dyDescent="0.3">
      <c r="N483" s="8">
        <v>65</v>
      </c>
      <c r="O483" s="35">
        <f t="shared" si="287"/>
        <v>446683.59215096442</v>
      </c>
      <c r="P483" s="34" t="str">
        <f t="shared" si="288"/>
        <v>545.10556621881</v>
      </c>
      <c r="Q483" s="4" t="str">
        <f t="shared" si="289"/>
        <v>1+59956.6431220412i</v>
      </c>
      <c r="R483" s="4">
        <f t="shared" si="297"/>
        <v>59956.643130380558</v>
      </c>
      <c r="S483" s="4">
        <f t="shared" si="298"/>
        <v>1.5707796480759451</v>
      </c>
      <c r="T483" s="4" t="str">
        <f t="shared" si="290"/>
        <v>1+1.40329789158057i</v>
      </c>
      <c r="U483" s="4">
        <f t="shared" si="299"/>
        <v>1.7231497243462255</v>
      </c>
      <c r="V483" s="4">
        <f t="shared" si="300"/>
        <v>0.95165925775044802</v>
      </c>
      <c r="W483" t="str">
        <f t="shared" si="291"/>
        <v>1-1.45774584977389i</v>
      </c>
      <c r="X483" s="4">
        <f t="shared" si="301"/>
        <v>1.767773447739557</v>
      </c>
      <c r="Y483" s="4">
        <f t="shared" si="302"/>
        <v>-0.96953463044652932</v>
      </c>
      <c r="Z483" t="str">
        <f t="shared" si="292"/>
        <v>-11.7696788158009+6.31267754212248i</v>
      </c>
      <c r="AA483" s="4">
        <f t="shared" si="303"/>
        <v>13.355719268460609</v>
      </c>
      <c r="AB483" s="4">
        <f t="shared" si="304"/>
        <v>2.6492889736722836</v>
      </c>
      <c r="AC483" s="48" t="str">
        <f t="shared" si="305"/>
        <v>-0.000947314836794401+0.001844566258318i</v>
      </c>
      <c r="AD483" s="20">
        <f t="shared" si="306"/>
        <v>-53.665487063265047</v>
      </c>
      <c r="AE483" s="44">
        <f t="shared" si="307"/>
        <v>117.18369530552746</v>
      </c>
      <c r="AF483" t="str">
        <f t="shared" si="293"/>
        <v>-0.0000333790427773504</v>
      </c>
      <c r="AG483" t="str">
        <f t="shared" si="294"/>
        <v>0.0152117491447334i</v>
      </c>
      <c r="AH483">
        <f t="shared" si="308"/>
        <v>1.5211749144733401E-2</v>
      </c>
      <c r="AI483">
        <f t="shared" si="309"/>
        <v>1.5707963267948966</v>
      </c>
      <c r="AJ483" t="str">
        <f t="shared" si="295"/>
        <v>1+350.461997424992i</v>
      </c>
      <c r="AK483">
        <f t="shared" si="310"/>
        <v>350.46342411029866</v>
      </c>
      <c r="AL483">
        <f t="shared" si="311"/>
        <v>1.5679429581174318</v>
      </c>
      <c r="AM483" t="str">
        <f t="shared" si="296"/>
        <v>1+2638.20003617148i</v>
      </c>
      <c r="AN483">
        <f t="shared" si="312"/>
        <v>2638.2002256946303</v>
      </c>
      <c r="AO483">
        <f t="shared" si="313"/>
        <v>1.5704172804987866</v>
      </c>
      <c r="AP483" s="42" t="str">
        <f t="shared" si="314"/>
        <v>-0.0000408710332330394+0.0165180374769006i</v>
      </c>
      <c r="AQ483">
        <f t="shared" si="315"/>
        <v>-35.640804468769758</v>
      </c>
      <c r="AR483" s="44">
        <f t="shared" si="316"/>
        <v>90.141768229606384</v>
      </c>
      <c r="AS483" s="42" t="str">
        <f t="shared" si="317"/>
        <v>-0.0000304298968473463-0.0000157231713054381i</v>
      </c>
      <c r="AT483" s="20">
        <f t="shared" si="318"/>
        <v>-89.306291532034805</v>
      </c>
      <c r="AU483" s="44">
        <f t="shared" si="319"/>
        <v>-152.67453646486624</v>
      </c>
    </row>
    <row r="484" spans="14:47" x14ac:dyDescent="0.3">
      <c r="N484" s="8">
        <v>66</v>
      </c>
      <c r="O484" s="35">
        <f t="shared" ref="O484:O518" si="320">10^(5+(N484/100))</f>
        <v>457088.18961487547</v>
      </c>
      <c r="P484" s="34" t="str">
        <f t="shared" si="288"/>
        <v>545.10556621881</v>
      </c>
      <c r="Q484" s="4" t="str">
        <f t="shared" si="289"/>
        <v>1+61353.2127474627i</v>
      </c>
      <c r="R484" s="4">
        <f t="shared" si="297"/>
        <v>61353.212755612229</v>
      </c>
      <c r="S484" s="4">
        <f t="shared" si="298"/>
        <v>1.5707800277299393</v>
      </c>
      <c r="T484" s="4" t="str">
        <f t="shared" si="290"/>
        <v>1+1.43598489853675i</v>
      </c>
      <c r="U484" s="4">
        <f t="shared" si="299"/>
        <v>1.7498721749961053</v>
      </c>
      <c r="V484" s="4">
        <f t="shared" si="300"/>
        <v>0.96249988274965437</v>
      </c>
      <c r="W484" t="str">
        <f t="shared" si="291"/>
        <v>1-1.49170111259997i</v>
      </c>
      <c r="X484" s="4">
        <f t="shared" si="301"/>
        <v>1.7958764460095766</v>
      </c>
      <c r="Y484" s="4">
        <f t="shared" si="302"/>
        <v>-0.9802304068673795</v>
      </c>
      <c r="Z484" t="str">
        <f t="shared" si="292"/>
        <v>-12.3714952374659+6.45971869138201i</v>
      </c>
      <c r="AA484" s="4">
        <f t="shared" si="303"/>
        <v>13.95642719260311</v>
      </c>
      <c r="AB484" s="4">
        <f t="shared" si="304"/>
        <v>2.6603861259649992</v>
      </c>
      <c r="AC484" s="48" t="str">
        <f t="shared" si="305"/>
        <v>-0.000894400239938908+0.00178949522621637i</v>
      </c>
      <c r="AD484" s="20">
        <f t="shared" si="306"/>
        <v>-53.976963342776401</v>
      </c>
      <c r="AE484" s="44">
        <f t="shared" si="307"/>
        <v>116.55615277417768</v>
      </c>
      <c r="AF484" t="str">
        <f t="shared" si="293"/>
        <v>-0.0000333790427773504</v>
      </c>
      <c r="AG484" t="str">
        <f t="shared" si="294"/>
        <v>0.0155660763001384i</v>
      </c>
      <c r="AH484">
        <f t="shared" si="308"/>
        <v>1.55660763001384E-2</v>
      </c>
      <c r="AI484">
        <f t="shared" si="309"/>
        <v>1.5707963267948966</v>
      </c>
      <c r="AJ484" t="str">
        <f t="shared" si="295"/>
        <v>1+358.625306025709i</v>
      </c>
      <c r="AK484">
        <f t="shared" si="310"/>
        <v>358.62670023582103</v>
      </c>
      <c r="AL484">
        <f t="shared" si="311"/>
        <v>1.5680079083775753</v>
      </c>
      <c r="AM484" t="str">
        <f t="shared" si="296"/>
        <v>1+2699.6516092491i</v>
      </c>
      <c r="AN484">
        <f t="shared" si="312"/>
        <v>2699.6517944581769</v>
      </c>
      <c r="AO484">
        <f t="shared" si="313"/>
        <v>1.570425908645074</v>
      </c>
      <c r="AP484" s="42" t="str">
        <f t="shared" si="314"/>
        <v>-0.0000390315480231703+0.016142046168838i</v>
      </c>
      <c r="AQ484">
        <f t="shared" si="315"/>
        <v>-35.840802905439816</v>
      </c>
      <c r="AR484" s="44">
        <f t="shared" si="316"/>
        <v>90.138541210189175</v>
      </c>
      <c r="AS484" s="42" t="str">
        <f t="shared" si="317"/>
        <v>-0.0000288512047345827-0.0000145072967353729i</v>
      </c>
      <c r="AT484" s="20">
        <f t="shared" si="318"/>
        <v>-89.81776624821623</v>
      </c>
      <c r="AU484" s="44">
        <f t="shared" si="319"/>
        <v>-153.30530601563319</v>
      </c>
    </row>
    <row r="485" spans="14:47" x14ac:dyDescent="0.3">
      <c r="N485" s="8">
        <v>67</v>
      </c>
      <c r="O485" s="35">
        <f t="shared" si="320"/>
        <v>467735.14128719864</v>
      </c>
      <c r="P485" s="34" t="str">
        <f t="shared" si="288"/>
        <v>545.10556621881</v>
      </c>
      <c r="Q485" s="4" t="str">
        <f t="shared" si="289"/>
        <v>1+62782.3126583887i</v>
      </c>
      <c r="R485" s="4">
        <f t="shared" si="297"/>
        <v>62782.312666352722</v>
      </c>
      <c r="S485" s="4">
        <f t="shared" si="298"/>
        <v>1.5707803987419535</v>
      </c>
      <c r="T485" s="4" t="str">
        <f t="shared" si="290"/>
        <v>1+1.46943328369365i</v>
      </c>
      <c r="U485" s="4">
        <f t="shared" si="299"/>
        <v>1.7774234653640373</v>
      </c>
      <c r="V485" s="4">
        <f t="shared" si="300"/>
        <v>0.97325428538963799</v>
      </c>
      <c r="W485" t="str">
        <f t="shared" si="291"/>
        <v>1-1.52644729510095i</v>
      </c>
      <c r="X485" s="4">
        <f t="shared" si="301"/>
        <v>1.8248400874380766</v>
      </c>
      <c r="Y485" s="4">
        <f t="shared" si="302"/>
        <v>-0.99083304565690478</v>
      </c>
      <c r="Z485" t="str">
        <f t="shared" si="292"/>
        <v>-13.0016743932771+6.6101848689962i</v>
      </c>
      <c r="AA485" s="4">
        <f t="shared" si="303"/>
        <v>14.585543563100545</v>
      </c>
      <c r="AB485" s="4">
        <f t="shared" si="304"/>
        <v>2.6712394827455945</v>
      </c>
      <c r="AC485" s="48" t="str">
        <f t="shared" si="305"/>
        <v>-0.000844677703198514+0.00173622957019785i</v>
      </c>
      <c r="AD485" s="20">
        <f t="shared" si="306"/>
        <v>-54.285271784789387</v>
      </c>
      <c r="AE485" s="44">
        <f t="shared" si="307"/>
        <v>115.94297540779125</v>
      </c>
      <c r="AF485" t="str">
        <f t="shared" si="293"/>
        <v>-0.0000333790427773504</v>
      </c>
      <c r="AG485" t="str">
        <f t="shared" si="294"/>
        <v>0.0159286567952391i</v>
      </c>
      <c r="AH485">
        <f t="shared" si="308"/>
        <v>1.59286567952391E-2</v>
      </c>
      <c r="AI485">
        <f t="shared" si="309"/>
        <v>1.5707963267948966</v>
      </c>
      <c r="AJ485" t="str">
        <f t="shared" si="295"/>
        <v>1+366.978762510649i</v>
      </c>
      <c r="AK485">
        <f t="shared" si="310"/>
        <v>366.98012498478346</v>
      </c>
      <c r="AL485">
        <f t="shared" si="311"/>
        <v>1.5680713802120314</v>
      </c>
      <c r="AM485" t="str">
        <f t="shared" si="296"/>
        <v>1+2762.53457334406i</v>
      </c>
      <c r="AN485">
        <f t="shared" si="312"/>
        <v>2762.5347543372641</v>
      </c>
      <c r="AO485">
        <f t="shared" si="313"/>
        <v>1.5704343403908274</v>
      </c>
      <c r="AP485" s="42" t="str">
        <f t="shared" si="314"/>
        <v>-0.0000372748520271862+0.0157746131254903i</v>
      </c>
      <c r="AQ485">
        <f t="shared" si="315"/>
        <v>-36.040801412470735</v>
      </c>
      <c r="AR485" s="44">
        <f t="shared" si="316"/>
        <v>90.135387645402474</v>
      </c>
      <c r="AS485" s="42" t="str">
        <f t="shared" si="317"/>
        <v>-0.00002735686453051-0.0000133891816839986i</v>
      </c>
      <c r="AT485" s="20">
        <f t="shared" si="318"/>
        <v>-90.326073197260129</v>
      </c>
      <c r="AU485" s="44">
        <f t="shared" si="319"/>
        <v>-153.9216369468063</v>
      </c>
    </row>
    <row r="486" spans="14:47" x14ac:dyDescent="0.3">
      <c r="N486" s="8">
        <v>68</v>
      </c>
      <c r="O486" s="35">
        <f t="shared" si="320"/>
        <v>478630.09232263872</v>
      </c>
      <c r="P486" s="34" t="str">
        <f t="shared" si="288"/>
        <v>545.10556621881</v>
      </c>
      <c r="Q486" s="4" t="str">
        <f t="shared" si="289"/>
        <v>1+64244.7005825085i</v>
      </c>
      <c r="R486" s="4">
        <f t="shared" si="297"/>
        <v>64244.700590291242</v>
      </c>
      <c r="S486" s="4">
        <f t="shared" si="298"/>
        <v>1.5707807613087033</v>
      </c>
      <c r="T486" s="4" t="str">
        <f t="shared" si="290"/>
        <v>1+1.50366078182781i</v>
      </c>
      <c r="U486" s="4">
        <f t="shared" si="299"/>
        <v>1.8058227340486721</v>
      </c>
      <c r="V486" s="4">
        <f t="shared" si="300"/>
        <v>0.98391821724548767</v>
      </c>
      <c r="W486" t="str">
        <f t="shared" si="291"/>
        <v>1-1.56200282016272i</v>
      </c>
      <c r="X486" s="4">
        <f t="shared" si="301"/>
        <v>1.8546840189628773</v>
      </c>
      <c r="Y486" s="4">
        <f t="shared" si="302"/>
        <v>-1.0013386331119807</v>
      </c>
      <c r="Z486" t="str">
        <f t="shared" si="292"/>
        <v>-13.6615529777138+6.76415585412409i</v>
      </c>
      <c r="AA486" s="4">
        <f t="shared" si="303"/>
        <v>15.244403372443344</v>
      </c>
      <c r="AB486" s="4">
        <f t="shared" si="304"/>
        <v>2.6818538534461211</v>
      </c>
      <c r="AC486" s="48" t="str">
        <f t="shared" si="305"/>
        <v>-0.00079794392028139+0.00168472364918934i</v>
      </c>
      <c r="AD486" s="20">
        <f t="shared" si="306"/>
        <v>-54.590441570103287</v>
      </c>
      <c r="AE486" s="44">
        <f t="shared" si="307"/>
        <v>115.34386845679302</v>
      </c>
      <c r="AF486" t="str">
        <f t="shared" si="293"/>
        <v>-0.0000333790427773504</v>
      </c>
      <c r="AG486" t="str">
        <f t="shared" si="294"/>
        <v>0.0162996828750134i</v>
      </c>
      <c r="AH486">
        <f t="shared" si="308"/>
        <v>1.6299682875013401E-2</v>
      </c>
      <c r="AI486">
        <f t="shared" si="309"/>
        <v>1.5707963267948966</v>
      </c>
      <c r="AJ486" t="str">
        <f t="shared" si="295"/>
        <v>1+375.52679599301i</v>
      </c>
      <c r="AK486">
        <f t="shared" si="310"/>
        <v>375.52812745355811</v>
      </c>
      <c r="AL486">
        <f t="shared" si="311"/>
        <v>1.5681334072723601</v>
      </c>
      <c r="AM486" t="str">
        <f t="shared" si="296"/>
        <v>1+2826.88226983628i</v>
      </c>
      <c r="AN486">
        <f t="shared" si="312"/>
        <v>2826.882446709576</v>
      </c>
      <c r="AO486">
        <f t="shared" si="313"/>
        <v>1.5704425802066648</v>
      </c>
      <c r="AP486" s="42" t="str">
        <f t="shared" si="314"/>
        <v>-0.0000355972192273948+0.0154155435598189i</v>
      </c>
      <c r="AQ486">
        <f t="shared" si="315"/>
        <v>-36.240799986695862</v>
      </c>
      <c r="AR486" s="44">
        <f t="shared" si="316"/>
        <v>90.132305863301497</v>
      </c>
      <c r="AS486" s="42" t="str">
        <f t="shared" si="317"/>
        <v>-0.0000259425262156739-0.0000123607107384682i</v>
      </c>
      <c r="AT486" s="20">
        <f t="shared" si="318"/>
        <v>-90.831241556799142</v>
      </c>
      <c r="AU486" s="44">
        <f t="shared" si="319"/>
        <v>-154.52382567990546</v>
      </c>
    </row>
    <row r="487" spans="14:47" x14ac:dyDescent="0.3">
      <c r="N487" s="8">
        <v>69</v>
      </c>
      <c r="O487" s="35">
        <f t="shared" si="320"/>
        <v>489778.81936844654</v>
      </c>
      <c r="P487" s="34" t="str">
        <f t="shared" si="288"/>
        <v>545.10556621881</v>
      </c>
      <c r="Q487" s="4" t="str">
        <f t="shared" si="289"/>
        <v>1+65741.1518972563i</v>
      </c>
      <c r="R487" s="4">
        <f t="shared" si="297"/>
        <v>65741.151904861894</v>
      </c>
      <c r="S487" s="4">
        <f t="shared" si="298"/>
        <v>1.5707811156224261</v>
      </c>
      <c r="T487" s="4" t="str">
        <f t="shared" si="290"/>
        <v>1+1.53868554081179i</v>
      </c>
      <c r="U487" s="4">
        <f t="shared" si="299"/>
        <v>1.8350894238437732</v>
      </c>
      <c r="V487" s="4">
        <f t="shared" si="300"/>
        <v>0.99448763084817826</v>
      </c>
      <c r="W487" t="str">
        <f t="shared" si="291"/>
        <v>1-1.59838653979529i</v>
      </c>
      <c r="X487" s="4">
        <f t="shared" si="301"/>
        <v>1.8854282088159073</v>
      </c>
      <c r="Y487" s="4">
        <f t="shared" si="302"/>
        <v>-1.0117434634331426</v>
      </c>
      <c r="Z487" t="str">
        <f t="shared" si="292"/>
        <v>-14.3525306817248+6.92171328422003i</v>
      </c>
      <c r="AA487" s="4">
        <f t="shared" si="303"/>
        <v>15.934404656553687</v>
      </c>
      <c r="AB487" s="4">
        <f t="shared" si="304"/>
        <v>2.6922340019585054</v>
      </c>
      <c r="AC487" s="48" t="str">
        <f t="shared" si="305"/>
        <v>-0.000754008552592549+0.00163493004678519i</v>
      </c>
      <c r="AD487" s="20">
        <f t="shared" si="306"/>
        <v>-54.892506037850197</v>
      </c>
      <c r="AE487" s="44">
        <f t="shared" si="307"/>
        <v>114.7585393830435</v>
      </c>
      <c r="AF487" t="str">
        <f t="shared" si="293"/>
        <v>-0.0000333790427773504</v>
      </c>
      <c r="AG487" t="str">
        <f t="shared" si="294"/>
        <v>0.0166793512623998i</v>
      </c>
      <c r="AH487">
        <f t="shared" si="308"/>
        <v>1.6679351262399798E-2</v>
      </c>
      <c r="AI487">
        <f t="shared" si="309"/>
        <v>1.5707963267948966</v>
      </c>
      <c r="AJ487" t="str">
        <f t="shared" si="295"/>
        <v>1+384.273938753292i</v>
      </c>
      <c r="AK487">
        <f t="shared" si="310"/>
        <v>384.27523990620159</v>
      </c>
      <c r="AL487">
        <f t="shared" si="311"/>
        <v>1.568194022444219</v>
      </c>
      <c r="AM487" t="str">
        <f t="shared" si="296"/>
        <v>1+2892.72881672618i</v>
      </c>
      <c r="AN487">
        <f t="shared" si="312"/>
        <v>2892.7289895733484</v>
      </c>
      <c r="AO487">
        <f t="shared" si="313"/>
        <v>1.5704506324614413</v>
      </c>
      <c r="AP487" s="42" t="str">
        <f t="shared" si="314"/>
        <v>-0.0000339950912947817+0.0150646471171546i</v>
      </c>
      <c r="AQ487">
        <f t="shared" si="315"/>
        <v>-36.440798625090956</v>
      </c>
      <c r="AR487" s="44">
        <f t="shared" si="316"/>
        <v>90.129294229993775</v>
      </c>
      <c r="AS487" s="42" t="str">
        <f t="shared" si="317"/>
        <v>-0.0000246040116264695-0.0000114144523643243i</v>
      </c>
      <c r="AT487" s="20">
        <f t="shared" si="318"/>
        <v>-91.333304662941174</v>
      </c>
      <c r="AU487" s="44">
        <f t="shared" si="319"/>
        <v>-155.11216638696271</v>
      </c>
    </row>
    <row r="488" spans="14:47" x14ac:dyDescent="0.3">
      <c r="N488" s="8">
        <v>70</v>
      </c>
      <c r="O488" s="35">
        <f t="shared" si="320"/>
        <v>501187.23362727347</v>
      </c>
      <c r="P488" s="34" t="str">
        <f t="shared" si="288"/>
        <v>545.10556621881</v>
      </c>
      <c r="Q488" s="4" t="str">
        <f t="shared" si="289"/>
        <v>1+67272.4600409271i</v>
      </c>
      <c r="R488" s="4">
        <f t="shared" si="297"/>
        <v>67272.460048359557</v>
      </c>
      <c r="S488" s="4">
        <f t="shared" si="298"/>
        <v>1.5707814618709839</v>
      </c>
      <c r="T488" s="4" t="str">
        <f t="shared" si="290"/>
        <v>1+1.57452613123643i</v>
      </c>
      <c r="U488" s="4">
        <f t="shared" si="299"/>
        <v>1.8652432918915323</v>
      </c>
      <c r="V488" s="4">
        <f t="shared" si="300"/>
        <v>1.0049586842064098</v>
      </c>
      <c r="W488" t="str">
        <f t="shared" si="291"/>
        <v>1-1.6356177451284i</v>
      </c>
      <c r="X488" s="4">
        <f t="shared" si="301"/>
        <v>1.9170929576259239</v>
      </c>
      <c r="Y488" s="4">
        <f t="shared" si="302"/>
        <v>-1.0220440416449217</v>
      </c>
      <c r="Z488" t="str">
        <f t="shared" si="292"/>
        <v>-15.0760731616614+7.08294069831898i</v>
      </c>
      <c r="AA488" s="4">
        <f t="shared" si="303"/>
        <v>16.657011463995289</v>
      </c>
      <c r="AB488" s="4">
        <f t="shared" si="304"/>
        <v>2.7023846421100086</v>
      </c>
      <c r="AC488" s="48" t="str">
        <f t="shared" si="305"/>
        <v>-0.000712693480920892+0.00158680008117732i</v>
      </c>
      <c r="AD488" s="20">
        <f t="shared" si="306"/>
        <v>-55.191502374504829</v>
      </c>
      <c r="AE488" s="44">
        <f t="shared" si="307"/>
        <v>114.18669821082895</v>
      </c>
      <c r="AF488" t="str">
        <f t="shared" si="293"/>
        <v>-0.0000333790427773504</v>
      </c>
      <c r="AG488" t="str">
        <f t="shared" si="294"/>
        <v>0.0170678632626029i</v>
      </c>
      <c r="AH488">
        <f t="shared" si="308"/>
        <v>1.70678632626029E-2</v>
      </c>
      <c r="AI488">
        <f t="shared" si="309"/>
        <v>1.5707963267948966</v>
      </c>
      <c r="AJ488" t="str">
        <f t="shared" si="295"/>
        <v>1+393.224828642369i</v>
      </c>
      <c r="AK488">
        <f t="shared" si="310"/>
        <v>393.22610017751936</v>
      </c>
      <c r="AL488">
        <f t="shared" si="311"/>
        <v>1.5682532578647925</v>
      </c>
      <c r="AM488" t="str">
        <f t="shared" si="296"/>
        <v>1+2960.10912672451i</v>
      </c>
      <c r="AN488">
        <f t="shared" si="312"/>
        <v>2960.1092956371972</v>
      </c>
      <c r="AO488">
        <f t="shared" si="313"/>
        <v>1.5704585014245649</v>
      </c>
      <c r="AP488" s="42" t="str">
        <f t="shared" si="314"/>
        <v>-0.0000324650700426336+0.0147217377744059i</v>
      </c>
      <c r="AQ488">
        <f t="shared" si="315"/>
        <v>-36.640797324768052</v>
      </c>
      <c r="AR488" s="44">
        <f t="shared" si="316"/>
        <v>90.126351148773352</v>
      </c>
      <c r="AS488" s="42" t="str">
        <f t="shared" si="317"/>
        <v>-0.0000233373170517215-0.000010543602115425i</v>
      </c>
      <c r="AT488" s="20">
        <f t="shared" si="318"/>
        <v>-91.83229969927288</v>
      </c>
      <c r="AU488" s="44">
        <f t="shared" si="319"/>
        <v>-155.6869506403977</v>
      </c>
    </row>
    <row r="489" spans="14:47" x14ac:dyDescent="0.3">
      <c r="N489" s="8">
        <v>71</v>
      </c>
      <c r="O489" s="35">
        <f t="shared" si="320"/>
        <v>512861.38399136515</v>
      </c>
      <c r="P489" s="34" t="str">
        <f t="shared" si="288"/>
        <v>545.10556621881</v>
      </c>
      <c r="Q489" s="4" t="str">
        <f t="shared" si="289"/>
        <v>1+68839.4369333675i</v>
      </c>
      <c r="R489" s="4">
        <f t="shared" si="297"/>
        <v>68839.436940630767</v>
      </c>
      <c r="S489" s="4">
        <f t="shared" si="298"/>
        <v>1.5707818002379625</v>
      </c>
      <c r="T489" s="4" t="str">
        <f t="shared" si="290"/>
        <v>1+1.61120155625717i</v>
      </c>
      <c r="U489" s="4">
        <f t="shared" si="299"/>
        <v>1.8963044204150152</v>
      </c>
      <c r="V489" s="4">
        <f t="shared" si="300"/>
        <v>1.0153277443532094</v>
      </c>
      <c r="W489" t="str">
        <f t="shared" si="291"/>
        <v>1-1.67371617663994i</v>
      </c>
      <c r="X489" s="4">
        <f t="shared" si="301"/>
        <v>1.9496989100746349</v>
      </c>
      <c r="Y489" s="4">
        <f t="shared" si="302"/>
        <v>-1.0322370855787903</v>
      </c>
      <c r="Z489" t="str">
        <f t="shared" si="292"/>
        <v>-15.8337151481304+7.24792358132993i</v>
      </c>
      <c r="AA489" s="4">
        <f t="shared" si="303"/>
        <v>17.413756964909457</v>
      </c>
      <c r="AB489" s="4">
        <f t="shared" si="304"/>
        <v>2.7123104337130202</v>
      </c>
      <c r="AC489" s="48" t="str">
        <f t="shared" si="305"/>
        <v>-0.000673832085521455+0.00154028424976454i</v>
      </c>
      <c r="AD489" s="20">
        <f t="shared" si="306"/>
        <v>-55.48747130603067</v>
      </c>
      <c r="AE489" s="44">
        <f t="shared" si="307"/>
        <v>113.62805784277684</v>
      </c>
      <c r="AF489" t="str">
        <f t="shared" si="293"/>
        <v>-0.0000333790427773504</v>
      </c>
      <c r="AG489" t="str">
        <f t="shared" si="294"/>
        <v>0.0174654248698277i</v>
      </c>
      <c r="AH489">
        <f t="shared" si="308"/>
        <v>1.74654248698277E-2</v>
      </c>
      <c r="AI489">
        <f t="shared" si="309"/>
        <v>1.5707963267948966</v>
      </c>
      <c r="AJ489" t="str">
        <f t="shared" si="295"/>
        <v>1+402.384211540535i</v>
      </c>
      <c r="AK489">
        <f t="shared" si="310"/>
        <v>402.38545413210204</v>
      </c>
      <c r="AL489">
        <f t="shared" si="311"/>
        <v>1.5683111449398208</v>
      </c>
      <c r="AM489" t="str">
        <f t="shared" si="296"/>
        <v>1+3029.05892576348i</v>
      </c>
      <c r="AN489">
        <f t="shared" si="312"/>
        <v>3029.0590908312447</v>
      </c>
      <c r="AO489">
        <f t="shared" si="313"/>
        <v>1.57046619126826</v>
      </c>
      <c r="AP489" s="42" t="str">
        <f t="shared" si="314"/>
        <v>-0.0000310039102197303+0.014386633741556i</v>
      </c>
      <c r="AQ489">
        <f t="shared" si="315"/>
        <v>-36.840796082968843</v>
      </c>
      <c r="AR489" s="44">
        <f t="shared" si="316"/>
        <v>90.123475059274725</v>
      </c>
      <c r="AS489" s="42" t="str">
        <f t="shared" si="317"/>
        <v>-0.0000221386139297671-9.74193025229858E-06i</v>
      </c>
      <c r="AT489" s="20">
        <f t="shared" si="318"/>
        <v>-92.328267388999521</v>
      </c>
      <c r="AU489" s="44">
        <f t="shared" si="319"/>
        <v>-156.24846709794838</v>
      </c>
    </row>
    <row r="490" spans="14:47" x14ac:dyDescent="0.3">
      <c r="N490" s="8">
        <v>72</v>
      </c>
      <c r="O490" s="35">
        <f t="shared" si="320"/>
        <v>524807.46024977288</v>
      </c>
      <c r="P490" s="34" t="str">
        <f t="shared" si="288"/>
        <v>545.10556621881</v>
      </c>
      <c r="Q490" s="4" t="str">
        <f t="shared" si="289"/>
        <v>1+70442.9134064681i</v>
      </c>
      <c r="R490" s="4">
        <f t="shared" si="297"/>
        <v>70442.913413566042</v>
      </c>
      <c r="S490" s="4">
        <f t="shared" si="298"/>
        <v>1.5707821309027681</v>
      </c>
      <c r="T490" s="4" t="str">
        <f t="shared" si="290"/>
        <v>1+1.64873126166981i</v>
      </c>
      <c r="U490" s="4">
        <f t="shared" si="299"/>
        <v>1.9282932280146927</v>
      </c>
      <c r="V490" s="4">
        <f t="shared" si="300"/>
        <v>1.0255913899379967</v>
      </c>
      <c r="W490" t="str">
        <f t="shared" si="291"/>
        <v>1-1.71270203462259i</v>
      </c>
      <c r="X490" s="4">
        <f t="shared" si="301"/>
        <v>1.9832670670891401</v>
      </c>
      <c r="Y490" s="4">
        <f t="shared" si="302"/>
        <v>-1.0423195269501466</v>
      </c>
      <c r="Z490" t="str">
        <f t="shared" si="292"/>
        <v>-16.6270637013643+7.41674940936136i</v>
      </c>
      <c r="AA490" s="4">
        <f t="shared" si="303"/>
        <v>18.2062467062953</v>
      </c>
      <c r="AB490" s="4">
        <f t="shared" si="304"/>
        <v>2.7220159791393952</v>
      </c>
      <c r="AC490" s="48" t="str">
        <f t="shared" si="305"/>
        <v>-0.000637268555930493+0.00149533261478175i</v>
      </c>
      <c r="AD490" s="20">
        <f t="shared" si="306"/>
        <v>-55.780456794514201</v>
      </c>
      <c r="AE490" s="44">
        <f t="shared" si="307"/>
        <v>113.08233434293487</v>
      </c>
      <c r="AF490" t="str">
        <f t="shared" si="293"/>
        <v>-0.0000333790427773504</v>
      </c>
      <c r="AG490" t="str">
        <f t="shared" si="294"/>
        <v>0.0178722468765007i</v>
      </c>
      <c r="AH490">
        <f t="shared" si="308"/>
        <v>1.78722468765007E-2</v>
      </c>
      <c r="AI490">
        <f t="shared" si="309"/>
        <v>1.5707963267948966</v>
      </c>
      <c r="AJ490" t="str">
        <f t="shared" si="295"/>
        <v>1+411.756943873846i</v>
      </c>
      <c r="AK490">
        <f t="shared" si="310"/>
        <v>411.75815818066019</v>
      </c>
      <c r="AL490">
        <f t="shared" si="311"/>
        <v>1.5683677143602444</v>
      </c>
      <c r="AM490" t="str">
        <f t="shared" si="296"/>
        <v>1+3099.61477193924i</v>
      </c>
      <c r="AN490">
        <f t="shared" si="312"/>
        <v>3099.6149332496043</v>
      </c>
      <c r="AO490">
        <f t="shared" si="313"/>
        <v>1.57047370606978</v>
      </c>
      <c r="AP490" s="42" t="str">
        <f t="shared" si="314"/>
        <v>-0.000029608512627825+0.0140591573653938i</v>
      </c>
      <c r="AQ490">
        <f t="shared" si="315"/>
        <v>-37.040794897059541</v>
      </c>
      <c r="AR490" s="44">
        <f t="shared" si="316"/>
        <v>90.120664436645939</v>
      </c>
      <c r="AS490" s="42" t="str">
        <f t="shared" si="317"/>
        <v>-0.0000210042479707368-9.00373348645162E-06i</v>
      </c>
      <c r="AT490" s="20">
        <f t="shared" si="318"/>
        <v>-92.82125169157375</v>
      </c>
      <c r="AU490" s="44">
        <f t="shared" si="319"/>
        <v>-156.79700122041916</v>
      </c>
    </row>
    <row r="491" spans="14:47" x14ac:dyDescent="0.3">
      <c r="N491" s="8">
        <v>73</v>
      </c>
      <c r="O491" s="35">
        <f t="shared" si="320"/>
        <v>537031.7963702539</v>
      </c>
      <c r="P491" s="34" t="str">
        <f t="shared" si="288"/>
        <v>545.10556621881</v>
      </c>
      <c r="Q491" s="4" t="str">
        <f t="shared" si="289"/>
        <v>1+72083.7396446788i</v>
      </c>
      <c r="R491" s="4">
        <f t="shared" si="297"/>
        <v>72083.739651615178</v>
      </c>
      <c r="S491" s="4">
        <f t="shared" si="298"/>
        <v>1.570782454040724</v>
      </c>
      <c r="T491" s="4" t="str">
        <f t="shared" si="290"/>
        <v>1+1.68713514622092i</v>
      </c>
      <c r="U491" s="4">
        <f t="shared" si="299"/>
        <v>1.9612304815125339</v>
      </c>
      <c r="V491" s="4">
        <f t="shared" si="300"/>
        <v>1.0357464128914771</v>
      </c>
      <c r="W491" t="str">
        <f t="shared" si="291"/>
        <v>1-1.75259598989429i</v>
      </c>
      <c r="X491" s="4">
        <f t="shared" si="301"/>
        <v>2.017818798552919</v>
      </c>
      <c r="Y491" s="4">
        <f t="shared" si="302"/>
        <v>-1.0522885115663632</v>
      </c>
      <c r="Z491" t="str">
        <f t="shared" si="292"/>
        <v>-17.4578016200103+7.58950769610191i</v>
      </c>
      <c r="AA491" s="4">
        <f t="shared" si="303"/>
        <v>19.0361620205551</v>
      </c>
      <c r="AB491" s="4">
        <f t="shared" si="304"/>
        <v>2.7315058203728579</v>
      </c>
      <c r="AC491" s="48" t="str">
        <f t="shared" si="305"/>
        <v>-0.000602857231351693+0.00145189513584277i</v>
      </c>
      <c r="AD491" s="20">
        <f t="shared" si="306"/>
        <v>-56.070505740529768</v>
      </c>
      <c r="AE491" s="44">
        <f t="shared" si="307"/>
        <v>112.54924718912002</v>
      </c>
      <c r="AF491" t="str">
        <f t="shared" si="293"/>
        <v>-0.0000333790427773504</v>
      </c>
      <c r="AG491" t="str">
        <f t="shared" si="294"/>
        <v>0.0182885449850348i</v>
      </c>
      <c r="AH491">
        <f t="shared" si="308"/>
        <v>1.8288544985034801E-2</v>
      </c>
      <c r="AI491">
        <f t="shared" si="309"/>
        <v>1.5707963267948966</v>
      </c>
      <c r="AJ491" t="str">
        <f t="shared" si="295"/>
        <v>1+421.347995189047i</v>
      </c>
      <c r="AK491">
        <f t="shared" si="310"/>
        <v>421.34918185494234</v>
      </c>
      <c r="AL491">
        <f t="shared" si="311"/>
        <v>1.5684229961184697</v>
      </c>
      <c r="AM491" t="str">
        <f t="shared" si="296"/>
        <v>1+3171.81407489534i</v>
      </c>
      <c r="AN491">
        <f t="shared" si="312"/>
        <v>3171.8142325338317</v>
      </c>
      <c r="AO491">
        <f t="shared" si="313"/>
        <v>1.5704810498135686</v>
      </c>
      <c r="AP491" s="42" t="str">
        <f t="shared" si="314"/>
        <v>-0.0000282759175488294+0.0137391350354326i</v>
      </c>
      <c r="AQ491">
        <f t="shared" si="315"/>
        <v>-37.240793764524568</v>
      </c>
      <c r="AR491" s="44">
        <f t="shared" si="316"/>
        <v>90.117917790740464</v>
      </c>
      <c r="AS491" s="42" t="str">
        <f t="shared" si="317"/>
        <v>-0.0000199307369872642-8.32379057577858E-06i</v>
      </c>
      <c r="AT491" s="20">
        <f t="shared" si="318"/>
        <v>-93.311299505054308</v>
      </c>
      <c r="AU491" s="44">
        <f t="shared" si="319"/>
        <v>-157.33283502013956</v>
      </c>
    </row>
    <row r="492" spans="14:47" x14ac:dyDescent="0.3">
      <c r="N492" s="8">
        <v>74</v>
      </c>
      <c r="O492" s="35">
        <f t="shared" si="320"/>
        <v>549540.87385762564</v>
      </c>
      <c r="P492" s="34" t="str">
        <f t="shared" si="288"/>
        <v>545.10556621881</v>
      </c>
      <c r="Q492" s="4" t="str">
        <f t="shared" si="289"/>
        <v>1+73762.7856357901i</v>
      </c>
      <c r="R492" s="4">
        <f t="shared" si="297"/>
        <v>73762.78564256859</v>
      </c>
      <c r="S492" s="4">
        <f t="shared" si="298"/>
        <v>1.570782769823162</v>
      </c>
      <c r="T492" s="4" t="str">
        <f t="shared" si="290"/>
        <v>1+1.72643357215843i</v>
      </c>
      <c r="U492" s="4">
        <f t="shared" si="299"/>
        <v>1.9951373083263511</v>
      </c>
      <c r="V492" s="4">
        <f t="shared" si="300"/>
        <v>1.0457898191968269</v>
      </c>
      <c r="W492" t="str">
        <f t="shared" si="291"/>
        <v>1-1.79341919475817i</v>
      </c>
      <c r="X492" s="4">
        <f t="shared" si="301"/>
        <v>2.0533758565170293</v>
      </c>
      <c r="Y492" s="4">
        <f t="shared" si="302"/>
        <v>-1.0621413987077235</v>
      </c>
      <c r="Z492" t="str">
        <f t="shared" si="292"/>
        <v>-18.327691010573+7.76629004028193i</v>
      </c>
      <c r="AA492" s="4">
        <f t="shared" si="303"/>
        <v>19.905263594557617</v>
      </c>
      <c r="AB492" s="4">
        <f t="shared" si="304"/>
        <v>2.7407844364963934</v>
      </c>
      <c r="AC492" s="48" t="str">
        <f t="shared" si="305"/>
        <v>-0.000570461972028775+0.00140992195484973i</v>
      </c>
      <c r="AD492" s="20">
        <f t="shared" si="306"/>
        <v>-56.357667692371997</v>
      </c>
      <c r="AE492" s="44">
        <f t="shared" si="307"/>
        <v>112.02851949653147</v>
      </c>
      <c r="AF492" t="str">
        <f t="shared" si="293"/>
        <v>-0.0000333790427773504</v>
      </c>
      <c r="AG492" t="str">
        <f t="shared" si="294"/>
        <v>0.0187145399221974i</v>
      </c>
      <c r="AH492">
        <f t="shared" si="308"/>
        <v>1.8714539922197401E-2</v>
      </c>
      <c r="AI492">
        <f t="shared" si="309"/>
        <v>1.5707963267948966</v>
      </c>
      <c r="AJ492" t="str">
        <f t="shared" si="295"/>
        <v>1+431.162450788496i</v>
      </c>
      <c r="AK492">
        <f t="shared" si="310"/>
        <v>431.16361044265119</v>
      </c>
      <c r="AL492">
        <f t="shared" si="311"/>
        <v>1.5684770195242645</v>
      </c>
      <c r="AM492" t="str">
        <f t="shared" si="296"/>
        <v>1+3245.69511565786i</v>
      </c>
      <c r="AN492">
        <f t="shared" si="312"/>
        <v>3245.6952697080615</v>
      </c>
      <c r="AO492">
        <f t="shared" si="313"/>
        <v>1.5704882263933728</v>
      </c>
      <c r="AP492" s="42" t="str">
        <f t="shared" si="314"/>
        <v>-0.0000270032984677651+0.0134263970919628i</v>
      </c>
      <c r="AQ492">
        <f t="shared" si="315"/>
        <v>-37.440792682961757</v>
      </c>
      <c r="AR492" s="44">
        <f t="shared" si="316"/>
        <v>90.115233665327622</v>
      </c>
      <c r="AS492" s="42" t="str">
        <f t="shared" si="317"/>
        <v>-0.0000189147676795937-7.69732150568557E-06i</v>
      </c>
      <c r="AT492" s="20">
        <f t="shared" si="318"/>
        <v>-93.798460375333761</v>
      </c>
      <c r="AU492" s="44">
        <f t="shared" si="319"/>
        <v>-157.85624683814089</v>
      </c>
    </row>
    <row r="493" spans="14:47" x14ac:dyDescent="0.3">
      <c r="N493" s="8">
        <v>75</v>
      </c>
      <c r="O493" s="35">
        <f t="shared" si="320"/>
        <v>562341.32519035018</v>
      </c>
      <c r="P493" s="34" t="str">
        <f t="shared" si="288"/>
        <v>545.10556621881</v>
      </c>
      <c r="Q493" s="4" t="str">
        <f t="shared" si="289"/>
        <v>1+75480.9416322117i</v>
      </c>
      <c r="R493" s="4">
        <f t="shared" si="297"/>
        <v>75480.941638835895</v>
      </c>
      <c r="S493" s="4">
        <f t="shared" si="298"/>
        <v>1.5707830784175139</v>
      </c>
      <c r="T493" s="4" t="str">
        <f t="shared" si="290"/>
        <v>1+1.76664737602796i</v>
      </c>
      <c r="U493" s="4">
        <f t="shared" si="299"/>
        <v>2.0300352093563494</v>
      </c>
      <c r="V493" s="4">
        <f t="shared" si="300"/>
        <v>1.0557188288059312</v>
      </c>
      <c r="W493" t="str">
        <f t="shared" si="291"/>
        <v>1-1.83519329421783i</v>
      </c>
      <c r="X493" s="4">
        <f t="shared" si="301"/>
        <v>2.0899603888930747</v>
      </c>
      <c r="Y493" s="4">
        <f t="shared" si="302"/>
        <v>-1.0718757597271769</v>
      </c>
      <c r="Z493" t="str">
        <f t="shared" si="292"/>
        <v>-19.2385770250777+7.94719017424033i</v>
      </c>
      <c r="AA493" s="4">
        <f t="shared" si="303"/>
        <v>20.815395206802812</v>
      </c>
      <c r="AB493" s="4">
        <f t="shared" si="304"/>
        <v>2.7498562415746082</v>
      </c>
      <c r="AC493" s="48" t="str">
        <f t="shared" si="305"/>
        <v>-0.000539955561665707+0.0013693636382962i</v>
      </c>
      <c r="AD493" s="20">
        <f t="shared" si="306"/>
        <v>-56.641994563170158</v>
      </c>
      <c r="AE493" s="44">
        <f t="shared" si="307"/>
        <v>111.51987821450568</v>
      </c>
      <c r="AF493" t="str">
        <f t="shared" si="293"/>
        <v>-0.0000333790427773504</v>
      </c>
      <c r="AG493" t="str">
        <f t="shared" si="294"/>
        <v>0.019150457556143i</v>
      </c>
      <c r="AH493">
        <f t="shared" si="308"/>
        <v>1.9150457556142999E-2</v>
      </c>
      <c r="AI493">
        <f t="shared" si="309"/>
        <v>1.5707963267948966</v>
      </c>
      <c r="AJ493" t="str">
        <f t="shared" si="295"/>
        <v>1+441.205514426465i</v>
      </c>
      <c r="AK493">
        <f t="shared" si="310"/>
        <v>441.2066476837374</v>
      </c>
      <c r="AL493">
        <f t="shared" si="311"/>
        <v>1.5685298132202916</v>
      </c>
      <c r="AM493" t="str">
        <f t="shared" si="296"/>
        <v>1+3321.29706693256i</v>
      </c>
      <c r="AN493">
        <f t="shared" si="312"/>
        <v>3321.2972174761512</v>
      </c>
      <c r="AO493">
        <f t="shared" si="313"/>
        <v>1.5704952396143073</v>
      </c>
      <c r="AP493" s="42" t="str">
        <f t="shared" si="314"/>
        <v>-0.0000257879560781766+0.0131207777361936i</v>
      </c>
      <c r="AQ493">
        <f t="shared" si="315"/>
        <v>-37.640791650077098</v>
      </c>
      <c r="AR493" s="44">
        <f t="shared" si="316"/>
        <v>90.112610637320714</v>
      </c>
      <c r="AS493" s="42" t="str">
        <f t="shared" si="317"/>
        <v>-0.0000179531915878014-7.11995000139675E-06i</v>
      </c>
      <c r="AT493" s="20">
        <f t="shared" si="318"/>
        <v>-94.282786213247277</v>
      </c>
      <c r="AU493" s="44">
        <f t="shared" si="319"/>
        <v>-158.36751114817358</v>
      </c>
    </row>
    <row r="494" spans="14:47" x14ac:dyDescent="0.3">
      <c r="N494" s="8">
        <v>76</v>
      </c>
      <c r="O494" s="35">
        <f t="shared" si="320"/>
        <v>575439.93733715697</v>
      </c>
      <c r="P494" s="34" t="str">
        <f t="shared" si="288"/>
        <v>545.10556621881</v>
      </c>
      <c r="Q494" s="4" t="str">
        <f t="shared" si="289"/>
        <v>1+77239.1186229947i</v>
      </c>
      <c r="R494" s="4">
        <f t="shared" si="297"/>
        <v>77239.11862946811</v>
      </c>
      <c r="S494" s="4">
        <f t="shared" si="298"/>
        <v>1.5707833799874009</v>
      </c>
      <c r="T494" s="4" t="str">
        <f t="shared" si="290"/>
        <v>1+1.80779787972058i</v>
      </c>
      <c r="U494" s="4">
        <f t="shared" si="299"/>
        <v>2.0659460723654486</v>
      </c>
      <c r="V494" s="4">
        <f t="shared" si="300"/>
        <v>1.0655308747440027</v>
      </c>
      <c r="W494" t="str">
        <f t="shared" si="291"/>
        <v>1-1.87794043745374i</v>
      </c>
      <c r="X494" s="4">
        <f t="shared" si="301"/>
        <v>2.1275949536093437</v>
      </c>
      <c r="Y494" s="4">
        <f t="shared" si="302"/>
        <v>-1.0814893759180939</v>
      </c>
      <c r="Z494" t="str">
        <f t="shared" si="292"/>
        <v>-20.192391774886+8.13230401362258i</v>
      </c>
      <c r="AA494" s="4">
        <f t="shared" si="303"/>
        <v>21.768487640634703</v>
      </c>
      <c r="AB494" s="4">
        <f t="shared" si="304"/>
        <v>2.7587255828942046</v>
      </c>
      <c r="AC494" s="48" t="str">
        <f t="shared" si="305"/>
        <v>-0.000511219140661152+0.0013301713815787i</v>
      </c>
      <c r="AD494" s="20">
        <f t="shared" si="306"/>
        <v>-56.923540356791086</v>
      </c>
      <c r="AE494" s="44">
        <f t="shared" si="307"/>
        <v>111.0230542981917</v>
      </c>
      <c r="AF494" t="str">
        <f t="shared" si="293"/>
        <v>-0.0000333790427773504</v>
      </c>
      <c r="AG494" t="str">
        <f t="shared" si="294"/>
        <v>0.0195965290161711i</v>
      </c>
      <c r="AH494">
        <f t="shared" si="308"/>
        <v>1.9596529016171101E-2</v>
      </c>
      <c r="AI494">
        <f t="shared" si="309"/>
        <v>1.5707963267948966</v>
      </c>
      <c r="AJ494" t="str">
        <f t="shared" si="295"/>
        <v>1+451.482511068226i</v>
      </c>
      <c r="AK494">
        <f t="shared" si="310"/>
        <v>451.48361852947755</v>
      </c>
      <c r="AL494">
        <f t="shared" si="311"/>
        <v>1.5685814051972895</v>
      </c>
      <c r="AM494" t="str">
        <f t="shared" si="296"/>
        <v>1+3398.66001387471i</v>
      </c>
      <c r="AN494">
        <f t="shared" si="312"/>
        <v>3398.660160991511</v>
      </c>
      <c r="AO494">
        <f t="shared" si="313"/>
        <v>1.5705020931948719</v>
      </c>
      <c r="AP494" s="42" t="str">
        <f t="shared" si="314"/>
        <v>-0.000024627312557299+0.0128221149424354i</v>
      </c>
      <c r="AQ494">
        <f t="shared" si="315"/>
        <v>-37.840790663679584</v>
      </c>
      <c r="AR494" s="44">
        <f t="shared" si="316"/>
        <v>90.1100473160229</v>
      </c>
      <c r="AS494" s="42" t="str">
        <f t="shared" si="317"/>
        <v>-0.0000170430203941779-6.58766912869925E-06i</v>
      </c>
      <c r="AT494" s="20">
        <f t="shared" si="318"/>
        <v>-94.764331020470649</v>
      </c>
      <c r="AU494" s="44">
        <f t="shared" si="319"/>
        <v>-158.86689838578545</v>
      </c>
    </row>
    <row r="495" spans="14:47" x14ac:dyDescent="0.3">
      <c r="N495" s="8">
        <v>77</v>
      </c>
      <c r="O495" s="35">
        <f t="shared" si="320"/>
        <v>588843.65535558888</v>
      </c>
      <c r="P495" s="34" t="str">
        <f t="shared" si="288"/>
        <v>545.10556621881</v>
      </c>
      <c r="Q495" s="4" t="str">
        <f t="shared" si="289"/>
        <v>1+79038.2488168523i</v>
      </c>
      <c r="R495" s="4">
        <f t="shared" si="297"/>
        <v>79038.248823178335</v>
      </c>
      <c r="S495" s="4">
        <f t="shared" si="298"/>
        <v>1.5707836746927193</v>
      </c>
      <c r="T495" s="4" t="str">
        <f t="shared" si="290"/>
        <v>1+1.84990690177808i</v>
      </c>
      <c r="U495" s="4">
        <f t="shared" si="299"/>
        <v>2.1028921858350644</v>
      </c>
      <c r="V495" s="4">
        <f t="shared" si="300"/>
        <v>1.0752236014497794</v>
      </c>
      <c r="W495" t="str">
        <f t="shared" si="291"/>
        <v>1-1.92168328956706i</v>
      </c>
      <c r="X495" s="4">
        <f t="shared" si="301"/>
        <v>2.1663025332121268</v>
      </c>
      <c r="Y495" s="4">
        <f t="shared" si="302"/>
        <v>-1.0909802357018823</v>
      </c>
      <c r="Z495" t="str">
        <f t="shared" si="292"/>
        <v>-21.1911584289621+8.32172970823663i</v>
      </c>
      <c r="AA495" s="4">
        <f t="shared" si="303"/>
        <v>22.766562781814905</v>
      </c>
      <c r="AB495" s="4">
        <f t="shared" si="304"/>
        <v>2.7673967395284063</v>
      </c>
      <c r="AC495" s="48" t="str">
        <f t="shared" si="305"/>
        <v>-0.000484141669683594+0.00129229717954002i</v>
      </c>
      <c r="AD495" s="20">
        <f t="shared" si="306"/>
        <v>-57.202360903313981</v>
      </c>
      <c r="AE495" s="44">
        <f t="shared" si="307"/>
        <v>110.53778285683748</v>
      </c>
      <c r="AF495" t="str">
        <f t="shared" si="293"/>
        <v>-0.0000333790427773504</v>
      </c>
      <c r="AG495" t="str">
        <f t="shared" si="294"/>
        <v>0.0200529908152744i</v>
      </c>
      <c r="AH495">
        <f t="shared" si="308"/>
        <v>2.00529908152744E-2</v>
      </c>
      <c r="AI495">
        <f t="shared" si="309"/>
        <v>1.5707963267948966</v>
      </c>
      <c r="AJ495" t="str">
        <f t="shared" si="295"/>
        <v>1+461.998889713433i</v>
      </c>
      <c r="AK495">
        <f t="shared" si="310"/>
        <v>461.99997196584854</v>
      </c>
      <c r="AL495">
        <f t="shared" si="311"/>
        <v>1.568631822808908</v>
      </c>
      <c r="AM495" t="str">
        <f t="shared" si="296"/>
        <v>1+3477.8249753428i</v>
      </c>
      <c r="AN495">
        <f t="shared" si="312"/>
        <v>3477.8251191108143</v>
      </c>
      <c r="AO495">
        <f t="shared" si="313"/>
        <v>1.5705087907689232</v>
      </c>
      <c r="AP495" s="42" t="str">
        <f t="shared" si="314"/>
        <v>-0.0000235189060988395+0.0125302503722754i</v>
      </c>
      <c r="AQ495">
        <f t="shared" si="315"/>
        <v>-38.040789721677172</v>
      </c>
      <c r="AR495" s="44">
        <f t="shared" si="316"/>
        <v>90.107542342390147</v>
      </c>
      <c r="AS495" s="42" t="str">
        <f t="shared" si="317"/>
        <v>-0.000016181420732554-6.09680975280428E-06i</v>
      </c>
      <c r="AT495" s="20">
        <f t="shared" si="318"/>
        <v>-95.243150624991131</v>
      </c>
      <c r="AU495" s="44">
        <f t="shared" si="319"/>
        <v>-159.35467480077241</v>
      </c>
    </row>
    <row r="496" spans="14:47" x14ac:dyDescent="0.3">
      <c r="N496" s="8">
        <v>78</v>
      </c>
      <c r="O496" s="35">
        <f t="shared" si="320"/>
        <v>602559.58607435878</v>
      </c>
      <c r="P496" s="34" t="str">
        <f t="shared" si="288"/>
        <v>545.10556621881</v>
      </c>
      <c r="Q496" s="4" t="str">
        <f t="shared" si="289"/>
        <v>1+80879.2861364276i</v>
      </c>
      <c r="R496" s="4">
        <f t="shared" si="297"/>
        <v>80879.28614260965</v>
      </c>
      <c r="S496" s="4">
        <f t="shared" si="298"/>
        <v>1.5707839626897255</v>
      </c>
      <c r="T496" s="4" t="str">
        <f t="shared" si="290"/>
        <v>1+1.89299676896131i</v>
      </c>
      <c r="U496" s="4">
        <f t="shared" si="299"/>
        <v>2.140896253277575</v>
      </c>
      <c r="V496" s="4">
        <f t="shared" si="300"/>
        <v>1.0847948624014019</v>
      </c>
      <c r="W496" t="str">
        <f t="shared" si="291"/>
        <v>1-1.966445043597i</v>
      </c>
      <c r="X496" s="4">
        <f t="shared" si="301"/>
        <v>2.2061065498944532</v>
      </c>
      <c r="Y496" s="4">
        <f t="shared" si="302"/>
        <v>-1.1003465311890992</v>
      </c>
      <c r="Z496" t="str">
        <f t="shared" si="292"/>
        <v>-22.2369955052865+8.51556769409311i</v>
      </c>
      <c r="AA496" s="4">
        <f t="shared" si="303"/>
        <v>23.81173790916602</v>
      </c>
      <c r="AB496" s="4">
        <f t="shared" si="304"/>
        <v>2.7758739211940675</v>
      </c>
      <c r="AC496" s="48" t="str">
        <f t="shared" si="305"/>
        <v>-0.000458619422918483+0.00125569396709525i</v>
      </c>
      <c r="AD496" s="20">
        <f t="shared" si="306"/>
        <v>-57.478513604751825</v>
      </c>
      <c r="AE496" s="44">
        <f t="shared" si="307"/>
        <v>110.06380328027279</v>
      </c>
      <c r="AF496" t="str">
        <f t="shared" si="293"/>
        <v>-0.0000333790427773504</v>
      </c>
      <c r="AG496" t="str">
        <f t="shared" si="294"/>
        <v>0.0205200849755406i</v>
      </c>
      <c r="AH496">
        <f t="shared" si="308"/>
        <v>2.0520084975540601E-2</v>
      </c>
      <c r="AI496">
        <f t="shared" si="309"/>
        <v>1.5707963267948966</v>
      </c>
      <c r="AJ496" t="str">
        <f t="shared" si="295"/>
        <v>1+472.760226285245i</v>
      </c>
      <c r="AK496">
        <f t="shared" si="310"/>
        <v>472.76128390264358</v>
      </c>
      <c r="AL496">
        <f t="shared" si="311"/>
        <v>1.5686810927862065</v>
      </c>
      <c r="AM496" t="str">
        <f t="shared" si="296"/>
        <v>1+3558.83392564727i</v>
      </c>
      <c r="AN496">
        <f t="shared" si="312"/>
        <v>3558.8340661427246</v>
      </c>
      <c r="AO496">
        <f t="shared" si="313"/>
        <v>1.5705153358876012</v>
      </c>
      <c r="AP496" s="42" t="str">
        <f t="shared" si="314"/>
        <v>-0.000022460385691788+0.0122450292907047i</v>
      </c>
      <c r="AQ496">
        <f t="shared" si="315"/>
        <v>-38.240788822071536</v>
      </c>
      <c r="AR496" s="44">
        <f t="shared" si="316"/>
        <v>90.105094388310903</v>
      </c>
      <c r="AS496" s="42" t="str">
        <f t="shared" si="317"/>
        <v>-0.000015365708638118-5.64401163773472E-06i</v>
      </c>
      <c r="AT496" s="20">
        <f t="shared" si="318"/>
        <v>-95.71930242682339</v>
      </c>
      <c r="AU496" s="44">
        <f t="shared" si="319"/>
        <v>-159.83110233141628</v>
      </c>
    </row>
    <row r="497" spans="14:47" x14ac:dyDescent="0.3">
      <c r="N497" s="8">
        <v>79</v>
      </c>
      <c r="O497" s="35">
        <f t="shared" si="320"/>
        <v>616595.00186148309</v>
      </c>
      <c r="P497" s="34" t="str">
        <f t="shared" si="288"/>
        <v>545.10556621881</v>
      </c>
      <c r="Q497" s="4" t="str">
        <f t="shared" si="289"/>
        <v>1+82763.2067240763i</v>
      </c>
      <c r="R497" s="4">
        <f t="shared" si="297"/>
        <v>82763.206730117628</v>
      </c>
      <c r="S497" s="4">
        <f t="shared" si="298"/>
        <v>1.5707842441311197</v>
      </c>
      <c r="T497" s="4" t="str">
        <f t="shared" si="290"/>
        <v>1+1.93709032808822i</v>
      </c>
      <c r="U497" s="4">
        <f t="shared" si="299"/>
        <v>2.179981407987905</v>
      </c>
      <c r="V497" s="4">
        <f t="shared" si="300"/>
        <v>1.0942427170806168</v>
      </c>
      <c r="W497" t="str">
        <f t="shared" si="291"/>
        <v>1-2.01224943281804i</v>
      </c>
      <c r="X497" s="4">
        <f t="shared" si="301"/>
        <v>2.2470308809352226</v>
      </c>
      <c r="Y497" s="4">
        <f t="shared" si="302"/>
        <v>-1.1095866541689001</v>
      </c>
      <c r="Z497" t="str">
        <f t="shared" si="292"/>
        <v>-23.332121364516+8.71392074665786i</v>
      </c>
      <c r="AA497" s="4">
        <f t="shared" si="303"/>
        <v>24.906230187395646</v>
      </c>
      <c r="AB497" s="4">
        <f t="shared" si="304"/>
        <v>2.7841612673725589</v>
      </c>
      <c r="AC497" s="48" t="str">
        <f t="shared" si="305"/>
        <v>-0.000434555510166088+0.00122031573344208i</v>
      </c>
      <c r="AD497" s="20">
        <f t="shared" si="306"/>
        <v>-57.75205719157568</v>
      </c>
      <c r="AE497" s="44">
        <f t="shared" si="307"/>
        <v>109.60085934512487</v>
      </c>
      <c r="AF497" t="str">
        <f t="shared" si="293"/>
        <v>-0.0000333790427773504</v>
      </c>
      <c r="AG497" t="str">
        <f t="shared" si="294"/>
        <v>0.0209980591564763i</v>
      </c>
      <c r="AH497">
        <f t="shared" si="308"/>
        <v>2.09980591564763E-2</v>
      </c>
      <c r="AI497">
        <f t="shared" si="309"/>
        <v>1.5707963267948966</v>
      </c>
      <c r="AJ497" t="str">
        <f t="shared" si="295"/>
        <v>1+483.772226586755i</v>
      </c>
      <c r="AK497">
        <f t="shared" si="310"/>
        <v>483.77326012989454</v>
      </c>
      <c r="AL497">
        <f t="shared" si="311"/>
        <v>1.5687292412518214</v>
      </c>
      <c r="AM497" t="str">
        <f t="shared" si="296"/>
        <v>1+3641.72981680586i</v>
      </c>
      <c r="AN497">
        <f t="shared" si="312"/>
        <v>3641.7299541032476</v>
      </c>
      <c r="AO497">
        <f t="shared" si="313"/>
        <v>1.5705217320212121</v>
      </c>
      <c r="AP497" s="42" t="str">
        <f t="shared" si="314"/>
        <v>-0.0000214495061341812+0.0119663004841483i</v>
      </c>
      <c r="AQ497">
        <f t="shared" si="315"/>
        <v>-38.440787962954673</v>
      </c>
      <c r="AR497" s="44">
        <f t="shared" si="316"/>
        <v>90.102702155902236</v>
      </c>
      <c r="AS497" s="42" t="str">
        <f t="shared" si="317"/>
        <v>-0.0000145933437508208-5.22619698149987E-06i</v>
      </c>
      <c r="AT497" s="20">
        <f t="shared" si="318"/>
        <v>-96.192845154530346</v>
      </c>
      <c r="AU497" s="44">
        <f t="shared" si="319"/>
        <v>-160.29643849897289</v>
      </c>
    </row>
    <row r="498" spans="14:47" x14ac:dyDescent="0.3">
      <c r="N498" s="8">
        <v>80</v>
      </c>
      <c r="O498" s="35">
        <f t="shared" si="320"/>
        <v>630957.34448019415</v>
      </c>
      <c r="P498" s="34" t="str">
        <f t="shared" si="288"/>
        <v>545.10556621881</v>
      </c>
      <c r="Q498" s="4" t="str">
        <f t="shared" si="289"/>
        <v>1+84691.0094594306i</v>
      </c>
      <c r="R498" s="4">
        <f t="shared" si="297"/>
        <v>84691.009465334413</v>
      </c>
      <c r="S498" s="4">
        <f t="shared" si="298"/>
        <v>1.5707845191661254</v>
      </c>
      <c r="T498" s="4" t="str">
        <f t="shared" si="290"/>
        <v>1+1.9822109581475i</v>
      </c>
      <c r="U498" s="4">
        <f t="shared" si="299"/>
        <v>2.220171228216425</v>
      </c>
      <c r="V498" s="4">
        <f t="shared" si="300"/>
        <v>1.1035654273293698</v>
      </c>
      <c r="W498" t="str">
        <f t="shared" si="291"/>
        <v>1-2.05912074332362i</v>
      </c>
      <c r="X498" s="4">
        <f t="shared" si="301"/>
        <v>2.2890998745326989</v>
      </c>
      <c r="Y498" s="4">
        <f t="shared" si="302"/>
        <v>-1.1186991915822315</v>
      </c>
      <c r="Z498" t="str">
        <f t="shared" si="292"/>
        <v>-24.4788589154238+8.91689403534486i</v>
      </c>
      <c r="AA498" s="4">
        <f t="shared" si="303"/>
        <v>26.052361371645222</v>
      </c>
      <c r="AB498" s="4">
        <f t="shared" si="304"/>
        <v>2.7922628466680184</v>
      </c>
      <c r="AC498" s="48" t="str">
        <f t="shared" si="305"/>
        <v>-0.000411859426849132+0.00118611761302915i</v>
      </c>
      <c r="AD498" s="20">
        <f t="shared" si="306"/>
        <v>-58.023051490491312</v>
      </c>
      <c r="AE498" s="44">
        <f t="shared" si="307"/>
        <v>109.14869930219736</v>
      </c>
      <c r="AF498" t="str">
        <f t="shared" si="293"/>
        <v>-0.0000333790427773504</v>
      </c>
      <c r="AG498" t="str">
        <f t="shared" si="294"/>
        <v>0.0214871667863189i</v>
      </c>
      <c r="AH498">
        <f t="shared" si="308"/>
        <v>2.1487166786318901E-2</v>
      </c>
      <c r="AI498">
        <f t="shared" si="309"/>
        <v>1.5707963267948966</v>
      </c>
      <c r="AJ498" t="str">
        <f t="shared" si="295"/>
        <v>1+495.040729326283i</v>
      </c>
      <c r="AK498">
        <f t="shared" si="310"/>
        <v>495.04173934315691</v>
      </c>
      <c r="AL498">
        <f t="shared" si="311"/>
        <v>1.5687762937338134</v>
      </c>
      <c r="AM498" t="str">
        <f t="shared" si="296"/>
        <v>1+3726.55660131731i</v>
      </c>
      <c r="AN498">
        <f t="shared" si="312"/>
        <v>3726.5567354894283</v>
      </c>
      <c r="AO498">
        <f t="shared" si="313"/>
        <v>1.5705279825610687</v>
      </c>
      <c r="AP498" s="42" t="str">
        <f t="shared" si="314"/>
        <v>-0.0000204841232712521+0.0116939161803591i</v>
      </c>
      <c r="AQ498">
        <f t="shared" si="315"/>
        <v>-38.640787142504379</v>
      </c>
      <c r="AR498" s="44">
        <f t="shared" si="316"/>
        <v>90.100364376821929</v>
      </c>
      <c r="AS498" s="42" t="str">
        <f t="shared" si="317"/>
        <v>-0.0000138619233675405-4.84054619506398E-06i</v>
      </c>
      <c r="AT498" s="20">
        <f t="shared" si="318"/>
        <v>-96.663838632995692</v>
      </c>
      <c r="AU498" s="44">
        <f t="shared" si="319"/>
        <v>-160.75093632098071</v>
      </c>
    </row>
    <row r="499" spans="14:47" x14ac:dyDescent="0.3">
      <c r="N499" s="8">
        <v>81</v>
      </c>
      <c r="O499" s="35">
        <f t="shared" si="320"/>
        <v>645654.22903465747</v>
      </c>
      <c r="P499" s="34" t="str">
        <f t="shared" si="288"/>
        <v>545.10556621881</v>
      </c>
      <c r="Q499" s="4" t="str">
        <f t="shared" si="289"/>
        <v>1+86663.7164890186i</v>
      </c>
      <c r="R499" s="4">
        <f t="shared" si="297"/>
        <v>86663.716494788023</v>
      </c>
      <c r="S499" s="4">
        <f t="shared" si="298"/>
        <v>1.5707847879405701</v>
      </c>
      <c r="T499" s="4" t="str">
        <f t="shared" si="290"/>
        <v>1+2.02838258269446i</v>
      </c>
      <c r="U499" s="4">
        <f t="shared" si="299"/>
        <v>2.2614897527466815</v>
      </c>
      <c r="V499" s="4">
        <f t="shared" si="300"/>
        <v>1.1127614531539416</v>
      </c>
      <c r="W499" t="str">
        <f t="shared" si="291"/>
        <v>1-2.107083826903i</v>
      </c>
      <c r="X499" s="4">
        <f t="shared" si="301"/>
        <v>2.3323383660172881</v>
      </c>
      <c r="Y499" s="4">
        <f t="shared" si="302"/>
        <v>-1.1276829205341163</v>
      </c>
      <c r="Z499" t="str">
        <f t="shared" si="292"/>
        <v>-25.6796405421016+9.12459517927847i</v>
      </c>
      <c r="AA499" s="4">
        <f t="shared" si="303"/>
        <v>27.252562733755152</v>
      </c>
      <c r="AB499" s="4">
        <f t="shared" si="304"/>
        <v>2.8001826563787704</v>
      </c>
      <c r="AC499" s="48" t="str">
        <f t="shared" si="305"/>
        <v>-0.00039044663090112+0.00115305595615081i</v>
      </c>
      <c r="AD499" s="20">
        <f t="shared" si="306"/>
        <v>-58.291557203812872</v>
      </c>
      <c r="AE499" s="44">
        <f t="shared" si="307"/>
        <v>108.70707594639204</v>
      </c>
      <c r="AF499" t="str">
        <f t="shared" si="293"/>
        <v>-0.0000333790427773504</v>
      </c>
      <c r="AG499" t="str">
        <f t="shared" si="294"/>
        <v>0.021987667196408i</v>
      </c>
      <c r="AH499">
        <f t="shared" si="308"/>
        <v>2.1987667196408E-2</v>
      </c>
      <c r="AI499">
        <f t="shared" si="309"/>
        <v>1.5707963267948966</v>
      </c>
      <c r="AJ499" t="str">
        <f t="shared" si="295"/>
        <v>1+506.57170921314i</v>
      </c>
      <c r="AK499">
        <f t="shared" si="310"/>
        <v>506.57269623926845</v>
      </c>
      <c r="AL499">
        <f t="shared" si="311"/>
        <v>1.5688222751791974</v>
      </c>
      <c r="AM499" t="str">
        <f t="shared" si="296"/>
        <v>1+3813.35925546559i</v>
      </c>
      <c r="AN499">
        <f t="shared" si="312"/>
        <v>3813.3593865835778</v>
      </c>
      <c r="AO499">
        <f t="shared" si="313"/>
        <v>1.5705340908212877</v>
      </c>
      <c r="AP499" s="42" t="str">
        <f t="shared" si="314"/>
        <v>-0.0000195621894478694+0.0114277319701316i</v>
      </c>
      <c r="AQ499">
        <f t="shared" si="315"/>
        <v>-38.840786358980225</v>
      </c>
      <c r="AR499" s="44">
        <f t="shared" si="316"/>
        <v>90.09807981159625</v>
      </c>
      <c r="AS499" s="42" t="str">
        <f t="shared" si="317"/>
        <v>-0.0000131691764224923-4.48447574563712E-06i</v>
      </c>
      <c r="AT499" s="20">
        <f t="shared" si="318"/>
        <v>-97.132343562793096</v>
      </c>
      <c r="AU499" s="44">
        <f t="shared" si="319"/>
        <v>-161.19484424201167</v>
      </c>
    </row>
    <row r="500" spans="14:47" x14ac:dyDescent="0.3">
      <c r="N500" s="8">
        <v>82</v>
      </c>
      <c r="O500" s="35">
        <f t="shared" si="320"/>
        <v>660693.44800759677</v>
      </c>
      <c r="P500" s="34" t="str">
        <f t="shared" si="288"/>
        <v>545.10556621881</v>
      </c>
      <c r="Q500" s="4" t="str">
        <f t="shared" si="289"/>
        <v>1+88682.3737682186i</v>
      </c>
      <c r="R500" s="4">
        <f t="shared" si="297"/>
        <v>88682.3737738567</v>
      </c>
      <c r="S500" s="4">
        <f t="shared" si="298"/>
        <v>1.5707850505969616</v>
      </c>
      <c r="T500" s="4" t="str">
        <f t="shared" si="290"/>
        <v>1+2.07562968253557i</v>
      </c>
      <c r="U500" s="4">
        <f t="shared" si="299"/>
        <v>2.3039614968620268</v>
      </c>
      <c r="V500" s="4">
        <f t="shared" si="300"/>
        <v>1.1218294480320348</v>
      </c>
      <c r="W500" t="str">
        <f t="shared" si="291"/>
        <v>1-2.15616411421795i</v>
      </c>
      <c r="X500" s="4">
        <f t="shared" si="301"/>
        <v>2.3767716944295003</v>
      </c>
      <c r="Y500" s="4">
        <f t="shared" si="302"/>
        <v>-1.1365368028997613</v>
      </c>
      <c r="Z500" t="str">
        <f t="shared" si="292"/>
        <v>-26.9370132633707+9.33713430435439i</v>
      </c>
      <c r="AA500" s="4">
        <f t="shared" si="303"/>
        <v>28.509380220702109</v>
      </c>
      <c r="AB500" s="4">
        <f t="shared" si="304"/>
        <v>2.8079246222596921</v>
      </c>
      <c r="AC500" s="48" t="str">
        <f t="shared" si="305"/>
        <v>-0.000370238145443368+0.00112108838175407i</v>
      </c>
      <c r="AD500" s="20">
        <f t="shared" si="306"/>
        <v>-58.557635700675014</v>
      </c>
      <c r="AE500" s="44">
        <f t="shared" si="307"/>
        <v>108.27574667048236</v>
      </c>
      <c r="AF500" t="str">
        <f t="shared" si="293"/>
        <v>-0.0000333790427773504</v>
      </c>
      <c r="AG500" t="str">
        <f t="shared" si="294"/>
        <v>0.0224998257586856i</v>
      </c>
      <c r="AH500">
        <f t="shared" si="308"/>
        <v>2.2499825758685602E-2</v>
      </c>
      <c r="AI500">
        <f t="shared" si="309"/>
        <v>1.5707963267948966</v>
      </c>
      <c r="AJ500" t="str">
        <f t="shared" si="295"/>
        <v>1+518.37128012549i</v>
      </c>
      <c r="AK500">
        <f t="shared" si="310"/>
        <v>518.372244684203</v>
      </c>
      <c r="AL500">
        <f t="shared" si="311"/>
        <v>1.5688672099671659</v>
      </c>
      <c r="AM500" t="str">
        <f t="shared" si="296"/>
        <v>1+3902.18380316689i</v>
      </c>
      <c r="AN500">
        <f t="shared" si="312"/>
        <v>3902.1839313002679</v>
      </c>
      <c r="AO500">
        <f t="shared" si="313"/>
        <v>1.5705400600405481</v>
      </c>
      <c r="AP500" s="42" t="str">
        <f t="shared" si="314"/>
        <v>-0.0000186817491656216+0.0111676067307936i</v>
      </c>
      <c r="AQ500">
        <f t="shared" si="315"/>
        <v>-39.04078561072027</v>
      </c>
      <c r="AR500" s="44">
        <f t="shared" si="316"/>
        <v>90.095847248962954</v>
      </c>
      <c r="AS500" s="42" t="str">
        <f t="shared" si="317"/>
        <v>-0.0000125129574617265-4.15561789699032E-06i</v>
      </c>
      <c r="AT500" s="20">
        <f t="shared" si="318"/>
        <v>-97.598421311395299</v>
      </c>
      <c r="AU500" s="44">
        <f t="shared" si="319"/>
        <v>-161.62840608055461</v>
      </c>
    </row>
    <row r="501" spans="14:47" x14ac:dyDescent="0.3">
      <c r="N501" s="8">
        <v>83</v>
      </c>
      <c r="O501" s="35">
        <f t="shared" si="320"/>
        <v>676082.97539198259</v>
      </c>
      <c r="P501" s="34" t="str">
        <f t="shared" si="288"/>
        <v>545.10556621881</v>
      </c>
      <c r="Q501" s="4" t="str">
        <f t="shared" si="289"/>
        <v>1+90748.0516158407i</v>
      </c>
      <c r="R501" s="4">
        <f t="shared" si="297"/>
        <v>90748.05162135046</v>
      </c>
      <c r="S501" s="4">
        <f t="shared" si="298"/>
        <v>1.5707853072745637</v>
      </c>
      <c r="T501" s="4" t="str">
        <f t="shared" si="290"/>
        <v>1+2.12397730870858i</v>
      </c>
      <c r="U501" s="4">
        <f t="shared" si="299"/>
        <v>2.3476114686866185</v>
      </c>
      <c r="V501" s="4">
        <f t="shared" si="300"/>
        <v>1.1307682537780466</v>
      </c>
      <c r="W501" t="str">
        <f t="shared" si="291"/>
        <v>1-2.20638762828647i</v>
      </c>
      <c r="X501" s="4">
        <f t="shared" si="301"/>
        <v>2.4224257194505663</v>
      </c>
      <c r="Y501" s="4">
        <f t="shared" si="302"/>
        <v>-1.1452599795782221</v>
      </c>
      <c r="Z501" t="str">
        <f t="shared" si="292"/>
        <v>-28.2536441353521+9.55462410163008i</v>
      </c>
      <c r="AA501" s="4">
        <f t="shared" si="303"/>
        <v>29.825479856166044</v>
      </c>
      <c r="AB501" s="4">
        <f t="shared" si="304"/>
        <v>2.8154925984553678</v>
      </c>
      <c r="AC501" s="48" t="str">
        <f t="shared" si="305"/>
        <v>-0.000351160186117352+0.00109017381478159i</v>
      </c>
      <c r="AD501" s="20">
        <f t="shared" si="306"/>
        <v>-58.821348820234178</v>
      </c>
      <c r="AE501" s="44">
        <f t="shared" si="307"/>
        <v>107.85447350398242</v>
      </c>
      <c r="AF501" t="str">
        <f t="shared" si="293"/>
        <v>-0.0000333790427773504</v>
      </c>
      <c r="AG501" t="str">
        <f t="shared" si="294"/>
        <v>0.023023914026401i</v>
      </c>
      <c r="AH501">
        <f t="shared" si="308"/>
        <v>2.3023914026400999E-2</v>
      </c>
      <c r="AI501">
        <f t="shared" si="309"/>
        <v>1.5707963267948966</v>
      </c>
      <c r="AJ501" t="str">
        <f t="shared" si="295"/>
        <v>1+530.445698352017i</v>
      </c>
      <c r="AK501">
        <f t="shared" si="310"/>
        <v>530.44664095473263</v>
      </c>
      <c r="AL501">
        <f t="shared" si="311"/>
        <v>1.568911121922012</v>
      </c>
      <c r="AM501" t="str">
        <f t="shared" si="296"/>
        <v>1+3993.07734037214i</v>
      </c>
      <c r="AN501">
        <f t="shared" si="312"/>
        <v>3993.0774655888467</v>
      </c>
      <c r="AO501">
        <f t="shared" si="313"/>
        <v>1.570545893383807</v>
      </c>
      <c r="AP501" s="42" t="str">
        <f t="shared" si="314"/>
        <v>-0.0000178409349353393+0.0109134025514371i</v>
      </c>
      <c r="AQ501">
        <f t="shared" si="315"/>
        <v>-39.240784896137477</v>
      </c>
      <c r="AR501" s="44">
        <f t="shared" si="316"/>
        <v>90.093665505229268</v>
      </c>
      <c r="AS501" s="42" t="str">
        <f t="shared" si="317"/>
        <v>-0.0000118912406657149-3.85180219123397E-06i</v>
      </c>
      <c r="AT501" s="20">
        <f t="shared" si="318"/>
        <v>-98.062133716371676</v>
      </c>
      <c r="AU501" s="44">
        <f t="shared" si="319"/>
        <v>-162.05186099078824</v>
      </c>
    </row>
    <row r="502" spans="14:47" x14ac:dyDescent="0.3">
      <c r="N502" s="8">
        <v>84</v>
      </c>
      <c r="O502" s="35">
        <f t="shared" si="320"/>
        <v>691830.97091893724</v>
      </c>
      <c r="P502" s="34" t="str">
        <f t="shared" si="288"/>
        <v>545.10556621881</v>
      </c>
      <c r="Q502" s="4" t="str">
        <f t="shared" si="289"/>
        <v>1+92861.8452816219i</v>
      </c>
      <c r="R502" s="4">
        <f t="shared" si="297"/>
        <v>92861.845287006247</v>
      </c>
      <c r="S502" s="4">
        <f t="shared" si="298"/>
        <v>1.5707855581094701</v>
      </c>
      <c r="T502" s="4" t="str">
        <f t="shared" si="290"/>
        <v>1+2.17345109576482i</v>
      </c>
      <c r="U502" s="4">
        <f t="shared" si="299"/>
        <v>2.3924651858869956</v>
      </c>
      <c r="V502" s="4">
        <f t="shared" si="300"/>
        <v>1.1395768950209195</v>
      </c>
      <c r="W502" t="str">
        <f t="shared" si="291"/>
        <v>1-2.25778099828049i</v>
      </c>
      <c r="X502" s="4">
        <f t="shared" si="301"/>
        <v>2.4693268386741449</v>
      </c>
      <c r="Y502" s="4">
        <f t="shared" si="302"/>
        <v>-1.1538517644458011</v>
      </c>
      <c r="Z502" t="str">
        <f t="shared" si="292"/>
        <v>-29.632325908649+9.77717988707486i</v>
      </c>
      <c r="AA502" s="4">
        <f t="shared" si="303"/>
        <v>31.203653396687574</v>
      </c>
      <c r="AB502" s="4">
        <f t="shared" si="304"/>
        <v>2.8228903675855115</v>
      </c>
      <c r="AC502" s="48" t="str">
        <f t="shared" si="305"/>
        <v>-0.000333143811916303+0.00106027251013444i</v>
      </c>
      <c r="AD502" s="20">
        <f t="shared" si="306"/>
        <v>-59.082758686918275</v>
      </c>
      <c r="AE502" s="44">
        <f t="shared" si="307"/>
        <v>107.4430231382965</v>
      </c>
      <c r="AF502" t="str">
        <f t="shared" si="293"/>
        <v>-0.0000333790427773504</v>
      </c>
      <c r="AG502" t="str">
        <f t="shared" si="294"/>
        <v>0.0235602098780907i</v>
      </c>
      <c r="AH502">
        <f t="shared" si="308"/>
        <v>2.3560209878090699E-2</v>
      </c>
      <c r="AI502">
        <f t="shared" si="309"/>
        <v>1.5707963267948966</v>
      </c>
      <c r="AJ502" t="str">
        <f t="shared" si="295"/>
        <v>1+542.80136590909i</v>
      </c>
      <c r="AK502">
        <f t="shared" si="310"/>
        <v>542.80228705558511</v>
      </c>
      <c r="AL502">
        <f t="shared" si="311"/>
        <v>1.5689540343257578</v>
      </c>
      <c r="AM502" t="str">
        <f t="shared" si="296"/>
        <v>1+4086.08806003788i</v>
      </c>
      <c r="AN502">
        <f t="shared" si="312"/>
        <v>4086.0881824043058</v>
      </c>
      <c r="AO502">
        <f t="shared" si="313"/>
        <v>1.5705515939439785</v>
      </c>
      <c r="AP502" s="42" t="str">
        <f t="shared" si="314"/>
        <v>-0.000017037963316265+0.0106649846598487i</v>
      </c>
      <c r="AQ502">
        <f t="shared" si="315"/>
        <v>-39.440784213716078</v>
      </c>
      <c r="AR502" s="44">
        <f t="shared" si="316"/>
        <v>90.091533423644577</v>
      </c>
      <c r="AS502" s="42" t="str">
        <f t="shared" si="317"/>
        <v>-0.0000113021139637966-3.57103852774381E-06i</v>
      </c>
      <c r="AT502" s="20">
        <f t="shared" si="318"/>
        <v>-98.523542900634368</v>
      </c>
      <c r="AU502" s="44">
        <f t="shared" si="319"/>
        <v>-162.46544343805891</v>
      </c>
    </row>
    <row r="503" spans="14:47" x14ac:dyDescent="0.3">
      <c r="N503" s="8">
        <v>85</v>
      </c>
      <c r="O503" s="35">
        <f t="shared" si="320"/>
        <v>707945.78438413853</v>
      </c>
      <c r="P503" s="34" t="str">
        <f t="shared" si="288"/>
        <v>545.10556621881</v>
      </c>
      <c r="Q503" s="4" t="str">
        <f t="shared" si="289"/>
        <v>1+95024.8755269434i</v>
      </c>
      <c r="R503" s="4">
        <f t="shared" si="297"/>
        <v>95024.875532205173</v>
      </c>
      <c r="S503" s="4">
        <f t="shared" si="298"/>
        <v>1.5707858032346771</v>
      </c>
      <c r="T503" s="4" t="str">
        <f t="shared" si="290"/>
        <v>1+2.22407727536108i</v>
      </c>
      <c r="U503" s="4">
        <f t="shared" si="299"/>
        <v>2.4385486927222848</v>
      </c>
      <c r="V503" s="4">
        <f t="shared" si="300"/>
        <v>1.1482545733478617</v>
      </c>
      <c r="W503" t="str">
        <f t="shared" si="291"/>
        <v>1-2.31037147364508i</v>
      </c>
      <c r="X503" s="4">
        <f t="shared" si="301"/>
        <v>2.5175020052093182</v>
      </c>
      <c r="Y503" s="4">
        <f t="shared" si="302"/>
        <v>-1.162311638059575</v>
      </c>
      <c r="Z503" t="str">
        <f t="shared" si="292"/>
        <v>-31.0759829521456+10.004919662712i</v>
      </c>
      <c r="AA503" s="4">
        <f t="shared" si="303"/>
        <v>32.646824254425809</v>
      </c>
      <c r="AB503" s="4">
        <f t="shared" si="304"/>
        <v>2.8301216409658876</v>
      </c>
      <c r="AC503" s="48" t="str">
        <f t="shared" si="305"/>
        <v>-0.000316124598352325+0.00103134606511759i</v>
      </c>
      <c r="AD503" s="20">
        <f t="shared" si="306"/>
        <v>-59.341927537703711</v>
      </c>
      <c r="AE503" s="44">
        <f t="shared" si="307"/>
        <v>107.04116693927833</v>
      </c>
      <c r="AF503" t="str">
        <f t="shared" si="293"/>
        <v>-0.0000333790427773504</v>
      </c>
      <c r="AG503" t="str">
        <f t="shared" si="294"/>
        <v>0.024108997664914i</v>
      </c>
      <c r="AH503">
        <f t="shared" si="308"/>
        <v>2.4108997664913999E-2</v>
      </c>
      <c r="AI503">
        <f t="shared" si="309"/>
        <v>1.5707963267948966</v>
      </c>
      <c r="AJ503" t="str">
        <f t="shared" si="295"/>
        <v>1+555.444833935194i</v>
      </c>
      <c r="AK503">
        <f t="shared" si="310"/>
        <v>555.44573411386932</v>
      </c>
      <c r="AL503">
        <f t="shared" si="311"/>
        <v>1.5689959699304954</v>
      </c>
      <c r="AM503" t="str">
        <f t="shared" si="296"/>
        <v>1+4181.26527767883i</v>
      </c>
      <c r="AN503">
        <f t="shared" si="312"/>
        <v>4181.2653972598564</v>
      </c>
      <c r="AO503">
        <f t="shared" si="313"/>
        <v>1.5705571647435739</v>
      </c>
      <c r="AP503" s="42" t="str">
        <f t="shared" si="314"/>
        <v>-0.0000162711311334654+0.0104222213511i</v>
      </c>
      <c r="AQ503">
        <f t="shared" si="315"/>
        <v>-39.640783562008586</v>
      </c>
      <c r="AR503" s="44">
        <f t="shared" si="316"/>
        <v>90.089449873787132</v>
      </c>
      <c r="AS503" s="42" t="str">
        <f t="shared" si="317"/>
        <v>-0.0000107437732754472-3.31150170562502E-06i</v>
      </c>
      <c r="AT503" s="20">
        <f t="shared" si="318"/>
        <v>-98.982711099712304</v>
      </c>
      <c r="AU503" s="44">
        <f t="shared" si="319"/>
        <v>-162.86938318693456</v>
      </c>
    </row>
    <row r="504" spans="14:47" x14ac:dyDescent="0.3">
      <c r="N504" s="8">
        <v>86</v>
      </c>
      <c r="O504" s="35">
        <f t="shared" si="320"/>
        <v>724435.96007499192</v>
      </c>
      <c r="P504" s="34" t="str">
        <f t="shared" si="288"/>
        <v>545.10556621881</v>
      </c>
      <c r="Q504" s="4" t="str">
        <f t="shared" si="289"/>
        <v>1+97238.2892190723i</v>
      </c>
      <c r="R504" s="4">
        <f t="shared" si="297"/>
        <v>97238.289224214299</v>
      </c>
      <c r="S504" s="4">
        <f t="shared" si="298"/>
        <v>1.570786042780153</v>
      </c>
      <c r="T504" s="4" t="str">
        <f t="shared" si="290"/>
        <v>1+2.27588269016786i</v>
      </c>
      <c r="U504" s="4">
        <f t="shared" si="299"/>
        <v>2.485888577431759</v>
      </c>
      <c r="V504" s="4">
        <f t="shared" si="300"/>
        <v>1.1568006611654682</v>
      </c>
      <c r="W504" t="str">
        <f t="shared" si="291"/>
        <v>1-2.36418693854637i</v>
      </c>
      <c r="X504" s="4">
        <f t="shared" si="301"/>
        <v>2.5669787456060593</v>
      </c>
      <c r="Y504" s="4">
        <f t="shared" si="302"/>
        <v>-1.1706392411592079</v>
      </c>
      <c r="Z504" t="str">
        <f t="shared" si="292"/>
        <v>-32.5876774559858+10.2379641791852i</v>
      </c>
      <c r="AA504" s="4">
        <f t="shared" si="303"/>
        <v>34.158053699086018</v>
      </c>
      <c r="AB504" s="4">
        <f t="shared" si="304"/>
        <v>2.8371900589494037</v>
      </c>
      <c r="AC504" s="48" t="str">
        <f t="shared" si="305"/>
        <v>-0.000300042331800136+0.00100335742202921i</v>
      </c>
      <c r="AD504" s="20">
        <f t="shared" si="306"/>
        <v>-59.59891756132636</v>
      </c>
      <c r="AE504" s="44">
        <f t="shared" si="307"/>
        <v>106.64868094827182</v>
      </c>
      <c r="AF504" t="str">
        <f t="shared" si="293"/>
        <v>-0.0000333790427773504</v>
      </c>
      <c r="AG504" t="str">
        <f t="shared" si="294"/>
        <v>0.0246705683614196i</v>
      </c>
      <c r="AH504">
        <f t="shared" si="308"/>
        <v>2.4670568361419599E-2</v>
      </c>
      <c r="AI504">
        <f t="shared" si="309"/>
        <v>1.5707963267948966</v>
      </c>
      <c r="AJ504" t="str">
        <f t="shared" si="295"/>
        <v>1+568.382806164432i</v>
      </c>
      <c r="AK504">
        <f t="shared" si="310"/>
        <v>568.38368585257115</v>
      </c>
      <c r="AL504">
        <f t="shared" si="311"/>
        <v>1.5690369509704467</v>
      </c>
      <c r="AM504" t="str">
        <f t="shared" si="296"/>
        <v>1+4278.6594575156i</v>
      </c>
      <c r="AN504">
        <f t="shared" si="312"/>
        <v>4278.6595743746302</v>
      </c>
      <c r="AO504">
        <f t="shared" si="313"/>
        <v>1.5705626087363034</v>
      </c>
      <c r="AP504" s="42" t="str">
        <f t="shared" si="314"/>
        <v>-0.0000155388118654701+0.0101849839177614i</v>
      </c>
      <c r="AQ504">
        <f t="shared" si="315"/>
        <v>-39.840782939632717</v>
      </c>
      <c r="AR504" s="44">
        <f t="shared" si="316"/>
        <v>90.087413750964942</v>
      </c>
      <c r="AS504" s="42" t="str">
        <f t="shared" si="317"/>
        <v>-0.0000102145169057885-3.07151730624675E-06i</v>
      </c>
      <c r="AT504" s="20">
        <f t="shared" si="318"/>
        <v>-99.439700500959106</v>
      </c>
      <c r="AU504" s="44">
        <f t="shared" si="319"/>
        <v>-163.26390530076321</v>
      </c>
    </row>
    <row r="505" spans="14:47" x14ac:dyDescent="0.3">
      <c r="N505" s="8">
        <v>87</v>
      </c>
      <c r="O505" s="35">
        <f t="shared" si="320"/>
        <v>741310.24130091805</v>
      </c>
      <c r="P505" s="34" t="str">
        <f t="shared" si="288"/>
        <v>545.10556621881</v>
      </c>
      <c r="Q505" s="4" t="str">
        <f t="shared" si="289"/>
        <v>1+99503.2599392456i</v>
      </c>
      <c r="R505" s="4">
        <f t="shared" si="297"/>
        <v>99503.259944270569</v>
      </c>
      <c r="S505" s="4">
        <f t="shared" si="298"/>
        <v>1.5707862768729084</v>
      </c>
      <c r="T505" s="4" t="str">
        <f t="shared" si="290"/>
        <v>1+2.32889480810184i</v>
      </c>
      <c r="U505" s="4">
        <f t="shared" si="299"/>
        <v>2.5345119899506705</v>
      </c>
      <c r="V505" s="4">
        <f t="shared" si="300"/>
        <v>1.1652146953279703</v>
      </c>
      <c r="W505" t="str">
        <f t="shared" si="291"/>
        <v>1-2.41925592665618i</v>
      </c>
      <c r="X505" s="4">
        <f t="shared" si="301"/>
        <v>2.6177851780963715</v>
      </c>
      <c r="Y505" s="4">
        <f t="shared" si="302"/>
        <v>-1.1788343680128945</v>
      </c>
      <c r="Z505" t="str">
        <f t="shared" si="292"/>
        <v>-34.170615926888+10.4764369997815i</v>
      </c>
      <c r="AA505" s="4">
        <f t="shared" si="303"/>
        <v>35.740547352178062</v>
      </c>
      <c r="AB505" s="4">
        <f t="shared" si="304"/>
        <v>2.844099191373505</v>
      </c>
      <c r="AC505" s="48" t="str">
        <f t="shared" si="305"/>
        <v>-0.000284840723873875+0.000976270862371807i</v>
      </c>
      <c r="AD505" s="20">
        <f t="shared" si="306"/>
        <v>-59.853790749260327</v>
      </c>
      <c r="AE505" s="44">
        <f t="shared" si="307"/>
        <v>106.26534587264658</v>
      </c>
      <c r="AF505" t="str">
        <f t="shared" si="293"/>
        <v>-0.0000333790427773504</v>
      </c>
      <c r="AG505" t="str">
        <f t="shared" si="294"/>
        <v>0.025245219719824i</v>
      </c>
      <c r="AH505">
        <f t="shared" si="308"/>
        <v>2.5245219719823998E-2</v>
      </c>
      <c r="AI505">
        <f t="shared" si="309"/>
        <v>1.5707963267948966</v>
      </c>
      <c r="AJ505" t="str">
        <f t="shared" si="295"/>
        <v>1+581.622142480932i</v>
      </c>
      <c r="AK505">
        <f t="shared" si="310"/>
        <v>581.62300214495428</v>
      </c>
      <c r="AL505">
        <f t="shared" si="311"/>
        <v>1.569076999173751</v>
      </c>
      <c r="AM505" t="str">
        <f t="shared" si="296"/>
        <v>1+4378.32223923147i</v>
      </c>
      <c r="AN505">
        <f t="shared" si="312"/>
        <v>4378.3223534304634</v>
      </c>
      <c r="AO505">
        <f t="shared" si="313"/>
        <v>1.5705679288086427</v>
      </c>
      <c r="AP505" s="42" t="str">
        <f t="shared" si="314"/>
        <v>-0.0000148394521944783+0.00995314658170235i</v>
      </c>
      <c r="AQ505">
        <f t="shared" si="315"/>
        <v>-40.040782345268269</v>
      </c>
      <c r="AR505" s="44">
        <f t="shared" si="316"/>
        <v>90.085423975630263</v>
      </c>
      <c r="AS505" s="42" t="str">
        <f t="shared" si="317"/>
        <v>-9.71274011632659E-06-2.84954880194591E-06i</v>
      </c>
      <c r="AT505" s="20">
        <f t="shared" si="318"/>
        <v>-99.894573094528596</v>
      </c>
      <c r="AU505" s="44">
        <f t="shared" si="319"/>
        <v>-163.64923015172315</v>
      </c>
    </row>
    <row r="506" spans="14:47" x14ac:dyDescent="0.3">
      <c r="N506" s="8">
        <v>88</v>
      </c>
      <c r="O506" s="35">
        <f t="shared" si="320"/>
        <v>758577.57502918423</v>
      </c>
      <c r="P506" s="34" t="str">
        <f t="shared" si="288"/>
        <v>545.10556621881</v>
      </c>
      <c r="Q506" s="4" t="str">
        <f t="shared" si="289"/>
        <v>1+101820.98860492i</v>
      </c>
      <c r="R506" s="4">
        <f t="shared" si="297"/>
        <v>101820.98860983059</v>
      </c>
      <c r="S506" s="4">
        <f t="shared" si="298"/>
        <v>1.570786505637062</v>
      </c>
      <c r="T506" s="4" t="str">
        <f t="shared" si="290"/>
        <v>1+2.38314173688965i</v>
      </c>
      <c r="U506" s="4">
        <f t="shared" si="299"/>
        <v>2.5844466599458804</v>
      </c>
      <c r="V506" s="4">
        <f t="shared" si="300"/>
        <v>1.1734963705799262</v>
      </c>
      <c r="W506" t="str">
        <f t="shared" si="291"/>
        <v>1-2.47560763628096i</v>
      </c>
      <c r="X506" s="4">
        <f t="shared" si="301"/>
        <v>2.6699500311452651</v>
      </c>
      <c r="Y506" s="4">
        <f t="shared" si="302"/>
        <v>-1.1868969596505838</v>
      </c>
      <c r="Z506" t="str">
        <f t="shared" si="292"/>
        <v>-35.8281559895782+10.7204645659473i</v>
      </c>
      <c r="AA506" s="4">
        <f t="shared" si="303"/>
        <v>37.397661987392745</v>
      </c>
      <c r="AB506" s="4">
        <f t="shared" si="304"/>
        <v>2.8508525381012069</v>
      </c>
      <c r="AC506" s="48" t="str">
        <f t="shared" si="305"/>
        <v>-0.000270467144716669+0.000950051993995134i</v>
      </c>
      <c r="AD506" s="20">
        <f t="shared" si="306"/>
        <v>-60.106608758246338</v>
      </c>
      <c r="AE506" s="44">
        <f t="shared" si="307"/>
        <v>105.8909470667982</v>
      </c>
      <c r="AF506" t="str">
        <f t="shared" si="293"/>
        <v>-0.0000333790427773504</v>
      </c>
      <c r="AG506" t="str">
        <f t="shared" si="294"/>
        <v>0.0258332564278838i</v>
      </c>
      <c r="AH506">
        <f t="shared" si="308"/>
        <v>2.58332564278838E-2</v>
      </c>
      <c r="AI506">
        <f t="shared" si="309"/>
        <v>1.5707963267948966</v>
      </c>
      <c r="AJ506" t="str">
        <f t="shared" si="295"/>
        <v>1+595.169862556056i</v>
      </c>
      <c r="AK506">
        <f t="shared" si="310"/>
        <v>595.17070265176415</v>
      </c>
      <c r="AL506">
        <f t="shared" si="311"/>
        <v>1.5691161357739816</v>
      </c>
      <c r="AM506" t="str">
        <f t="shared" si="296"/>
        <v>1+4480.30646535254i</v>
      </c>
      <c r="AN506">
        <f t="shared" si="312"/>
        <v>4480.3065769520472</v>
      </c>
      <c r="AO506">
        <f t="shared" si="313"/>
        <v>1.5705731277813633</v>
      </c>
      <c r="AP506" s="42" t="str">
        <f t="shared" si="314"/>
        <v>-0.0000141715687118127+0.00972658642744146i</v>
      </c>
      <c r="AQ506">
        <f t="shared" si="315"/>
        <v>-40.240781777654604</v>
      </c>
      <c r="AR506" s="44">
        <f t="shared" si="316"/>
        <v>90.083479492807257</v>
      </c>
      <c r="AS506" s="42" t="str">
        <f t="shared" si="317"/>
        <v>-9.23692988643113E-06-2.64418578598269E-06i</v>
      </c>
      <c r="AT506" s="20">
        <f t="shared" si="318"/>
        <v>-100.34739053590094</v>
      </c>
      <c r="AU506" s="44">
        <f t="shared" si="319"/>
        <v>-164.02557344039457</v>
      </c>
    </row>
    <row r="507" spans="14:47" x14ac:dyDescent="0.3">
      <c r="N507" s="8">
        <v>89</v>
      </c>
      <c r="O507" s="35">
        <f t="shared" si="320"/>
        <v>776247.11662869214</v>
      </c>
      <c r="P507" s="34" t="str">
        <f t="shared" si="288"/>
        <v>545.10556621881</v>
      </c>
      <c r="Q507" s="4" t="str">
        <f t="shared" si="289"/>
        <v>1+104192.704106514i</v>
      </c>
      <c r="R507" s="4">
        <f t="shared" si="297"/>
        <v>104192.70411131279</v>
      </c>
      <c r="S507" s="4">
        <f t="shared" si="298"/>
        <v>1.5707867291939077</v>
      </c>
      <c r="T507" s="4" t="str">
        <f t="shared" si="290"/>
        <v>1+2.43865223897096i</v>
      </c>
      <c r="U507" s="4">
        <f t="shared" si="299"/>
        <v>2.6357209151649719</v>
      </c>
      <c r="V507" s="4">
        <f t="shared" si="300"/>
        <v>1.1816455328583113</v>
      </c>
      <c r="W507" t="str">
        <f t="shared" si="291"/>
        <v>1-2.53327194584303i</v>
      </c>
      <c r="X507" s="4">
        <f t="shared" si="301"/>
        <v>2.7235026623073701</v>
      </c>
      <c r="Y507" s="4">
        <f t="shared" si="302"/>
        <v>-1.19482709702491</v>
      </c>
      <c r="Z507" t="str">
        <f t="shared" si="292"/>
        <v>-37.563813508759+10.970176264328i</v>
      </c>
      <c r="AA507" s="4">
        <f t="shared" si="303"/>
        <v>39.132912651516889</v>
      </c>
      <c r="AB507" s="4">
        <f t="shared" si="304"/>
        <v>2.8574535296443706</v>
      </c>
      <c r="AC507" s="48" t="str">
        <f t="shared" si="305"/>
        <v>-0.000256872374112756+0.000924667732330683i</v>
      </c>
      <c r="AD507" s="20">
        <f t="shared" si="306"/>
        <v>-60.357432784089902</v>
      </c>
      <c r="AE507" s="44">
        <f t="shared" si="307"/>
        <v>105.52527450452048</v>
      </c>
      <c r="AF507" t="str">
        <f t="shared" si="293"/>
        <v>-0.0000333790427773504</v>
      </c>
      <c r="AG507" t="str">
        <f t="shared" si="294"/>
        <v>0.0264349902704452i</v>
      </c>
      <c r="AH507">
        <f t="shared" si="308"/>
        <v>2.6434990270445199E-2</v>
      </c>
      <c r="AI507">
        <f t="shared" si="309"/>
        <v>1.5707963267948966</v>
      </c>
      <c r="AJ507" t="str">
        <f t="shared" si="295"/>
        <v>1+609.033149570312i</v>
      </c>
      <c r="AK507">
        <f t="shared" si="310"/>
        <v>609.03397054313314</v>
      </c>
      <c r="AL507">
        <f t="shared" si="311"/>
        <v>1.5691543815214022</v>
      </c>
      <c r="AM507" t="str">
        <f t="shared" si="296"/>
        <v>1+4584.66620926542i</v>
      </c>
      <c r="AN507">
        <f t="shared" si="312"/>
        <v>4584.6663183246128</v>
      </c>
      <c r="AO507">
        <f t="shared" si="313"/>
        <v>1.570578208411028</v>
      </c>
      <c r="AP507" s="42" t="str">
        <f t="shared" si="314"/>
        <v>-0.000013533744771641+0.0095051833370124i</v>
      </c>
      <c r="AQ507">
        <f t="shared" si="315"/>
        <v>-40.440781235587586</v>
      </c>
      <c r="AR507" s="44">
        <f t="shared" si="316"/>
        <v>90.081579271532803</v>
      </c>
      <c r="AS507" s="42" t="str">
        <f t="shared" si="317"/>
        <v>-8.78565987647252E-06-2.45413322724332E-06i</v>
      </c>
      <c r="AT507" s="20">
        <f t="shared" si="318"/>
        <v>-100.79821401967749</v>
      </c>
      <c r="AU507" s="44">
        <f t="shared" si="319"/>
        <v>-164.3931462239467</v>
      </c>
    </row>
    <row r="508" spans="14:47" x14ac:dyDescent="0.3">
      <c r="N508" s="8">
        <v>90</v>
      </c>
      <c r="O508" s="35">
        <f t="shared" si="320"/>
        <v>794328.23472428333</v>
      </c>
      <c r="P508" s="34" t="str">
        <f t="shared" si="288"/>
        <v>545.10556621881</v>
      </c>
      <c r="Q508" s="4" t="str">
        <f t="shared" si="289"/>
        <v>1+106619.663958978i</v>
      </c>
      <c r="R508" s="4">
        <f t="shared" si="297"/>
        <v>106619.66396366755</v>
      </c>
      <c r="S508" s="4">
        <f t="shared" si="298"/>
        <v>1.5707869476619785</v>
      </c>
      <c r="T508" s="4" t="str">
        <f t="shared" si="290"/>
        <v>1+2.49545574674876i</v>
      </c>
      <c r="U508" s="4">
        <f t="shared" si="299"/>
        <v>2.6883637000936855</v>
      </c>
      <c r="V508" s="4">
        <f t="shared" si="300"/>
        <v>1.1896621724962462</v>
      </c>
      <c r="W508" t="str">
        <f t="shared" si="291"/>
        <v>1-2.5922794297226i</v>
      </c>
      <c r="X508" s="4">
        <f t="shared" si="301"/>
        <v>2.7784730773867374</v>
      </c>
      <c r="Y508" s="4">
        <f t="shared" si="302"/>
        <v>-1.2026249941374445</v>
      </c>
      <c r="Z508" t="str">
        <f t="shared" si="292"/>
        <v>-39.3812700467326+11.2257044953715i</v>
      </c>
      <c r="AA508" s="4">
        <f t="shared" si="303"/>
        <v>40.949980121009617</v>
      </c>
      <c r="AB508" s="4">
        <f t="shared" si="304"/>
        <v>2.8639055278588144</v>
      </c>
      <c r="AC508" s="48" t="str">
        <f t="shared" si="305"/>
        <v>-0.000244010369366683+0.000900086276739701i</v>
      </c>
      <c r="AD508" s="20">
        <f t="shared" si="306"/>
        <v>-60.606323446410819</v>
      </c>
      <c r="AE508" s="44">
        <f t="shared" si="307"/>
        <v>105.16812274361382</v>
      </c>
      <c r="AF508" t="str">
        <f t="shared" si="293"/>
        <v>-0.0000333790427773504</v>
      </c>
      <c r="AG508" t="str">
        <f t="shared" si="294"/>
        <v>0.0270507402947565i</v>
      </c>
      <c r="AH508">
        <f t="shared" si="308"/>
        <v>2.7050740294756501E-2</v>
      </c>
      <c r="AI508">
        <f t="shared" si="309"/>
        <v>1.5707963267948966</v>
      </c>
      <c r="AJ508" t="str">
        <f t="shared" si="295"/>
        <v>1+623.219354021978i</v>
      </c>
      <c r="AK508">
        <f t="shared" si="310"/>
        <v>623.22015630720057</v>
      </c>
      <c r="AL508">
        <f t="shared" si="311"/>
        <v>1.5691917566939664</v>
      </c>
      <c r="AM508" t="str">
        <f t="shared" si="296"/>
        <v>1+4691.45680388768i</v>
      </c>
      <c r="AN508">
        <f t="shared" si="312"/>
        <v>4691.4569104643815</v>
      </c>
      <c r="AO508">
        <f t="shared" si="313"/>
        <v>1.5705831733914535</v>
      </c>
      <c r="AP508" s="42" t="str">
        <f t="shared" si="314"/>
        <v>-0.0000129246274862872+0.00928881992630973i</v>
      </c>
      <c r="AQ508">
        <f t="shared" si="315"/>
        <v>-40.640780717917551</v>
      </c>
      <c r="AR508" s="44">
        <f t="shared" si="316"/>
        <v>90.079722304310039</v>
      </c>
      <c r="AS508" s="42" t="str">
        <f t="shared" si="317"/>
        <v>-8.35758559965081E-06-2.27820166103182E-06i</v>
      </c>
      <c r="AT508" s="20">
        <f t="shared" si="318"/>
        <v>-101.24710416432836</v>
      </c>
      <c r="AU508" s="44">
        <f t="shared" si="319"/>
        <v>-164.75215495207613</v>
      </c>
    </row>
    <row r="509" spans="14:47" x14ac:dyDescent="0.3">
      <c r="N509" s="8">
        <v>91</v>
      </c>
      <c r="O509" s="35">
        <f t="shared" si="320"/>
        <v>812830.51616410096</v>
      </c>
      <c r="P509" s="34" t="str">
        <f t="shared" si="288"/>
        <v>545.10556621881</v>
      </c>
      <c r="Q509" s="4" t="str">
        <f t="shared" si="289"/>
        <v>1+109103.154968551i</v>
      </c>
      <c r="R509" s="4">
        <f t="shared" si="297"/>
        <v>109103.15497313383</v>
      </c>
      <c r="S509" s="4">
        <f t="shared" si="298"/>
        <v>1.5707871611571087</v>
      </c>
      <c r="T509" s="4" t="str">
        <f t="shared" si="290"/>
        <v>1+2.55358237819474i</v>
      </c>
      <c r="U509" s="4">
        <f t="shared" si="299"/>
        <v>2.7424045949178804</v>
      </c>
      <c r="V509" s="4">
        <f t="shared" si="300"/>
        <v>1.1975464173677854</v>
      </c>
      <c r="W509" t="str">
        <f t="shared" si="291"/>
        <v>1-2.65266137446869i</v>
      </c>
      <c r="X509" s="4">
        <f t="shared" si="301"/>
        <v>2.8348919498982883</v>
      </c>
      <c r="Y509" s="4">
        <f t="shared" si="302"/>
        <v>-1.2102909911648903</v>
      </c>
      <c r="Z509" t="str">
        <f t="shared" si="292"/>
        <v>-41.2843806724864+11.4871847435282i</v>
      </c>
      <c r="AA509" s="4">
        <f t="shared" si="303"/>
        <v>42.852718710050539</v>
      </c>
      <c r="AB509" s="4">
        <f t="shared" si="304"/>
        <v>2.8702118267019125</v>
      </c>
      <c r="AC509" s="48" t="str">
        <f t="shared" si="305"/>
        <v>-0.000231838048932866+0.000876277082873823i</v>
      </c>
      <c r="AD509" s="20">
        <f t="shared" si="306"/>
        <v>-60.853340683982907</v>
      </c>
      <c r="AE509" s="44">
        <f t="shared" si="307"/>
        <v>104.81929088354059</v>
      </c>
      <c r="AF509" t="str">
        <f t="shared" si="293"/>
        <v>-0.0000333790427773504</v>
      </c>
      <c r="AG509" t="str">
        <f t="shared" si="294"/>
        <v>0.027680832979631i</v>
      </c>
      <c r="AH509">
        <f t="shared" si="308"/>
        <v>2.7680832979631E-2</v>
      </c>
      <c r="AI509">
        <f t="shared" si="309"/>
        <v>1.5707963267948966</v>
      </c>
      <c r="AJ509" t="str">
        <f t="shared" si="295"/>
        <v>1+637.735997624428i</v>
      </c>
      <c r="AK509">
        <f t="shared" si="310"/>
        <v>637.73678164743205</v>
      </c>
      <c r="AL509">
        <f t="shared" si="311"/>
        <v>1.5692282811080673</v>
      </c>
      <c r="AM509" t="str">
        <f t="shared" si="296"/>
        <v>1+4800.73487100612i</v>
      </c>
      <c r="AN509">
        <f t="shared" si="312"/>
        <v>4800.7349751568399</v>
      </c>
      <c r="AO509">
        <f t="shared" si="313"/>
        <v>1.5705880253551365</v>
      </c>
      <c r="AP509" s="42" t="str">
        <f t="shared" si="314"/>
        <v>-0.0000123429248567668+0.00907738148288289i</v>
      </c>
      <c r="AQ509">
        <f t="shared" si="315"/>
        <v>-40.840780223546517</v>
      </c>
      <c r="AR509" s="44">
        <f t="shared" si="316"/>
        <v>90.077907606574257</v>
      </c>
      <c r="AS509" s="42" t="str">
        <f t="shared" si="317"/>
        <v>-7.95143980633656E-06-2.11529823459851E-06i</v>
      </c>
      <c r="AT509" s="20">
        <f t="shared" si="318"/>
        <v>-101.69412090752942</v>
      </c>
      <c r="AU509" s="44">
        <f t="shared" si="319"/>
        <v>-165.10280150988518</v>
      </c>
    </row>
    <row r="510" spans="14:47" x14ac:dyDescent="0.3">
      <c r="N510" s="8">
        <v>92</v>
      </c>
      <c r="O510" s="35">
        <f t="shared" si="320"/>
        <v>831763.77110267128</v>
      </c>
      <c r="P510" s="34" t="str">
        <f t="shared" si="288"/>
        <v>545.10556621881</v>
      </c>
      <c r="Q510" s="4" t="str">
        <f t="shared" si="289"/>
        <v>1+111644.493915039i</v>
      </c>
      <c r="R510" s="4">
        <f t="shared" si="297"/>
        <v>111644.4939195175</v>
      </c>
      <c r="S510" s="4">
        <f t="shared" si="298"/>
        <v>1.5707873697924963</v>
      </c>
      <c r="T510" s="4" t="str">
        <f t="shared" si="290"/>
        <v>1+2.6130629528183i</v>
      </c>
      <c r="U510" s="4">
        <f t="shared" si="299"/>
        <v>2.7978738347880334</v>
      </c>
      <c r="V510" s="4">
        <f t="shared" si="300"/>
        <v>1.2052985260103752</v>
      </c>
      <c r="W510" t="str">
        <f t="shared" si="291"/>
        <v>1-2.71444979538764i</v>
      </c>
      <c r="X510" s="4">
        <f t="shared" si="301"/>
        <v>2.892790640831099</v>
      </c>
      <c r="Y510" s="4">
        <f t="shared" si="302"/>
        <v>-1.2178255476169568</v>
      </c>
      <c r="Z510" t="str">
        <f t="shared" si="292"/>
        <v>-43.2771821388121+11.7547556490868i</v>
      </c>
      <c r="AA510" s="4">
        <f t="shared" si="303"/>
        <v>44.845164446634108</v>
      </c>
      <c r="AB510" s="4">
        <f t="shared" si="304"/>
        <v>2.8763756530441906</v>
      </c>
      <c r="AC510" s="48" t="str">
        <f t="shared" si="305"/>
        <v>-0.000220315090820085+0.000853210831836268i</v>
      </c>
      <c r="AD510" s="20">
        <f t="shared" si="306"/>
        <v>-61.098543660271119</v>
      </c>
      <c r="AE510" s="44">
        <f t="shared" si="307"/>
        <v>104.4785825168902</v>
      </c>
      <c r="AF510" t="str">
        <f t="shared" si="293"/>
        <v>-0.0000333790427773504</v>
      </c>
      <c r="AG510" t="str">
        <f t="shared" si="294"/>
        <v>0.0283256024085503i</v>
      </c>
      <c r="AH510">
        <f t="shared" si="308"/>
        <v>2.83256024085503E-2</v>
      </c>
      <c r="AI510">
        <f t="shared" si="309"/>
        <v>1.5707963267948966</v>
      </c>
      <c r="AJ510" t="str">
        <f t="shared" si="295"/>
        <v>1+652.590777294251i</v>
      </c>
      <c r="AK510">
        <f t="shared" si="310"/>
        <v>652.59154347073377</v>
      </c>
      <c r="AL510">
        <f t="shared" si="311"/>
        <v>1.5692639741290431</v>
      </c>
      <c r="AM510" t="str">
        <f t="shared" si="296"/>
        <v>1+4912.55835129841i</v>
      </c>
      <c r="AN510">
        <f t="shared" si="312"/>
        <v>4912.5584530783717</v>
      </c>
      <c r="AO510">
        <f t="shared" si="313"/>
        <v>1.570592766874652</v>
      </c>
      <c r="AP510" s="42" t="str">
        <f t="shared" si="314"/>
        <v>-0.0000117874030324576+0.00887075590514428i</v>
      </c>
      <c r="AQ510">
        <f t="shared" si="315"/>
        <v>-41.040779751425696</v>
      </c>
      <c r="AR510" s="44">
        <f t="shared" si="316"/>
        <v>90.076134216170999</v>
      </c>
      <c r="AS510" s="42" t="str">
        <f t="shared" si="317"/>
        <v>-7.56602808207501E-06-1.96441853283118E-06i</v>
      </c>
      <c r="AT510" s="20">
        <f t="shared" si="318"/>
        <v>-102.13932341169681</v>
      </c>
      <c r="AU510" s="44">
        <f t="shared" si="319"/>
        <v>-165.44528326693882</v>
      </c>
    </row>
    <row r="511" spans="14:47" x14ac:dyDescent="0.3">
      <c r="N511" s="8">
        <v>93</v>
      </c>
      <c r="O511" s="35">
        <f t="shared" si="320"/>
        <v>851138.03820237669</v>
      </c>
      <c r="P511" s="34" t="str">
        <f t="shared" si="288"/>
        <v>545.10556621881</v>
      </c>
      <c r="Q511" s="4" t="str">
        <f t="shared" si="289"/>
        <v>1+114245.028249991i</v>
      </c>
      <c r="R511" s="4">
        <f t="shared" si="297"/>
        <v>114245.02825436754</v>
      </c>
      <c r="S511" s="4">
        <f t="shared" si="298"/>
        <v>1.5707875736787629</v>
      </c>
      <c r="T511" s="4" t="str">
        <f t="shared" si="290"/>
        <v>1+2.67392900800741i</v>
      </c>
      <c r="U511" s="4">
        <f t="shared" si="299"/>
        <v>2.8548023293852571</v>
      </c>
      <c r="V511" s="4">
        <f t="shared" si="300"/>
        <v>1.2129188807585864</v>
      </c>
      <c r="W511" t="str">
        <f t="shared" si="291"/>
        <v>1-2.77767745351809i</v>
      </c>
      <c r="X511" s="4">
        <f t="shared" si="301"/>
        <v>2.9522012187150688</v>
      </c>
      <c r="Y511" s="4">
        <f t="shared" si="302"/>
        <v>-1.225229235554737</v>
      </c>
      <c r="Z511" t="str">
        <f t="shared" si="292"/>
        <v>-45.3639014447995+12.0285590816831i</v>
      </c>
      <c r="AA511" s="4">
        <f t="shared" si="303"/>
        <v>46.931543634053021</v>
      </c>
      <c r="AB511" s="4">
        <f t="shared" si="304"/>
        <v>2.8824001675272677</v>
      </c>
      <c r="AC511" s="48" t="str">
        <f t="shared" si="305"/>
        <v>-0.000209403744838546+0.000830859396831859i</v>
      </c>
      <c r="AD511" s="20">
        <f t="shared" si="306"/>
        <v>-61.341990678746981</v>
      </c>
      <c r="AE511" s="44">
        <f t="shared" si="307"/>
        <v>104.14580567537017</v>
      </c>
      <c r="AF511" t="str">
        <f t="shared" si="293"/>
        <v>-0.0000333790427773504</v>
      </c>
      <c r="AG511" t="str">
        <f t="shared" si="294"/>
        <v>0.0289853904468004i</v>
      </c>
      <c r="AH511">
        <f t="shared" si="308"/>
        <v>2.8985390446800399E-2</v>
      </c>
      <c r="AI511">
        <f t="shared" si="309"/>
        <v>1.5707963267948966</v>
      </c>
      <c r="AJ511" t="str">
        <f t="shared" si="295"/>
        <v>1+667.791569232258i</v>
      </c>
      <c r="AK511">
        <f t="shared" si="310"/>
        <v>667.79231796845465</v>
      </c>
      <c r="AL511">
        <f t="shared" si="311"/>
        <v>1.5692988546814417</v>
      </c>
      <c r="AM511" t="str">
        <f t="shared" si="296"/>
        <v>1+5026.98653505395i</v>
      </c>
      <c r="AN511">
        <f t="shared" si="312"/>
        <v>5026.9866345171167</v>
      </c>
      <c r="AO511">
        <f t="shared" si="313"/>
        <v>1.5705974004640151</v>
      </c>
      <c r="AP511" s="42" t="str">
        <f t="shared" si="314"/>
        <v>-0.0000112568836940939+0.00866883364295902i</v>
      </c>
      <c r="AQ511">
        <f t="shared" si="315"/>
        <v>-41.240779300553847</v>
      </c>
      <c r="AR511" s="44">
        <f t="shared" si="316"/>
        <v>90.074401192845968</v>
      </c>
      <c r="AS511" s="42" t="str">
        <f t="shared" si="317"/>
        <v>-0.0000072002246582239-1.82463911581428E-06i</v>
      </c>
      <c r="AT511" s="20">
        <f t="shared" si="318"/>
        <v>-102.58276997930083</v>
      </c>
      <c r="AU511" s="44">
        <f t="shared" si="319"/>
        <v>-165.7797931317838</v>
      </c>
    </row>
    <row r="512" spans="14:47" x14ac:dyDescent="0.3">
      <c r="N512" s="8">
        <v>94</v>
      </c>
      <c r="O512" s="35">
        <f t="shared" si="320"/>
        <v>870963.58995608077</v>
      </c>
      <c r="P512" s="34" t="str">
        <f t="shared" si="288"/>
        <v>545.10556621881</v>
      </c>
      <c r="Q512" s="4" t="str">
        <f t="shared" si="289"/>
        <v>1+116906.136811132i</v>
      </c>
      <c r="R512" s="4">
        <f t="shared" si="297"/>
        <v>116906.13681540896</v>
      </c>
      <c r="S512" s="4">
        <f t="shared" si="298"/>
        <v>1.5707877729240114</v>
      </c>
      <c r="T512" s="4" t="str">
        <f t="shared" si="290"/>
        <v>1+2.73621281575022i</v>
      </c>
      <c r="U512" s="4">
        <f t="shared" si="299"/>
        <v>2.913221682789648</v>
      </c>
      <c r="V512" s="4">
        <f t="shared" si="300"/>
        <v>1.2204079809198669</v>
      </c>
      <c r="W512" t="str">
        <f t="shared" si="291"/>
        <v>1-2.84237787300132i</v>
      </c>
      <c r="X512" s="4">
        <f t="shared" si="301"/>
        <v>3.0131564799936146</v>
      </c>
      <c r="Y512" s="4">
        <f t="shared" si="302"/>
        <v>-1.2325027328954978</v>
      </c>
      <c r="Z512" t="str">
        <f t="shared" si="292"/>
        <v>-47.5489648018678+12.3087402155214i</v>
      </c>
      <c r="AA512" s="4">
        <f t="shared" si="303"/>
        <v>49.116281815936112</v>
      </c>
      <c r="AB512" s="4">
        <f t="shared" si="304"/>
        <v>2.8882884654612315</v>
      </c>
      <c r="AC512" s="48" t="str">
        <f t="shared" si="305"/>
        <v>-0.000199068657801252+0.000809195807904949i</v>
      </c>
      <c r="AD512" s="20">
        <f t="shared" si="306"/>
        <v>-61.583739107542627</v>
      </c>
      <c r="AE512" s="44">
        <f t="shared" si="307"/>
        <v>103.82077277099341</v>
      </c>
      <c r="AF512" t="str">
        <f t="shared" si="293"/>
        <v>-0.0000333790427773504</v>
      </c>
      <c r="AG512" t="str">
        <f t="shared" si="294"/>
        <v>0.0296605469227323i</v>
      </c>
      <c r="AH512">
        <f t="shared" si="308"/>
        <v>2.96605469227323E-2</v>
      </c>
      <c r="AI512">
        <f t="shared" si="309"/>
        <v>1.5707963267948966</v>
      </c>
      <c r="AJ512" t="str">
        <f t="shared" si="295"/>
        <v>1+683.346433099537i</v>
      </c>
      <c r="AK512">
        <f t="shared" si="310"/>
        <v>683.34716479243536</v>
      </c>
      <c r="AL512">
        <f t="shared" si="311"/>
        <v>1.569332941259054</v>
      </c>
      <c r="AM512" t="str">
        <f t="shared" si="296"/>
        <v>1+5144.08009361042i</v>
      </c>
      <c r="AN512">
        <f t="shared" si="312"/>
        <v>5144.0801908095273</v>
      </c>
      <c r="AO512">
        <f t="shared" si="313"/>
        <v>1.5706019285800155</v>
      </c>
      <c r="AP512" s="42" t="str">
        <f t="shared" si="314"/>
        <v>-0.0000107502415545395+0.00847150763958683i</v>
      </c>
      <c r="AQ512">
        <f t="shared" si="315"/>
        <v>-41.440778869974494</v>
      </c>
      <c r="AR512" s="44">
        <f t="shared" si="316"/>
        <v>90.072707617746701</v>
      </c>
      <c r="AS512" s="42" t="str">
        <f t="shared" si="317"/>
        <v>-6.85296843243111E-06-0.0000016951107057655i</v>
      </c>
      <c r="AT512" s="20">
        <f t="shared" si="318"/>
        <v>-103.02451797751712</v>
      </c>
      <c r="AU512" s="44">
        <f t="shared" si="319"/>
        <v>-166.1065196112599</v>
      </c>
    </row>
    <row r="513" spans="14:47" x14ac:dyDescent="0.3">
      <c r="N513" s="8">
        <v>95</v>
      </c>
      <c r="O513" s="35">
        <f t="shared" si="320"/>
        <v>891250.93813374708</v>
      </c>
      <c r="P513" s="34" t="str">
        <f t="shared" si="288"/>
        <v>545.10556621881</v>
      </c>
      <c r="Q513" s="4" t="str">
        <f t="shared" si="289"/>
        <v>1+119629.230553447i</v>
      </c>
      <c r="R513" s="4">
        <f t="shared" si="297"/>
        <v>119629.23055762659</v>
      </c>
      <c r="S513" s="4">
        <f t="shared" si="298"/>
        <v>1.5707879676338843</v>
      </c>
      <c r="T513" s="4" t="str">
        <f t="shared" si="290"/>
        <v>1+2.79994739974599i</v>
      </c>
      <c r="U513" s="4">
        <f t="shared" si="299"/>
        <v>2.9731642136525744</v>
      </c>
      <c r="V513" s="4">
        <f t="shared" si="300"/>
        <v>1.2277664360200777</v>
      </c>
      <c r="W513" t="str">
        <f t="shared" si="291"/>
        <v>1-2.90858535885613i</v>
      </c>
      <c r="X513" s="4">
        <f t="shared" si="301"/>
        <v>3.0756899697063487</v>
      </c>
      <c r="Y513" s="4">
        <f t="shared" si="302"/>
        <v>-1.2396468168270125</v>
      </c>
      <c r="Z513" t="str">
        <f t="shared" si="292"/>
        <v>-49.8370070223542+12.5954476063473i</v>
      </c>
      <c r="AA513" s="4">
        <f t="shared" si="303"/>
        <v>51.404013163861258</v>
      </c>
      <c r="AB513" s="4">
        <f t="shared" si="304"/>
        <v>2.89404357775526</v>
      </c>
      <c r="AC513" s="48" t="str">
        <f t="shared" si="305"/>
        <v>-0.000189276710835729+0.00078819421528434i</v>
      </c>
      <c r="AD513" s="20">
        <f t="shared" si="306"/>
        <v>-61.823845312990862</v>
      </c>
      <c r="AE513" s="44">
        <f t="shared" si="307"/>
        <v>103.50330053308345</v>
      </c>
      <c r="AF513" t="str">
        <f t="shared" si="293"/>
        <v>-0.0000333790427773504</v>
      </c>
      <c r="AG513" t="str">
        <f t="shared" si="294"/>
        <v>0.0303514298132465i</v>
      </c>
      <c r="AH513">
        <f t="shared" si="308"/>
        <v>3.0351429813246501E-2</v>
      </c>
      <c r="AI513">
        <f t="shared" si="309"/>
        <v>1.5707963267948966</v>
      </c>
      <c r="AJ513" t="str">
        <f t="shared" si="295"/>
        <v>1+699.263616290806i</v>
      </c>
      <c r="AK513">
        <f t="shared" si="310"/>
        <v>699.26433132835791</v>
      </c>
      <c r="AL513">
        <f t="shared" si="311"/>
        <v>1.5693662519347178</v>
      </c>
      <c r="AM513" t="str">
        <f t="shared" si="296"/>
        <v>1+5263.90111152247i</v>
      </c>
      <c r="AN513">
        <f t="shared" si="312"/>
        <v>5263.9012065090556</v>
      </c>
      <c r="AO513">
        <f t="shared" si="313"/>
        <v>1.5706063536235197</v>
      </c>
      <c r="AP513" s="42" t="str">
        <f t="shared" si="314"/>
        <v>-0.0000102664019720334+0.00827867327494305i</v>
      </c>
      <c r="AQ513">
        <f t="shared" si="315"/>
        <v>-41.640778458774363</v>
      </c>
      <c r="AR513" s="44">
        <f t="shared" si="316"/>
        <v>90.071052592935402</v>
      </c>
      <c r="AS513" s="42" t="str">
        <f t="shared" si="317"/>
        <v>-6.52325919474179E-06-1.57505196621101E-06i</v>
      </c>
      <c r="AT513" s="20">
        <f t="shared" si="318"/>
        <v>-103.46462377176522</v>
      </c>
      <c r="AU513" s="44">
        <f t="shared" si="319"/>
        <v>-166.42564687398118</v>
      </c>
    </row>
    <row r="514" spans="14:47" x14ac:dyDescent="0.3">
      <c r="N514" s="8">
        <v>96</v>
      </c>
      <c r="O514" s="35">
        <f t="shared" si="320"/>
        <v>912010.83935591124</v>
      </c>
      <c r="P514" s="34" t="str">
        <f t="shared" si="288"/>
        <v>545.10556621881</v>
      </c>
      <c r="Q514" s="4" t="str">
        <f t="shared" si="289"/>
        <v>1+122415.753297281i</v>
      </c>
      <c r="R514" s="4">
        <f t="shared" si="297"/>
        <v>122415.75330136545</v>
      </c>
      <c r="S514" s="4">
        <f t="shared" si="298"/>
        <v>1.5707881579116194</v>
      </c>
      <c r="T514" s="4" t="str">
        <f t="shared" si="290"/>
        <v>1+2.86516655291479i</v>
      </c>
      <c r="U514" s="4">
        <f t="shared" si="299"/>
        <v>3.0346629756764787</v>
      </c>
      <c r="V514" s="4">
        <f t="shared" si="300"/>
        <v>1.2349949591438081</v>
      </c>
      <c r="W514" t="str">
        <f t="shared" si="291"/>
        <v>1-2.97633501516788i</v>
      </c>
      <c r="X514" s="4">
        <f t="shared" si="301"/>
        <v>3.1398360024871339</v>
      </c>
      <c r="Y514" s="4">
        <f t="shared" si="302"/>
        <v>-1.2466623573518645</v>
      </c>
      <c r="Z514" t="str">
        <f t="shared" si="292"/>
        <v>-52.2328813505712+12.8888332702146i</v>
      </c>
      <c r="AA514" s="4">
        <f t="shared" si="303"/>
        <v>53.799590307457166</v>
      </c>
      <c r="AB514" s="4">
        <f t="shared" si="304"/>
        <v>2.8996684718758323</v>
      </c>
      <c r="AC514" s="48" t="str">
        <f t="shared" si="305"/>
        <v>-0.000179996868006703+0.000767829851783763i</v>
      </c>
      <c r="AD514" s="20">
        <f t="shared" si="306"/>
        <v>-62.062364601583099</v>
      </c>
      <c r="AE514" s="44">
        <f t="shared" si="307"/>
        <v>103.19320994168093</v>
      </c>
      <c r="AF514" t="str">
        <f t="shared" si="293"/>
        <v>-0.0000333790427773504</v>
      </c>
      <c r="AG514" t="str">
        <f t="shared" si="294"/>
        <v>0.0310584054335963i</v>
      </c>
      <c r="AH514">
        <f t="shared" si="308"/>
        <v>3.1058405433596298E-2</v>
      </c>
      <c r="AI514">
        <f t="shared" si="309"/>
        <v>1.5707963267948966</v>
      </c>
      <c r="AJ514" t="str">
        <f t="shared" si="295"/>
        <v>1+715.55155830728i</v>
      </c>
      <c r="AK514">
        <f t="shared" si="310"/>
        <v>715.5522570686062</v>
      </c>
      <c r="AL514">
        <f t="shared" si="311"/>
        <v>1.5693988043698983</v>
      </c>
      <c r="AM514" t="str">
        <f t="shared" si="296"/>
        <v>1+5386.51311947982i</v>
      </c>
      <c r="AN514">
        <f t="shared" si="312"/>
        <v>5386.5132123042467</v>
      </c>
      <c r="AO514">
        <f t="shared" si="313"/>
        <v>1.5706106779407436</v>
      </c>
      <c r="AP514" s="42" t="str">
        <f t="shared" si="314"/>
        <v>-9.80433867085035E-06+0.00809022831015073i</v>
      </c>
      <c r="AQ514">
        <f t="shared" si="315"/>
        <v>-41.840778066081256</v>
      </c>
      <c r="AR514" s="44">
        <f t="shared" si="316"/>
        <v>90.069435240912881</v>
      </c>
      <c r="AS514" s="42" t="str">
        <f t="shared" si="317"/>
        <v>-6.21015405402621E-06-1.46374382119477E-06i</v>
      </c>
      <c r="AT514" s="20">
        <f t="shared" si="318"/>
        <v>-103.90314266766435</v>
      </c>
      <c r="AU514" s="44">
        <f t="shared" si="319"/>
        <v>-166.73735481740619</v>
      </c>
    </row>
    <row r="515" spans="14:47" x14ac:dyDescent="0.3">
      <c r="N515" s="8">
        <v>97</v>
      </c>
      <c r="O515" s="35">
        <f t="shared" si="320"/>
        <v>933254.30079699249</v>
      </c>
      <c r="P515" s="34" t="str">
        <f t="shared" si="288"/>
        <v>545.10556621881</v>
      </c>
      <c r="Q515" s="4" t="str">
        <f t="shared" si="289"/>
        <v>1+125267.182493877i</v>
      </c>
      <c r="R515" s="4">
        <f t="shared" si="297"/>
        <v>125267.18249786846</v>
      </c>
      <c r="S515" s="4">
        <f t="shared" si="298"/>
        <v>1.5707883438581045</v>
      </c>
      <c r="T515" s="4" t="str">
        <f t="shared" si="290"/>
        <v>1+2.93190485531491i</v>
      </c>
      <c r="U515" s="4">
        <f t="shared" si="299"/>
        <v>3.0977517784062591</v>
      </c>
      <c r="V515" s="4">
        <f t="shared" si="300"/>
        <v>1.242094360391603</v>
      </c>
      <c r="W515" t="str">
        <f t="shared" si="291"/>
        <v>1-3.04566276370112i</v>
      </c>
      <c r="X515" s="4">
        <f t="shared" si="301"/>
        <v>3.2056296838835805</v>
      </c>
      <c r="Y515" s="4">
        <f t="shared" si="302"/>
        <v>-1.253550310979509</v>
      </c>
      <c r="Z515" t="str">
        <f t="shared" si="292"/>
        <v>-54.7416697571894+13.1890527640857i</v>
      </c>
      <c r="AA515" s="4">
        <f t="shared" si="303"/>
        <v>56.308094627850991</v>
      </c>
      <c r="AB515" s="4">
        <f t="shared" si="304"/>
        <v>2.9051660528275769</v>
      </c>
      <c r="AC515" s="48" t="str">
        <f t="shared" si="305"/>
        <v>-0.000171200035493795+0.000748078994642482i</v>
      </c>
      <c r="AD515" s="20">
        <f t="shared" si="306"/>
        <v>-62.299351169878889</v>
      </c>
      <c r="AE515" s="44">
        <f t="shared" si="307"/>
        <v>102.89032615788831</v>
      </c>
      <c r="AF515" t="str">
        <f t="shared" si="293"/>
        <v>-0.0000333790427773504</v>
      </c>
      <c r="AG515" t="str">
        <f t="shared" si="294"/>
        <v>0.0317818486316136i</v>
      </c>
      <c r="AH515">
        <f t="shared" si="308"/>
        <v>3.1781848631613603E-2</v>
      </c>
      <c r="AI515">
        <f t="shared" si="309"/>
        <v>1.5707963267948966</v>
      </c>
      <c r="AJ515" t="str">
        <f t="shared" si="295"/>
        <v>1+732.218895231413i</v>
      </c>
      <c r="AK515">
        <f t="shared" si="310"/>
        <v>732.21957808700449</v>
      </c>
      <c r="AL515">
        <f t="shared" si="311"/>
        <v>1.5694306158240514</v>
      </c>
      <c r="AM515" t="str">
        <f t="shared" si="296"/>
        <v>1+5511.98112799204i</v>
      </c>
      <c r="AN515">
        <f t="shared" si="312"/>
        <v>5511.9812187035241</v>
      </c>
      <c r="AO515">
        <f t="shared" si="313"/>
        <v>1.5706149038244968</v>
      </c>
      <c r="AP515" s="42" t="str">
        <f t="shared" si="314"/>
        <v>-9.36307156454295E-06+0.0079060728333534i</v>
      </c>
      <c r="AQ515">
        <f t="shared" si="315"/>
        <v>-42.040777691062239</v>
      </c>
      <c r="AR515" s="44">
        <f t="shared" si="316"/>
        <v>90.067854704153504</v>
      </c>
      <c r="AS515" s="42" t="str">
        <f t="shared" si="317"/>
        <v>-5.91276405856107E-06-0.0000013605242668494i</v>
      </c>
      <c r="AT515" s="20">
        <f t="shared" si="318"/>
        <v>-104.34012886094112</v>
      </c>
      <c r="AU515" s="44">
        <f t="shared" si="319"/>
        <v>-167.04181913795816</v>
      </c>
    </row>
    <row r="516" spans="14:47" x14ac:dyDescent="0.3">
      <c r="N516" s="8">
        <v>98</v>
      </c>
      <c r="O516" s="35">
        <f t="shared" si="320"/>
        <v>954992.58602143743</v>
      </c>
      <c r="P516" s="34" t="str">
        <f t="shared" si="288"/>
        <v>545.10556621881</v>
      </c>
      <c r="Q516" s="4" t="str">
        <f t="shared" si="289"/>
        <v>1+128185.030008739i</v>
      </c>
      <c r="R516" s="4">
        <f t="shared" si="297"/>
        <v>128185.0300126396</v>
      </c>
      <c r="S516" s="4">
        <f t="shared" si="298"/>
        <v>1.5707885255719307</v>
      </c>
      <c r="T516" s="4" t="str">
        <f t="shared" si="290"/>
        <v>1+3.00019769247766i</v>
      </c>
      <c r="U516" s="4">
        <f t="shared" si="299"/>
        <v>3.1624652083379945</v>
      </c>
      <c r="V516" s="4">
        <f t="shared" si="300"/>
        <v>1.249065540473618</v>
      </c>
      <c r="W516" t="str">
        <f t="shared" si="291"/>
        <v>1-3.11660536294579i</v>
      </c>
      <c r="X516" s="4">
        <f t="shared" si="301"/>
        <v>3.2731069320055006</v>
      </c>
      <c r="Y516" s="4">
        <f t="shared" si="302"/>
        <v>-1.2603117145814298</v>
      </c>
      <c r="Z516" t="str">
        <f t="shared" si="292"/>
        <v>-57.3686937187784+13.49626526831i</v>
      </c>
      <c r="AA516" s="4">
        <f t="shared" si="303"/>
        <v>58.934847036295892</v>
      </c>
      <c r="AB516" s="4">
        <f t="shared" si="304"/>
        <v>2.9105391641521763</v>
      </c>
      <c r="AC516" s="48" t="str">
        <f t="shared" si="305"/>
        <v>-0.000162858930611359+0.000728918927135121i</v>
      </c>
      <c r="AD516" s="20">
        <f t="shared" si="306"/>
        <v>-62.534858061893111</v>
      </c>
      <c r="AE516" s="44">
        <f t="shared" si="307"/>
        <v>102.59447845165003</v>
      </c>
      <c r="AF516" t="str">
        <f t="shared" si="293"/>
        <v>-0.0000333790427773504</v>
      </c>
      <c r="AG516" t="str">
        <f t="shared" si="294"/>
        <v>0.0325221429864579i</v>
      </c>
      <c r="AH516">
        <f t="shared" si="308"/>
        <v>3.2522142986457898E-2</v>
      </c>
      <c r="AI516">
        <f t="shared" si="309"/>
        <v>1.5707963267948966</v>
      </c>
      <c r="AJ516" t="str">
        <f t="shared" si="295"/>
        <v>1+749.274464305861i</v>
      </c>
      <c r="AK516">
        <f t="shared" si="310"/>
        <v>749.27513161777563</v>
      </c>
      <c r="AL516">
        <f t="shared" si="311"/>
        <v>1.5694617031637734</v>
      </c>
      <c r="AM516" t="str">
        <f t="shared" si="296"/>
        <v>1+5640.37166185802i</v>
      </c>
      <c r="AN516">
        <f t="shared" si="312"/>
        <v>5640.3717505046598</v>
      </c>
      <c r="AO516">
        <f t="shared" si="313"/>
        <v>1.570619033515398</v>
      </c>
      <c r="AP516" s="42" t="str">
        <f t="shared" si="314"/>
        <v>-8.94166467714594E-06+0.00772610920676041i</v>
      </c>
      <c r="AQ516">
        <f t="shared" si="315"/>
        <v>-42.24077733292183</v>
      </c>
      <c r="AR516" s="44">
        <f t="shared" si="316"/>
        <v>90.066310144650473</v>
      </c>
      <c r="AS516" s="42" t="str">
        <f t="shared" si="317"/>
        <v>-5.63025100397337E-06-1.26478363182284E-06i</v>
      </c>
      <c r="AT516" s="20">
        <f t="shared" si="318"/>
        <v>-104.77563539481494</v>
      </c>
      <c r="AU516" s="44">
        <f t="shared" si="319"/>
        <v>-167.33921140369949</v>
      </c>
    </row>
    <row r="517" spans="14:47" x14ac:dyDescent="0.3">
      <c r="N517" s="8">
        <v>99</v>
      </c>
      <c r="O517" s="35">
        <f t="shared" si="320"/>
        <v>977237.22095581202</v>
      </c>
      <c r="P517" s="34" t="str">
        <f t="shared" si="288"/>
        <v>545.10556621881</v>
      </c>
      <c r="Q517" s="4" t="str">
        <f t="shared" si="289"/>
        <v>1+131170.84292324i</v>
      </c>
      <c r="R517" s="4">
        <f t="shared" si="297"/>
        <v>131170.84292705182</v>
      </c>
      <c r="S517" s="4">
        <f t="shared" si="298"/>
        <v>1.5707887031494454</v>
      </c>
      <c r="T517" s="4" t="str">
        <f t="shared" si="290"/>
        <v>1+3.07008127416928i</v>
      </c>
      <c r="U517" s="4">
        <f t="shared" si="299"/>
        <v>3.2288386503516815</v>
      </c>
      <c r="V517" s="4">
        <f t="shared" si="300"/>
        <v>1.2559094844566323</v>
      </c>
      <c r="W517" t="str">
        <f t="shared" si="291"/>
        <v>1-3.18920042760704i</v>
      </c>
      <c r="X517" s="4">
        <f t="shared" si="301"/>
        <v>3.3423044995106186</v>
      </c>
      <c r="Y517" s="4">
        <f t="shared" si="302"/>
        <v>-1.2669476794223686</v>
      </c>
      <c r="Z517" t="str">
        <f t="shared" si="292"/>
        <v>-60.1195255053722+13.8106336710237i</v>
      </c>
      <c r="AA517" s="4">
        <f t="shared" si="303"/>
        <v>61.685419260845684</v>
      </c>
      <c r="AB517" s="4">
        <f t="shared" si="304"/>
        <v>2.9157905889413058</v>
      </c>
      <c r="AC517" s="48" t="str">
        <f t="shared" si="305"/>
        <v>-0.000154947959999225+0.00071032790022977i</v>
      </c>
      <c r="AD517" s="20">
        <f t="shared" si="306"/>
        <v>-62.768937133492116</v>
      </c>
      <c r="AE517" s="44">
        <f t="shared" si="307"/>
        <v>102.30550012742806</v>
      </c>
      <c r="AF517" t="str">
        <f t="shared" si="293"/>
        <v>-0.0000333790427773504</v>
      </c>
      <c r="AG517" t="str">
        <f t="shared" si="294"/>
        <v>0.033279681011995i</v>
      </c>
      <c r="AH517">
        <f t="shared" si="308"/>
        <v>3.3279681011995001E-2</v>
      </c>
      <c r="AI517">
        <f t="shared" si="309"/>
        <v>1.5707963267948966</v>
      </c>
      <c r="AJ517" t="str">
        <f t="shared" si="295"/>
        <v>1+766.727308619104i</v>
      </c>
      <c r="AK517">
        <f t="shared" si="310"/>
        <v>766.72796074115797</v>
      </c>
      <c r="AL517">
        <f t="shared" si="311"/>
        <v>1.5694920828717429</v>
      </c>
      <c r="AM517" t="str">
        <f t="shared" si="296"/>
        <v>1+5771.75279543827i</v>
      </c>
      <c r="AN517">
        <f t="shared" si="312"/>
        <v>5771.7528820670659</v>
      </c>
      <c r="AO517">
        <f t="shared" si="313"/>
        <v>1.5706230692030634</v>
      </c>
      <c r="AP517" s="42" t="str">
        <f t="shared" si="314"/>
        <v>-8.53922415793732E-06+0.00755024201489657i</v>
      </c>
      <c r="AQ517">
        <f t="shared" si="315"/>
        <v>-42.440776990900311</v>
      </c>
      <c r="AR517" s="44">
        <f t="shared" si="316"/>
        <v>90.06480074347165</v>
      </c>
      <c r="AS517" s="42" t="str">
        <f t="shared" si="317"/>
        <v>-5.36182442130482E-06-1.17596024687436E-06i</v>
      </c>
      <c r="AT517" s="20">
        <f t="shared" si="318"/>
        <v>-105.20971412439243</v>
      </c>
      <c r="AU517" s="44">
        <f t="shared" si="319"/>
        <v>-167.62969912910029</v>
      </c>
    </row>
    <row r="518" spans="14:47" x14ac:dyDescent="0.3">
      <c r="N518" s="8">
        <v>100</v>
      </c>
      <c r="O518" s="35">
        <f t="shared" si="320"/>
        <v>1000000</v>
      </c>
      <c r="P518" s="34" t="str">
        <f t="shared" si="288"/>
        <v>545.10556621881</v>
      </c>
      <c r="Q518" s="4" t="str">
        <f t="shared" si="289"/>
        <v>1+134226.204354911i</v>
      </c>
      <c r="R518" s="4">
        <f t="shared" si="297"/>
        <v>134226.20435863605</v>
      </c>
      <c r="S518" s="4">
        <f t="shared" si="298"/>
        <v>1.5707888766848024</v>
      </c>
      <c r="T518" s="4" t="str">
        <f t="shared" si="290"/>
        <v>1+3.14159265358979i</v>
      </c>
      <c r="U518" s="4">
        <f t="shared" si="299"/>
        <v>3.296908309475612</v>
      </c>
      <c r="V518" s="4">
        <f t="shared" si="300"/>
        <v>1.2626272556789113</v>
      </c>
      <c r="W518" t="str">
        <f t="shared" si="291"/>
        <v>1-3.26348644854907i</v>
      </c>
      <c r="X518" s="4">
        <f t="shared" si="301"/>
        <v>3.4132599959369374</v>
      </c>
      <c r="Y518" s="4">
        <f t="shared" si="302"/>
        <v>-1.2734593853784124</v>
      </c>
      <c r="Z518" t="str">
        <f t="shared" si="292"/>
        <v>-63.0000000000002+14.1323246545152i</v>
      </c>
      <c r="AA518" s="4">
        <f t="shared" si="303"/>
        <v>64.565645665017882</v>
      </c>
      <c r="AB518" s="4">
        <f t="shared" si="304"/>
        <v>2.9209230508599817</v>
      </c>
      <c r="AC518" s="48" t="str">
        <f t="shared" si="305"/>
        <v>-0.000147443106353453+0.000692285094529607i</v>
      </c>
      <c r="AD518" s="20">
        <f t="shared" si="306"/>
        <v>-63.001639023335386</v>
      </c>
      <c r="AE518" s="44">
        <f t="shared" si="307"/>
        <v>102.02322844819231</v>
      </c>
      <c r="AF518" t="str">
        <f t="shared" si="293"/>
        <v>-0.0000333790427773504</v>
      </c>
      <c r="AG518" t="str">
        <f t="shared" si="294"/>
        <v>0.0340548643649134i</v>
      </c>
      <c r="AH518">
        <f t="shared" si="308"/>
        <v>3.4054864364913402E-2</v>
      </c>
      <c r="AI518">
        <f t="shared" si="309"/>
        <v>1.5707963267948966</v>
      </c>
      <c r="AJ518" t="str">
        <f t="shared" si="295"/>
        <v>1+784.586681900211i</v>
      </c>
      <c r="AK518">
        <f t="shared" si="310"/>
        <v>784.58731917816704</v>
      </c>
      <c r="AL518">
        <f t="shared" si="311"/>
        <v>1.5695217710554588</v>
      </c>
      <c r="AM518" t="str">
        <f t="shared" si="296"/>
        <v>1+5906.19418874883i</v>
      </c>
      <c r="AN518">
        <f t="shared" si="312"/>
        <v>5906.1942734057138</v>
      </c>
      <c r="AO518">
        <f t="shared" si="313"/>
        <v>1.5706270130272679</v>
      </c>
      <c r="AP518" s="42" t="str">
        <f t="shared" si="314"/>
        <v>-0.0000081548963855435+0.00737837801402877i</v>
      </c>
      <c r="AQ518">
        <f t="shared" si="315"/>
        <v>-42.640776664272281</v>
      </c>
      <c r="AR518" s="44">
        <f t="shared" si="316"/>
        <v>90.063325700325379</v>
      </c>
      <c r="AS518" s="42" t="str">
        <f t="shared" si="317"/>
        <v>-5.10673873766201E-06-1.09353648745357E-06i</v>
      </c>
      <c r="AT518" s="20">
        <f t="shared" si="318"/>
        <v>-105.64241568760767</v>
      </c>
      <c r="AU518" s="44">
        <f t="shared" si="319"/>
        <v>-167.91344585148229</v>
      </c>
    </row>
    <row r="519" spans="14:47" x14ac:dyDescent="0.3">
      <c r="N519" s="8">
        <v>1</v>
      </c>
      <c r="O519" s="35">
        <f>10^(6+(N519/100))</f>
        <v>1023292.9922807553</v>
      </c>
      <c r="P519" s="34" t="str">
        <f t="shared" si="288"/>
        <v>545.10556621881</v>
      </c>
      <c r="Q519" s="4" t="str">
        <f t="shared" si="289"/>
        <v>1+137352.734296825i</v>
      </c>
      <c r="R519" s="4">
        <f t="shared" si="297"/>
        <v>137352.73430046524</v>
      </c>
      <c r="S519" s="4">
        <f t="shared" si="298"/>
        <v>1.5707890462700123</v>
      </c>
      <c r="T519" s="4" t="str">
        <f t="shared" si="290"/>
        <v>1+3.21476974701914i</v>
      </c>
      <c r="U519" s="4">
        <f t="shared" si="299"/>
        <v>3.3667112329912561</v>
      </c>
      <c r="V519" s="4">
        <f t="shared" si="300"/>
        <v>1.2692199898451306</v>
      </c>
      <c r="W519" t="str">
        <f t="shared" si="291"/>
        <v>1-3.33950281320347i</v>
      </c>
      <c r="X519" s="4">
        <f t="shared" si="301"/>
        <v>3.4860119103918579</v>
      </c>
      <c r="Y519" s="4">
        <f t="shared" si="302"/>
        <v>-1.2798480753506476</v>
      </c>
      <c r="Z519" t="str">
        <f t="shared" si="292"/>
        <v>-66.0162270752579+14.4615087836019i</v>
      </c>
      <c r="AA519" s="4">
        <f t="shared" si="303"/>
        <v>67.581635623519858</v>
      </c>
      <c r="AB519" s="4">
        <f t="shared" si="304"/>
        <v>2.9259392151770838</v>
      </c>
      <c r="AC519" s="48" t="str">
        <f t="shared" si="305"/>
        <v>-0.000140321823105102+0.000674770582694685i</v>
      </c>
      <c r="AD519" s="20">
        <f t="shared" si="306"/>
        <v>-63.233013129906169</v>
      </c>
      <c r="AE519" s="44">
        <f t="shared" si="307"/>
        <v>101.7475045581109</v>
      </c>
      <c r="AF519" t="str">
        <f t="shared" si="293"/>
        <v>-0.0000333790427773504</v>
      </c>
      <c r="AG519" t="str">
        <f t="shared" si="294"/>
        <v>0.0348481040576875i</v>
      </c>
      <c r="AH519">
        <f t="shared" si="308"/>
        <v>3.4848104057687498E-2</v>
      </c>
      <c r="AI519">
        <f t="shared" si="309"/>
        <v>1.5707963267948966</v>
      </c>
      <c r="AJ519" t="str">
        <f t="shared" si="295"/>
        <v>1+802.862053425296i</v>
      </c>
      <c r="AK519">
        <f t="shared" si="310"/>
        <v>802.8626761970462</v>
      </c>
      <c r="AL519">
        <f t="shared" si="311"/>
        <v>1.5695507834557794</v>
      </c>
      <c r="AM519" t="str">
        <f t="shared" si="296"/>
        <v>1+6043.767124396i</v>
      </c>
      <c r="AN519">
        <f t="shared" si="312"/>
        <v>6043.7672071258594</v>
      </c>
      <c r="AO519">
        <f t="shared" si="313"/>
        <v>1.5706308670790783</v>
      </c>
      <c r="AP519" s="42" t="str">
        <f t="shared" si="314"/>
        <v>-7.78786615737025E-06+0.00721042608274319i</v>
      </c>
      <c r="AQ519">
        <f t="shared" si="315"/>
        <v>-42.840776352344967</v>
      </c>
      <c r="AR519" s="44">
        <f t="shared" si="316"/>
        <v>90.061884233136226</v>
      </c>
      <c r="AS519" s="42" t="str">
        <f t="shared" si="317"/>
        <v>-4.86429060175228E-06-1.01703515628006E-06i</v>
      </c>
      <c r="AT519" s="20">
        <f t="shared" si="318"/>
        <v>-106.07378948225113</v>
      </c>
      <c r="AU519" s="44">
        <f t="shared" si="319"/>
        <v>-168.19061120875287</v>
      </c>
    </row>
    <row r="520" spans="14:47" x14ac:dyDescent="0.3">
      <c r="N520" s="8">
        <v>2</v>
      </c>
      <c r="O520" s="35">
        <f t="shared" ref="O520:O560" si="321">10^(6+(N520/100))</f>
        <v>1047128.5480509007</v>
      </c>
      <c r="P520" s="34" t="str">
        <f t="shared" si="288"/>
        <v>545.10556621881</v>
      </c>
      <c r="Q520" s="4" t="str">
        <f t="shared" si="289"/>
        <v>1+140552.090476542i</v>
      </c>
      <c r="R520" s="4">
        <f t="shared" si="297"/>
        <v>140552.0904800994</v>
      </c>
      <c r="S520" s="4">
        <f t="shared" si="298"/>
        <v>1.5707892119949916</v>
      </c>
      <c r="T520" s="4" t="str">
        <f t="shared" si="290"/>
        <v>1+3.28965135392085i</v>
      </c>
      <c r="U520" s="4">
        <f t="shared" si="299"/>
        <v>3.4382853328880785</v>
      </c>
      <c r="V520" s="4">
        <f t="shared" si="300"/>
        <v>1.2756888893113916</v>
      </c>
      <c r="W520" t="str">
        <f t="shared" si="291"/>
        <v>1-3.41728982645297i</v>
      </c>
      <c r="X520" s="4">
        <f t="shared" si="301"/>
        <v>3.5605996346091722</v>
      </c>
      <c r="Y520" s="4">
        <f t="shared" si="302"/>
        <v>-1.2861150498812095</v>
      </c>
      <c r="Z520" t="str">
        <f t="shared" si="292"/>
        <v>-69.1746045531641+14.7983605960664i</v>
      </c>
      <c r="AA520" s="4">
        <f t="shared" si="303"/>
        <v>70.739786481285364</v>
      </c>
      <c r="AB520" s="4">
        <f t="shared" si="304"/>
        <v>2.9308416898001353</v>
      </c>
      <c r="AC520" s="48" t="str">
        <f t="shared" si="305"/>
        <v>-0.00013356293649227+0.000657765292506437i</v>
      </c>
      <c r="AD520" s="20">
        <f t="shared" si="306"/>
        <v>-63.463107594186695</v>
      </c>
      <c r="AE520" s="44">
        <f t="shared" si="307"/>
        <v>101.47817340429219</v>
      </c>
      <c r="AF520" t="str">
        <f t="shared" si="293"/>
        <v>-0.0000333790427773504</v>
      </c>
      <c r="AG520" t="str">
        <f t="shared" si="294"/>
        <v>0.0356598206765021i</v>
      </c>
      <c r="AH520">
        <f t="shared" si="308"/>
        <v>3.5659820676502099E-2</v>
      </c>
      <c r="AI520">
        <f t="shared" si="309"/>
        <v>1.5707963267948966</v>
      </c>
      <c r="AJ520" t="str">
        <f t="shared" si="295"/>
        <v>1+821.563113038241i</v>
      </c>
      <c r="AK520">
        <f t="shared" si="310"/>
        <v>821.56372163398601</v>
      </c>
      <c r="AL520">
        <f t="shared" si="311"/>
        <v>1.5695791354552682</v>
      </c>
      <c r="AM520" t="str">
        <f t="shared" si="296"/>
        <v>1+6184.54454537122i</v>
      </c>
      <c r="AN520">
        <f t="shared" si="312"/>
        <v>6184.5446262179166</v>
      </c>
      <c r="AO520">
        <f t="shared" si="313"/>
        <v>1.5706346334019639</v>
      </c>
      <c r="AP520" s="42" t="str">
        <f t="shared" si="314"/>
        <v>-7.43735496051792E-06+0.00704629717364667i</v>
      </c>
      <c r="AQ520">
        <f t="shared" si="315"/>
        <v>-43.040776054456614</v>
      </c>
      <c r="AR520" s="44">
        <f t="shared" si="316"/>
        <v>90.060475577630385</v>
      </c>
      <c r="AS520" s="42" t="str">
        <f t="shared" si="317"/>
        <v>-4.63381636654272E-06-9.46016175870511E-07i</v>
      </c>
      <c r="AT520" s="20">
        <f t="shared" si="318"/>
        <v>-106.5038836486433</v>
      </c>
      <c r="AU520" s="44">
        <f t="shared" si="319"/>
        <v>-168.46135101807741</v>
      </c>
    </row>
    <row r="521" spans="14:47" x14ac:dyDescent="0.3">
      <c r="N521" s="8">
        <v>3</v>
      </c>
      <c r="O521" s="35">
        <f t="shared" si="321"/>
        <v>1071519.3052376076</v>
      </c>
      <c r="P521" s="34" t="str">
        <f t="shared" si="288"/>
        <v>545.10556621881</v>
      </c>
      <c r="Q521" s="4" t="str">
        <f t="shared" si="289"/>
        <v>1+143825.969235056i</v>
      </c>
      <c r="R521" s="4">
        <f t="shared" si="297"/>
        <v>143825.96923853239</v>
      </c>
      <c r="S521" s="4">
        <f t="shared" si="298"/>
        <v>1.5707893739476098</v>
      </c>
      <c r="T521" s="4" t="str">
        <f t="shared" si="290"/>
        <v>1+3.3662771775141i</v>
      </c>
      <c r="U521" s="4">
        <f t="shared" si="299"/>
        <v>3.5116694086790536</v>
      </c>
      <c r="V521" s="4">
        <f t="shared" si="300"/>
        <v>1.2820352175683978</v>
      </c>
      <c r="W521" t="str">
        <f t="shared" si="291"/>
        <v>1-3.49688873200164i</v>
      </c>
      <c r="X521" s="4">
        <f t="shared" si="301"/>
        <v>3.6370634863856908</v>
      </c>
      <c r="Y521" s="4">
        <f t="shared" si="302"/>
        <v>-1.2922616619767806</v>
      </c>
      <c r="Z521" t="str">
        <f t="shared" si="292"/>
        <v>-72.4818317758006+15.1430586951984i</v>
      </c>
      <c r="AA521" s="4">
        <f t="shared" si="303"/>
        <v>74.046797123317106</v>
      </c>
      <c r="AB521" s="4">
        <f t="shared" si="304"/>
        <v>2.9356330263117951</v>
      </c>
      <c r="AC521" s="48" t="str">
        <f t="shared" si="305"/>
        <v>-0.000127146554506249+0.000641250970707773i</v>
      </c>
      <c r="AD521" s="20">
        <f t="shared" si="306"/>
        <v>-63.691969287545014</v>
      </c>
      <c r="AE521" s="44">
        <f t="shared" si="307"/>
        <v>101.21508365789641</v>
      </c>
      <c r="AF521" t="str">
        <f t="shared" si="293"/>
        <v>-0.0000333790427773504</v>
      </c>
      <c r="AG521" t="str">
        <f t="shared" si="294"/>
        <v>0.0364904446042529i</v>
      </c>
      <c r="AH521">
        <f t="shared" si="308"/>
        <v>3.6490444604252902E-2</v>
      </c>
      <c r="AI521">
        <f t="shared" si="309"/>
        <v>1.5707963267948966</v>
      </c>
      <c r="AJ521" t="str">
        <f t="shared" si="295"/>
        <v>1+840.699776288393i</v>
      </c>
      <c r="AK521">
        <f t="shared" si="310"/>
        <v>840.70037103081745</v>
      </c>
      <c r="AL521">
        <f t="shared" si="311"/>
        <v>1.569606842086348</v>
      </c>
      <c r="AM521" t="str">
        <f t="shared" si="296"/>
        <v>1+6328.60109372653i</v>
      </c>
      <c r="AN521">
        <f t="shared" si="312"/>
        <v>6328.6011727329314</v>
      </c>
      <c r="AO521">
        <f t="shared" si="313"/>
        <v>1.5706383139928781</v>
      </c>
      <c r="AP521" s="42" t="str">
        <f t="shared" si="314"/>
        <v>-7.10261932051354E-06+0.00688590426616637i</v>
      </c>
      <c r="AQ521">
        <f t="shared" si="315"/>
        <v>-43.240775769975443</v>
      </c>
      <c r="AR521" s="44">
        <f t="shared" si="316"/>
        <v>90.059098986930479</v>
      </c>
      <c r="AS521" s="42" t="str">
        <f t="shared" si="317"/>
        <v>-4.41468972130541E-06-8.80073563636782E-07i</v>
      </c>
      <c r="AT521" s="20">
        <f t="shared" si="318"/>
        <v>-106.93274505752045</v>
      </c>
      <c r="AU521" s="44">
        <f t="shared" si="319"/>
        <v>-168.72581735517309</v>
      </c>
    </row>
    <row r="522" spans="14:47" x14ac:dyDescent="0.3">
      <c r="N522" s="8">
        <v>4</v>
      </c>
      <c r="O522" s="35">
        <f t="shared" si="321"/>
        <v>1096478.196143186</v>
      </c>
      <c r="P522" s="34" t="str">
        <f t="shared" si="288"/>
        <v>545.10556621881</v>
      </c>
      <c r="Q522" s="4" t="str">
        <f t="shared" si="289"/>
        <v>1+147176.10642622i</v>
      </c>
      <c r="R522" s="4">
        <f t="shared" si="297"/>
        <v>147176.10642961733</v>
      </c>
      <c r="S522" s="4">
        <f t="shared" si="298"/>
        <v>1.5707895322137362</v>
      </c>
      <c r="T522" s="4" t="str">
        <f t="shared" si="290"/>
        <v>1+3.44468784582482i</v>
      </c>
      <c r="U522" s="4">
        <f t="shared" si="299"/>
        <v>3.5869031705878593</v>
      </c>
      <c r="V522" s="4">
        <f t="shared" si="300"/>
        <v>1.2882602939289531</v>
      </c>
      <c r="W522" t="str">
        <f t="shared" si="291"/>
        <v>1-3.57834173424281i</v>
      </c>
      <c r="X522" s="4">
        <f t="shared" si="301"/>
        <v>3.7154447334099645</v>
      </c>
      <c r="Y522" s="4">
        <f t="shared" si="302"/>
        <v>-1.2982893121429893</v>
      </c>
      <c r="Z522" t="str">
        <f t="shared" si="292"/>
        <v>-75.9449238155147+15.4957858444927i</v>
      </c>
      <c r="AA522" s="4">
        <f t="shared" si="303"/>
        <v>77.509682184116272</v>
      </c>
      <c r="AB522" s="4">
        <f t="shared" si="304"/>
        <v>2.9403157210057489</v>
      </c>
      <c r="AC522" s="48" t="str">
        <f t="shared" si="305"/>
        <v>-0.000121053982226503+0.00062521014772552i</v>
      </c>
      <c r="AD522" s="20">
        <f t="shared" si="306"/>
        <v>-63.91964380441631</v>
      </c>
      <c r="AE522" s="44">
        <f t="shared" si="307"/>
        <v>100.95808763490487</v>
      </c>
      <c r="AF522" t="str">
        <f t="shared" si="293"/>
        <v>-0.0000333790427773504</v>
      </c>
      <c r="AG522" t="str">
        <f t="shared" si="294"/>
        <v>0.0373404162487411i</v>
      </c>
      <c r="AH522">
        <f t="shared" si="308"/>
        <v>3.7340416248741098E-2</v>
      </c>
      <c r="AI522">
        <f t="shared" si="309"/>
        <v>1.5707963267948966</v>
      </c>
      <c r="AJ522" t="str">
        <f t="shared" si="295"/>
        <v>1+860.28218968791i</v>
      </c>
      <c r="AK522">
        <f t="shared" si="310"/>
        <v>860.28277089235326</v>
      </c>
      <c r="AL522">
        <f t="shared" si="311"/>
        <v>1.5696339180392711</v>
      </c>
      <c r="AM522" t="str">
        <f t="shared" si="296"/>
        <v>1+6476.01315015068i</v>
      </c>
      <c r="AN522">
        <f t="shared" si="312"/>
        <v>6476.013227358676</v>
      </c>
      <c r="AO522">
        <f t="shared" si="313"/>
        <v>1.5706419108033187</v>
      </c>
      <c r="AP522" s="42" t="str">
        <f t="shared" si="314"/>
        <v>-6.78294922435977E-06+0.00672916232042366i</v>
      </c>
      <c r="AQ522">
        <f t="shared" si="315"/>
        <v>-43.440775498298024</v>
      </c>
      <c r="AR522" s="44">
        <f t="shared" si="316"/>
        <v>90.05775373115965</v>
      </c>
      <c r="AS522" s="42" t="str">
        <f t="shared" si="317"/>
        <v>-4.20631946540623E-06-8.18832664622396E-07i</v>
      </c>
      <c r="AT522" s="20">
        <f t="shared" si="318"/>
        <v>-107.36041930271433</v>
      </c>
      <c r="AU522" s="44">
        <f t="shared" si="319"/>
        <v>-168.98415863393546</v>
      </c>
    </row>
    <row r="523" spans="14:47" x14ac:dyDescent="0.3">
      <c r="N523" s="8">
        <v>5</v>
      </c>
      <c r="O523" s="35">
        <f t="shared" si="321"/>
        <v>1122018.4543019643</v>
      </c>
      <c r="P523" s="34" t="str">
        <f t="shared" si="288"/>
        <v>545.10556621881</v>
      </c>
      <c r="Q523" s="4" t="str">
        <f t="shared" si="289"/>
        <v>1+150604.278337117i</v>
      </c>
      <c r="R523" s="4">
        <f t="shared" si="297"/>
        <v>150604.27834043693</v>
      </c>
      <c r="S523" s="4">
        <f t="shared" si="298"/>
        <v>1.5707896868772859</v>
      </c>
      <c r="T523" s="4" t="str">
        <f t="shared" si="290"/>
        <v>1+3.52492493322723i</v>
      </c>
      <c r="U523" s="4">
        <f t="shared" si="299"/>
        <v>3.6640272631200483</v>
      </c>
      <c r="V523" s="4">
        <f t="shared" si="300"/>
        <v>1.294365488424289</v>
      </c>
      <c r="W523" t="str">
        <f t="shared" si="291"/>
        <v>1-3.66169202063643i</v>
      </c>
      <c r="X523" s="4">
        <f t="shared" si="301"/>
        <v>3.7957856174963966</v>
      </c>
      <c r="Y523" s="4">
        <f t="shared" si="302"/>
        <v>-1.3041994436317137</v>
      </c>
      <c r="Z523" t="str">
        <f t="shared" si="292"/>
        <v>-79.5712263548268+15.8567290645526i</v>
      </c>
      <c r="AA523" s="4">
        <f t="shared" si="303"/>
        <v>81.135786926840794</v>
      </c>
      <c r="AB523" s="4">
        <f t="shared" si="304"/>
        <v>2.9448922159199711</v>
      </c>
      <c r="AC523" s="48" t="str">
        <f t="shared" si="305"/>
        <v>-0.000115267643091382+0.000609626103359457i</v>
      </c>
      <c r="AD523" s="20">
        <f t="shared" si="306"/>
        <v>-64.146175459374859</v>
      </c>
      <c r="AE523" s="44">
        <f t="shared" si="307"/>
        <v>100.70704121680618</v>
      </c>
      <c r="AF523" t="str">
        <f t="shared" si="293"/>
        <v>-0.0000333790427773504</v>
      </c>
      <c r="AG523" t="str">
        <f t="shared" si="294"/>
        <v>0.0382101862761831i</v>
      </c>
      <c r="AH523">
        <f t="shared" si="308"/>
        <v>3.8210186276183097E-2</v>
      </c>
      <c r="AI523">
        <f t="shared" si="309"/>
        <v>1.5707963267948966</v>
      </c>
      <c r="AJ523" t="str">
        <f t="shared" si="295"/>
        <v>1+880.320736091581i</v>
      </c>
      <c r="AK523">
        <f t="shared" si="310"/>
        <v>880.32130406620456</v>
      </c>
      <c r="AL523">
        <f t="shared" si="311"/>
        <v>1.5696603776699074</v>
      </c>
      <c r="AM523" t="str">
        <f t="shared" si="296"/>
        <v>1+6626.8588744672i</v>
      </c>
      <c r="AN523">
        <f t="shared" si="312"/>
        <v>6626.8589499177269</v>
      </c>
      <c r="AO523">
        <f t="shared" si="313"/>
        <v>1.5706454257403619</v>
      </c>
      <c r="AP523" s="42" t="str">
        <f t="shared" si="314"/>
        <v>-6.47766661455448E-06+0.00657598823215706i</v>
      </c>
      <c r="AQ523">
        <f t="shared" si="315"/>
        <v>-43.640775238848057</v>
      </c>
      <c r="AR523" s="44">
        <f t="shared" si="316"/>
        <v>90.05643909705455</v>
      </c>
      <c r="AS523" s="42" t="str">
        <f t="shared" si="317"/>
        <v>-4.00814741634416E-06-7.61947619174501E-07i</v>
      </c>
      <c r="AT523" s="20">
        <f t="shared" si="318"/>
        <v>-107.78695069822291</v>
      </c>
      <c r="AU523" s="44">
        <f t="shared" si="319"/>
        <v>-169.23651968613927</v>
      </c>
    </row>
    <row r="524" spans="14:47" x14ac:dyDescent="0.3">
      <c r="N524" s="8">
        <v>6</v>
      </c>
      <c r="O524" s="35">
        <f t="shared" si="321"/>
        <v>1148153.6214968837</v>
      </c>
      <c r="P524" s="34" t="str">
        <f t="shared" si="288"/>
        <v>545.10556621881</v>
      </c>
      <c r="Q524" s="4" t="str">
        <f t="shared" si="289"/>
        <v>1+154112.302629872i</v>
      </c>
      <c r="R524" s="4">
        <f t="shared" si="297"/>
        <v>154112.30263311637</v>
      </c>
      <c r="S524" s="4">
        <f t="shared" si="298"/>
        <v>1.5707898380202634</v>
      </c>
      <c r="T524" s="4" t="str">
        <f t="shared" si="290"/>
        <v>1+3.60703098248712i</v>
      </c>
      <c r="U524" s="4">
        <f t="shared" si="299"/>
        <v>3.7430832890308494</v>
      </c>
      <c r="V524" s="4">
        <f t="shared" si="300"/>
        <v>1.3003522169121453</v>
      </c>
      <c r="W524" t="str">
        <f t="shared" si="291"/>
        <v>1-3.74698378460761i</v>
      </c>
      <c r="X524" s="4">
        <f t="shared" si="301"/>
        <v>3.878129379238445</v>
      </c>
      <c r="Y524" s="4">
        <f t="shared" si="302"/>
        <v>-1.3099935379019558</v>
      </c>
      <c r="Z524" t="str">
        <f t="shared" si="292"/>
        <v>-83.3684312676102+16.2260797322513i</v>
      </c>
      <c r="AA524" s="4">
        <f t="shared" si="303"/>
        <v>84.932802823759587</v>
      </c>
      <c r="AB524" s="4">
        <f t="shared" si="304"/>
        <v>2.9493648998655604</v>
      </c>
      <c r="AC524" s="48" t="str">
        <f t="shared" si="305"/>
        <v>-0.00010977100568188+0.000594482833502336i</v>
      </c>
      <c r="AD524" s="20">
        <f t="shared" si="306"/>
        <v>-64.371607288212417</v>
      </c>
      <c r="AE524" s="44">
        <f t="shared" si="307"/>
        <v>100.4618037714324</v>
      </c>
      <c r="AF524" t="str">
        <f t="shared" si="293"/>
        <v>-0.0000333790427773504</v>
      </c>
      <c r="AG524" t="str">
        <f t="shared" si="294"/>
        <v>0.0391002158501604i</v>
      </c>
      <c r="AH524">
        <f t="shared" si="308"/>
        <v>3.9100215850160401E-2</v>
      </c>
      <c r="AI524">
        <f t="shared" si="309"/>
        <v>1.5707963267948966</v>
      </c>
      <c r="AJ524" t="str">
        <f t="shared" si="295"/>
        <v>1+900.82604020195i</v>
      </c>
      <c r="AK524">
        <f t="shared" si="310"/>
        <v>900.82659524790085</v>
      </c>
      <c r="AL524">
        <f t="shared" si="311"/>
        <v>1.5696862350073548</v>
      </c>
      <c r="AM524" t="str">
        <f t="shared" si="296"/>
        <v>1+6781.21824707581i</v>
      </c>
      <c r="AN524">
        <f t="shared" si="312"/>
        <v>6781.2183208088736</v>
      </c>
      <c r="AO524">
        <f t="shared" si="313"/>
        <v>1.5706488606676734</v>
      </c>
      <c r="AP524" s="42" t="str">
        <f t="shared" si="314"/>
        <v>-6.18612395088752E-06+0.00642630078867052i</v>
      </c>
      <c r="AQ524">
        <f t="shared" si="315"/>
        <v>-43.840774991075278</v>
      </c>
      <c r="AR524" s="44">
        <f t="shared" si="316"/>
        <v>90.055154387587251</v>
      </c>
      <c r="AS524" s="42" t="str">
        <f t="shared" si="317"/>
        <v>-3.81964644473979E-06-7.09099044881342E-07i</v>
      </c>
      <c r="AT524" s="20">
        <f t="shared" si="318"/>
        <v>-108.21238227928768</v>
      </c>
      <c r="AU524" s="44">
        <f t="shared" si="319"/>
        <v>-169.48304184098038</v>
      </c>
    </row>
    <row r="525" spans="14:47" x14ac:dyDescent="0.3">
      <c r="N525" s="8">
        <v>7</v>
      </c>
      <c r="O525" s="35">
        <f t="shared" si="321"/>
        <v>1174897.5549395324</v>
      </c>
      <c r="P525" s="34" t="str">
        <f t="shared" si="288"/>
        <v>545.10556621881</v>
      </c>
      <c r="Q525" s="4" t="str">
        <f t="shared" si="289"/>
        <v>1+157702.039305399i</v>
      </c>
      <c r="R525" s="4">
        <f t="shared" si="297"/>
        <v>157702.03930856954</v>
      </c>
      <c r="S525" s="4">
        <f t="shared" si="298"/>
        <v>1.5707899857228065</v>
      </c>
      <c r="T525" s="4" t="str">
        <f t="shared" si="290"/>
        <v>1+3.69104952731864i</v>
      </c>
      <c r="U525" s="4">
        <f t="shared" si="299"/>
        <v>3.8241138337030653</v>
      </c>
      <c r="V525" s="4">
        <f t="shared" si="300"/>
        <v>1.3062219363981296</v>
      </c>
      <c r="W525" t="str">
        <f t="shared" si="291"/>
        <v>1-3.8342622489786i</v>
      </c>
      <c r="X525" s="4">
        <f t="shared" si="301"/>
        <v>3.9625202830953983</v>
      </c>
      <c r="Y525" s="4">
        <f t="shared" si="302"/>
        <v>-1.3156731102937931</v>
      </c>
      <c r="Z525" t="str">
        <f t="shared" si="292"/>
        <v>-87.3445929345852+16.6040336822015i</v>
      </c>
      <c r="AA525" s="4">
        <f t="shared" si="303"/>
        <v>88.908783871044321</v>
      </c>
      <c r="AB525" s="4">
        <f t="shared" si="304"/>
        <v>2.9537361094495673</v>
      </c>
      <c r="AC525" s="48" t="str">
        <f t="shared" si="305"/>
        <v>-0.000104548515624518+0.000579765017938471i</v>
      </c>
      <c r="AD525" s="20">
        <f t="shared" si="306"/>
        <v>-64.595981052653727</v>
      </c>
      <c r="AE525" s="44">
        <f t="shared" si="307"/>
        <v>100.22223807415061</v>
      </c>
      <c r="AF525" t="str">
        <f t="shared" si="293"/>
        <v>-0.0000333790427773504</v>
      </c>
      <c r="AG525" t="str">
        <f t="shared" si="294"/>
        <v>0.0400109768761341i</v>
      </c>
      <c r="AH525">
        <f t="shared" si="308"/>
        <v>4.0010976876134099E-2</v>
      </c>
      <c r="AI525">
        <f t="shared" si="309"/>
        <v>1.5707963267948966</v>
      </c>
      <c r="AJ525" t="str">
        <f t="shared" si="295"/>
        <v>1+921.808974202678i</v>
      </c>
      <c r="AK525">
        <f t="shared" si="310"/>
        <v>921.80951661424797</v>
      </c>
      <c r="AL525">
        <f t="shared" si="311"/>
        <v>1.5697115037613776</v>
      </c>
      <c r="AM525" t="str">
        <f t="shared" si="296"/>
        <v>1+6939.17311135907i</v>
      </c>
      <c r="AN525">
        <f t="shared" si="312"/>
        <v>6939.1731834137654</v>
      </c>
      <c r="AO525">
        <f t="shared" si="313"/>
        <v>1.570652217406497</v>
      </c>
      <c r="AP525" s="42" t="str">
        <f t="shared" si="314"/>
        <v>-5.90770283696487E-06+0.00628002062578426i</v>
      </c>
      <c r="AQ525">
        <f t="shared" si="315"/>
        <v>-44.040774754454105</v>
      </c>
      <c r="AR525" s="44">
        <f t="shared" si="316"/>
        <v>90.053898921595703</v>
      </c>
      <c r="AS525" s="42" t="str">
        <f t="shared" si="317"/>
        <v>-3.64031862919942E-06-6.59991913958349E-07i</v>
      </c>
      <c r="AT525" s="20">
        <f t="shared" si="318"/>
        <v>-108.63675580710783</v>
      </c>
      <c r="AU525" s="44">
        <f t="shared" si="319"/>
        <v>-169.72386300425367</v>
      </c>
    </row>
    <row r="526" spans="14:47" x14ac:dyDescent="0.3">
      <c r="N526" s="8">
        <v>8</v>
      </c>
      <c r="O526" s="35">
        <f t="shared" si="321"/>
        <v>1202264.4346174158</v>
      </c>
      <c r="P526" s="34" t="str">
        <f t="shared" si="288"/>
        <v>545.10556621881</v>
      </c>
      <c r="Q526" s="4" t="str">
        <f t="shared" si="289"/>
        <v>1+161375.391689599i</v>
      </c>
      <c r="R526" s="4">
        <f t="shared" si="297"/>
        <v>161375.39169269736</v>
      </c>
      <c r="S526" s="4">
        <f t="shared" si="298"/>
        <v>1.5707901300632294</v>
      </c>
      <c r="T526" s="4" t="str">
        <f t="shared" si="290"/>
        <v>1+3.77702511546636i</v>
      </c>
      <c r="U526" s="4">
        <f t="shared" si="299"/>
        <v>3.9071624899488979</v>
      </c>
      <c r="V526" s="4">
        <f t="shared" si="300"/>
        <v>1.3119761405705954</v>
      </c>
      <c r="W526" t="str">
        <f t="shared" si="291"/>
        <v>1-3.92357368994644i</v>
      </c>
      <c r="X526" s="4">
        <f t="shared" si="301"/>
        <v>4.0490036429274703</v>
      </c>
      <c r="Y526" s="4">
        <f t="shared" si="302"/>
        <v>-1.3212397059138405</v>
      </c>
      <c r="Z526" t="str">
        <f t="shared" si="292"/>
        <v>-91.50814532774+16.9907913105904i</v>
      </c>
      <c r="AA526" s="4">
        <f t="shared" si="303"/>
        <v>93.072163672511749</v>
      </c>
      <c r="AB526" s="4">
        <f t="shared" si="304"/>
        <v>2.9580081300903864</v>
      </c>
      <c r="AC526" s="48" t="str">
        <f t="shared" si="305"/>
        <v>-0.0000995855322465268+0.000565457989253618i</v>
      </c>
      <c r="AD526" s="20">
        <f t="shared" si="306"/>
        <v>-64.819337248360554</v>
      </c>
      <c r="AE526" s="44">
        <f t="shared" si="307"/>
        <v>99.98821022959595</v>
      </c>
      <c r="AF526" t="str">
        <f t="shared" si="293"/>
        <v>-0.0000333790427773504</v>
      </c>
      <c r="AG526" t="str">
        <f t="shared" si="294"/>
        <v>0.0409429522516553i</v>
      </c>
      <c r="AH526">
        <f t="shared" si="308"/>
        <v>4.0942952251655299E-2</v>
      </c>
      <c r="AI526">
        <f t="shared" si="309"/>
        <v>1.5707963267948966</v>
      </c>
      <c r="AJ526" t="str">
        <f t="shared" si="295"/>
        <v>1+943.280663523111i</v>
      </c>
      <c r="AK526">
        <f t="shared" si="310"/>
        <v>943.28119358789309</v>
      </c>
      <c r="AL526">
        <f t="shared" si="311"/>
        <v>1.5697361973296744</v>
      </c>
      <c r="AM526" t="str">
        <f t="shared" si="296"/>
        <v>1+7100.80721707677i</v>
      </c>
      <c r="AN526">
        <f t="shared" si="312"/>
        <v>7100.8072874912996</v>
      </c>
      <c r="AO526">
        <f t="shared" si="313"/>
        <v>1.5706554977366194</v>
      </c>
      <c r="AP526" s="42" t="str">
        <f t="shared" si="314"/>
        <v>-5.64181270854656E-06+0.00613707018576463i</v>
      </c>
      <c r="AQ526">
        <f t="shared" si="315"/>
        <v>-44.240774528482632</v>
      </c>
      <c r="AR526" s="44">
        <f t="shared" si="316"/>
        <v>90.052672033422596</v>
      </c>
      <c r="AS526" s="42" t="str">
        <f t="shared" si="317"/>
        <v>-3.46969352422938E-06-6.14353608953582E-07i</v>
      </c>
      <c r="AT526" s="20">
        <f t="shared" si="318"/>
        <v>-109.0601117768432</v>
      </c>
      <c r="AU526" s="44">
        <f t="shared" si="319"/>
        <v>-169.95911773698145</v>
      </c>
    </row>
    <row r="527" spans="14:47" x14ac:dyDescent="0.3">
      <c r="N527" s="8">
        <v>9</v>
      </c>
      <c r="O527" s="35">
        <f t="shared" si="321"/>
        <v>1230268.770812382</v>
      </c>
      <c r="P527" s="34" t="str">
        <f t="shared" si="288"/>
        <v>545.10556621881</v>
      </c>
      <c r="Q527" s="4" t="str">
        <f t="shared" si="289"/>
        <v>1+165134.307442528i</v>
      </c>
      <c r="R527" s="4">
        <f t="shared" si="297"/>
        <v>165134.30744555581</v>
      </c>
      <c r="S527" s="4">
        <f t="shared" si="298"/>
        <v>1.5707902711180632</v>
      </c>
      <c r="T527" s="4" t="str">
        <f t="shared" si="290"/>
        <v>1+3.86500333232512i</v>
      </c>
      <c r="U527" s="4">
        <f t="shared" si="299"/>
        <v>3.9922738832505318</v>
      </c>
      <c r="V527" s="4">
        <f t="shared" si="300"/>
        <v>1.3176163555481752</v>
      </c>
      <c r="W527" t="str">
        <f t="shared" si="291"/>
        <v>1-4.01496546161933i</v>
      </c>
      <c r="X527" s="4">
        <f t="shared" si="301"/>
        <v>4.1376258479949737</v>
      </c>
      <c r="Y527" s="4">
        <f t="shared" si="302"/>
        <v>-1.326694895729768</v>
      </c>
      <c r="Z527" t="str">
        <f t="shared" si="292"/>
        <v>-95.8679198999176+17.3865576814319i</v>
      </c>
      <c r="AA527" s="4">
        <f t="shared" si="303"/>
        <v>97.431773328554257</v>
      </c>
      <c r="AB527" s="4">
        <f t="shared" si="304"/>
        <v>2.9621831970245305</v>
      </c>
      <c r="AC527" s="48" t="str">
        <f t="shared" si="305"/>
        <v>-0.0000948682696419699+0.000551547702876571i</v>
      </c>
      <c r="AD527" s="20">
        <f t="shared" si="306"/>
        <v>-65.041715115891051</v>
      </c>
      <c r="AE527" s="44">
        <f t="shared" si="307"/>
        <v>99.759589594104625</v>
      </c>
      <c r="AF527" t="str">
        <f t="shared" si="293"/>
        <v>-0.0000333790427773504</v>
      </c>
      <c r="AG527" t="str">
        <f t="shared" si="294"/>
        <v>0.0418966361224044i</v>
      </c>
      <c r="AH527">
        <f t="shared" si="308"/>
        <v>4.18966361224044E-2</v>
      </c>
      <c r="AI527">
        <f t="shared" si="309"/>
        <v>1.5707963267948966</v>
      </c>
      <c r="AJ527" t="str">
        <f t="shared" si="295"/>
        <v>1+965.252492737138i</v>
      </c>
      <c r="AK527">
        <f t="shared" si="310"/>
        <v>965.25301073617925</v>
      </c>
      <c r="AL527">
        <f t="shared" si="311"/>
        <v>1.5697603288049817</v>
      </c>
      <c r="AM527" t="str">
        <f t="shared" si="296"/>
        <v>1+7266.20626477125i</v>
      </c>
      <c r="AN527">
        <f t="shared" si="312"/>
        <v>7266.2063335829489</v>
      </c>
      <c r="AO527">
        <f t="shared" si="313"/>
        <v>1.5706587033973149</v>
      </c>
      <c r="AP527" s="42" t="str">
        <f t="shared" si="314"/>
        <v>-5.38788958091729E-06+0.00599737367621135i</v>
      </c>
      <c r="AQ527">
        <f t="shared" si="315"/>
        <v>-44.440774312681491</v>
      </c>
      <c r="AR527" s="44">
        <f t="shared" si="316"/>
        <v>90.051473072562473</v>
      </c>
      <c r="AS527" s="42" t="str">
        <f t="shared" si="317"/>
        <v>-3.30732653464522E-06-5.71932141180178E-07i</v>
      </c>
      <c r="AT527" s="20">
        <f t="shared" si="318"/>
        <v>-109.48248942857255</v>
      </c>
      <c r="AU527" s="44">
        <f t="shared" si="319"/>
        <v>-170.18893733333286</v>
      </c>
    </row>
    <row r="528" spans="14:47" x14ac:dyDescent="0.3">
      <c r="N528" s="8">
        <v>10</v>
      </c>
      <c r="O528" s="35">
        <f t="shared" si="321"/>
        <v>1258925.4117941677</v>
      </c>
      <c r="P528" s="34" t="str">
        <f t="shared" si="288"/>
        <v>545.10556621881</v>
      </c>
      <c r="Q528" s="4" t="str">
        <f t="shared" si="289"/>
        <v>1+168980.779591075i</v>
      </c>
      <c r="R528" s="4">
        <f t="shared" si="297"/>
        <v>168980.77959403393</v>
      </c>
      <c r="S528" s="4">
        <f t="shared" si="298"/>
        <v>1.570790408962097</v>
      </c>
      <c r="T528" s="4" t="str">
        <f t="shared" si="290"/>
        <v>1+3.95503082511006i</v>
      </c>
      <c r="U528" s="4">
        <f t="shared" si="299"/>
        <v>4.0794936974544722</v>
      </c>
      <c r="V528" s="4">
        <f t="shared" si="300"/>
        <v>1.3231441358380736</v>
      </c>
      <c r="W528" t="str">
        <f t="shared" si="291"/>
        <v>1-4.10848602112432i</v>
      </c>
      <c r="X528" s="4">
        <f t="shared" si="301"/>
        <v>4.2284343894370586</v>
      </c>
      <c r="Y528" s="4">
        <f t="shared" si="302"/>
        <v>-1.3320402728705576</v>
      </c>
      <c r="Z528" t="str">
        <f t="shared" si="292"/>
        <v>-100.433164317511+17.7915426352944i</v>
      </c>
      <c r="AA528" s="4">
        <f t="shared" si="303"/>
        <v>101.99686016820156</v>
      </c>
      <c r="AB528" s="4">
        <f t="shared" si="304"/>
        <v>2.966263496303672</v>
      </c>
      <c r="AC528" s="48" t="str">
        <f t="shared" si="305"/>
        <v>-0.0000903837418313981+0.000538020708261952i</v>
      </c>
      <c r="AD528" s="20">
        <f t="shared" si="306"/>
        <v>-65.2631526543029</v>
      </c>
      <c r="AE528" s="44">
        <f t="shared" si="307"/>
        <v>99.536248698992026</v>
      </c>
      <c r="AF528" t="str">
        <f t="shared" si="293"/>
        <v>-0.0000333790427773504</v>
      </c>
      <c r="AG528" t="str">
        <f t="shared" si="294"/>
        <v>0.0428725341441931i</v>
      </c>
      <c r="AH528">
        <f t="shared" si="308"/>
        <v>4.2872534144193099E-2</v>
      </c>
      <c r="AI528">
        <f t="shared" si="309"/>
        <v>1.5707963267948966</v>
      </c>
      <c r="AJ528" t="str">
        <f t="shared" si="295"/>
        <v>1+987.736111599442i</v>
      </c>
      <c r="AK528">
        <f t="shared" si="310"/>
        <v>987.73661780739167</v>
      </c>
      <c r="AL528">
        <f t="shared" si="311"/>
        <v>1.5697839109820144</v>
      </c>
      <c r="AM528" t="str">
        <f t="shared" si="296"/>
        <v>1+7435.45795120693i</v>
      </c>
      <c r="AN528">
        <f t="shared" si="312"/>
        <v>7435.4580184522838</v>
      </c>
      <c r="AO528">
        <f t="shared" si="313"/>
        <v>1.5706618360882671</v>
      </c>
      <c r="AP528" s="42" t="str">
        <f t="shared" si="314"/>
        <v>-5.14539485263202E-06+0.00586085702987991i</v>
      </c>
      <c r="AQ528">
        <f t="shared" si="315"/>
        <v>-44.640774106593</v>
      </c>
      <c r="AR528" s="44">
        <f t="shared" si="316"/>
        <v>90.050301403316851</v>
      </c>
      <c r="AS528" s="42" t="str">
        <f t="shared" si="317"/>
        <v>-3.15279739019805E-06-5.32494517682301E-07i</v>
      </c>
      <c r="AT528" s="20">
        <f t="shared" si="318"/>
        <v>-109.9039267608959</v>
      </c>
      <c r="AU528" s="44">
        <f t="shared" si="319"/>
        <v>-170.41344989769112</v>
      </c>
    </row>
    <row r="529" spans="14:47" x14ac:dyDescent="0.3">
      <c r="N529" s="8">
        <v>11</v>
      </c>
      <c r="O529" s="35">
        <f t="shared" si="321"/>
        <v>1288249.5516931366</v>
      </c>
      <c r="P529" s="34" t="str">
        <f t="shared" si="288"/>
        <v>545.10556621881</v>
      </c>
      <c r="Q529" s="4" t="str">
        <f t="shared" si="289"/>
        <v>1+172916.847585686i</v>
      </c>
      <c r="R529" s="4">
        <f t="shared" si="297"/>
        <v>172916.84758857754</v>
      </c>
      <c r="S529" s="4">
        <f t="shared" si="298"/>
        <v>1.5707905436684173</v>
      </c>
      <c r="T529" s="4" t="str">
        <f t="shared" si="290"/>
        <v>1+4.0471553275895i</v>
      </c>
      <c r="U529" s="4">
        <f t="shared" si="299"/>
        <v>4.1688687009350716</v>
      </c>
      <c r="V529" s="4">
        <f t="shared" si="300"/>
        <v>1.3285610605023364</v>
      </c>
      <c r="W529" t="str">
        <f t="shared" si="291"/>
        <v>1-4.20418495429996i</v>
      </c>
      <c r="X529" s="4">
        <f t="shared" si="301"/>
        <v>4.3214778872466946</v>
      </c>
      <c r="Y529" s="4">
        <f t="shared" si="302"/>
        <v>-1.3372774491285402</v>
      </c>
      <c r="Z529" t="str">
        <f t="shared" si="292"/>
        <v>-105.213562076004+18.205960900561i</v>
      </c>
      <c r="AA529" s="4">
        <f t="shared" si="303"/>
        <v>106.7771073640502</v>
      </c>
      <c r="AB529" s="4">
        <f t="shared" si="304"/>
        <v>2.9702511657810504</v>
      </c>
      <c r="AC529" s="48" t="str">
        <f t="shared" si="305"/>
        <v>-0.0000861197117200214+0.000524864121214803i</v>
      </c>
      <c r="AD529" s="20">
        <f t="shared" si="306"/>
        <v>-65.483686637104768</v>
      </c>
      <c r="AE529" s="44">
        <f t="shared" si="307"/>
        <v>99.318063174795526</v>
      </c>
      <c r="AF529" t="str">
        <f t="shared" si="293"/>
        <v>-0.0000333790427773504</v>
      </c>
      <c r="AG529" t="str">
        <f t="shared" si="294"/>
        <v>0.0438711637510702i</v>
      </c>
      <c r="AH529">
        <f t="shared" si="308"/>
        <v>4.3871163751070197E-2</v>
      </c>
      <c r="AI529">
        <f t="shared" si="309"/>
        <v>1.5707963267948966</v>
      </c>
      <c r="AJ529" t="str">
        <f t="shared" si="295"/>
        <v>1+1010.74344122235i</v>
      </c>
      <c r="AK529">
        <f t="shared" si="310"/>
        <v>1010.7439359076058</v>
      </c>
      <c r="AL529">
        <f t="shared" si="311"/>
        <v>1.5698069563642501</v>
      </c>
      <c r="AM529" t="str">
        <f t="shared" si="296"/>
        <v>1+7608.65201586828i</v>
      </c>
      <c r="AN529">
        <f t="shared" si="312"/>
        <v>7608.6520815829417</v>
      </c>
      <c r="AO529">
        <f t="shared" si="313"/>
        <v>1.57066489747047</v>
      </c>
      <c r="AP529" s="42" t="str">
        <f t="shared" si="314"/>
        <v>-4.91381416310023E-06+0.00572744786541833i</v>
      </c>
      <c r="AQ529">
        <f t="shared" si="315"/>
        <v>-44.840773909780026</v>
      </c>
      <c r="AR529" s="44">
        <f t="shared" si="316"/>
        <v>90.049156404457193</v>
      </c>
      <c r="AS529" s="42" t="str">
        <f t="shared" si="317"/>
        <v>-3.00570871442722E-06-4.95825243813807E-07i</v>
      </c>
      <c r="AT529" s="20">
        <f t="shared" si="318"/>
        <v>-110.32446054688479</v>
      </c>
      <c r="AU529" s="44">
        <f t="shared" si="319"/>
        <v>-170.63278042074728</v>
      </c>
    </row>
    <row r="530" spans="14:47" x14ac:dyDescent="0.3">
      <c r="N530" s="8">
        <v>12</v>
      </c>
      <c r="O530" s="35">
        <f t="shared" si="321"/>
        <v>1318256.7385564097</v>
      </c>
      <c r="P530" s="34" t="str">
        <f t="shared" si="288"/>
        <v>545.10556621881</v>
      </c>
      <c r="Q530" s="4" t="str">
        <f t="shared" si="289"/>
        <v>1+176944.598381712i</v>
      </c>
      <c r="R530" s="4">
        <f t="shared" si="297"/>
        <v>176944.59838453776</v>
      </c>
      <c r="S530" s="4">
        <f t="shared" si="298"/>
        <v>1.5707906753084475</v>
      </c>
      <c r="T530" s="4" t="str">
        <f t="shared" si="290"/>
        <v>1+4.14142568539406i</v>
      </c>
      <c r="U530" s="4">
        <f t="shared" si="299"/>
        <v>4.2604467732435829</v>
      </c>
      <c r="V530" s="4">
        <f t="shared" si="300"/>
        <v>1.3338687295285765</v>
      </c>
      <c r="W530" t="str">
        <f t="shared" si="291"/>
        <v>1-4.30211300198734i</v>
      </c>
      <c r="X530" s="4">
        <f t="shared" si="301"/>
        <v>4.4168061177584557</v>
      </c>
      <c r="Y530" s="4">
        <f t="shared" si="302"/>
        <v>-1.3424080516586148</v>
      </c>
      <c r="Z530" t="str">
        <f t="shared" si="292"/>
        <v>-110.219253039961+18.6300322072815i</v>
      </c>
      <c r="AA530" s="4">
        <f t="shared" si="303"/>
        <v>111.78265447166345</v>
      </c>
      <c r="AB530" s="4">
        <f t="shared" si="304"/>
        <v>2.9741482960864114</v>
      </c>
      <c r="AC530" s="48" t="str">
        <f t="shared" si="305"/>
        <v>-0.0000820646435804172+0.000512065597349854i</v>
      </c>
      <c r="AD530" s="20">
        <f t="shared" si="306"/>
        <v>-65.703352630280165</v>
      </c>
      <c r="AE530" s="44">
        <f t="shared" si="307"/>
        <v>99.104911676591129</v>
      </c>
      <c r="AF530" t="str">
        <f t="shared" si="293"/>
        <v>-0.0000333790427773504</v>
      </c>
      <c r="AG530" t="str">
        <f t="shared" si="294"/>
        <v>0.0448930544296716i</v>
      </c>
      <c r="AH530">
        <f t="shared" si="308"/>
        <v>4.4893054429671599E-2</v>
      </c>
      <c r="AI530">
        <f t="shared" si="309"/>
        <v>1.5707963267948966</v>
      </c>
      <c r="AJ530" t="str">
        <f t="shared" si="295"/>
        <v>1+1034.28668039657i</v>
      </c>
      <c r="AK530">
        <f t="shared" si="310"/>
        <v>1034.2871638214201</v>
      </c>
      <c r="AL530">
        <f t="shared" si="311"/>
        <v>1.5698294771705572</v>
      </c>
      <c r="AM530" t="str">
        <f t="shared" si="296"/>
        <v>1+7785.88028854085i</v>
      </c>
      <c r="AN530">
        <f t="shared" si="312"/>
        <v>7785.8803527596647</v>
      </c>
      <c r="AO530">
        <f t="shared" si="313"/>
        <v>1.5706678891671086</v>
      </c>
      <c r="AP530" s="42" t="str">
        <f t="shared" si="314"/>
        <v>-4.69265630158589E-06+0.00559707544899712i</v>
      </c>
      <c r="AQ530">
        <f t="shared" si="315"/>
        <v>-45.040773721825154</v>
      </c>
      <c r="AR530" s="44">
        <f t="shared" si="316"/>
        <v>90.048037468895515</v>
      </c>
      <c r="AS530" s="42" t="str">
        <f t="shared" si="317"/>
        <v>-2.86568468203608E-06-4.61724949666881E-07i</v>
      </c>
      <c r="AT530" s="20">
        <f t="shared" si="318"/>
        <v>-110.7441263521053</v>
      </c>
      <c r="AU530" s="44">
        <f t="shared" si="319"/>
        <v>-170.84705085451333</v>
      </c>
    </row>
    <row r="531" spans="14:47" x14ac:dyDescent="0.3">
      <c r="N531" s="8">
        <v>13</v>
      </c>
      <c r="O531" s="35">
        <f t="shared" si="321"/>
        <v>1348962.8825916562</v>
      </c>
      <c r="P531" s="34" t="str">
        <f t="shared" ref="P531:P560" si="322">COMPLEX(Adc,0)</f>
        <v>545.10556621881</v>
      </c>
      <c r="Q531" s="4" t="str">
        <f t="shared" ref="Q531:Q560" si="323">IMSUM(COMPLEX(1,0),IMDIV(COMPLEX(0,2*PI()*O531),COMPLEX(wp_lf,0)))</f>
        <v>1+181066.167545938i</v>
      </c>
      <c r="R531" s="4">
        <f t="shared" si="297"/>
        <v>181066.16754869942</v>
      </c>
      <c r="S531" s="4">
        <f t="shared" si="298"/>
        <v>1.5707908039519849</v>
      </c>
      <c r="T531" s="4" t="str">
        <f t="shared" ref="T531:T560" si="324">IMSUM(COMPLEX(1,0),IMDIV(COMPLEX(0,2*PI()*O531),COMPLEX(wz_esr,0)))</f>
        <v>1+4.23789188191526i</v>
      </c>
      <c r="U531" s="4">
        <f t="shared" si="299"/>
        <v>4.3542769322590482</v>
      </c>
      <c r="V531" s="4">
        <f t="shared" si="300"/>
        <v>1.3390687604009393</v>
      </c>
      <c r="W531" t="str">
        <f t="shared" ref="W531:W560" si="325">IMSUB(COMPLEX(1,0),IMDIV(COMPLEX(0,2*PI()*O531),COMPLEX(wz_rhp,0)))</f>
        <v>1-4.40232208693355i</v>
      </c>
      <c r="X531" s="4">
        <f t="shared" si="301"/>
        <v>4.5144700416663488</v>
      </c>
      <c r="Y531" s="4">
        <f t="shared" si="302"/>
        <v>-1.3474337198695774</v>
      </c>
      <c r="Z531" t="str">
        <f t="shared" ref="Z531:Z560" si="326">IMSUM(COMPLEX(1,0),IMDIV(COMPLEX(0,2*PI()*O531),COMPLEX(Q*(wsl/2),0)),IMDIV(IMPOWER(COMPLEX(0,2*PI()*O531),2),IMPOWER(COMPLEX(wsl/2,0),2)))</f>
        <v>-115.460854951039+19.0639814036759i</v>
      </c>
      <c r="AA531" s="4">
        <f t="shared" si="303"/>
        <v>117.02411893701472</v>
      </c>
      <c r="AB531" s="4">
        <f t="shared" si="304"/>
        <v>2.9779569315888139</v>
      </c>
      <c r="AC531" s="48" t="str">
        <f t="shared" si="305"/>
        <v>-0.0000782076588053693+0.000499613306672012i</v>
      </c>
      <c r="AD531" s="20">
        <f t="shared" si="306"/>
        <v>-65.922185012125311</v>
      </c>
      <c r="AE531" s="44">
        <f t="shared" si="307"/>
        <v>98.896675810470924</v>
      </c>
      <c r="AF531" t="str">
        <f t="shared" ref="AF531:AF560" si="327">COMPLEX(Adc_ea,0)</f>
        <v>-0.0000333790427773504</v>
      </c>
      <c r="AG531" t="str">
        <f t="shared" ref="AG531:AG560" si="328">COMPLEX(0,2*PI()*O531*wp0_ea)</f>
        <v>0.0459387479999614i</v>
      </c>
      <c r="AH531">
        <f t="shared" si="308"/>
        <v>4.59387479999614E-2</v>
      </c>
      <c r="AI531">
        <f t="shared" si="309"/>
        <v>1.5707963267948966</v>
      </c>
      <c r="AJ531" t="str">
        <f t="shared" ref="AJ531:AJ560" si="329">IMSUM(COMPLEX(1,0),IMDIV(COMPLEX(0,2*PI()*O531),COMPLEX(wp1_ea,0)))</f>
        <v>1+1058.37831205913i</v>
      </c>
      <c r="AK531">
        <f t="shared" si="310"/>
        <v>1058.3787844798917</v>
      </c>
      <c r="AL531">
        <f t="shared" si="311"/>
        <v>1.5698514853416743</v>
      </c>
      <c r="AM531" t="str">
        <f t="shared" ref="AM531:AM560" si="330">IMSUM(COMPLEX(1,0),IMDIV(COMPLEX(0,2*PI()*O531),COMPLEX(wz_ea,0)))</f>
        <v>1+7967.2367380007i</v>
      </c>
      <c r="AN531">
        <f t="shared" si="312"/>
        <v>7967.2368007577161</v>
      </c>
      <c r="AO531">
        <f t="shared" si="313"/>
        <v>1.57067081276442</v>
      </c>
      <c r="AP531" s="42" t="str">
        <f t="shared" si="314"/>
        <v>-4.48145216530874E-06+0.00546967065681246i</v>
      </c>
      <c r="AQ531">
        <f t="shared" si="315"/>
        <v>-45.240773542329514</v>
      </c>
      <c r="AR531" s="44">
        <f t="shared" si="316"/>
        <v>90.046944003362654</v>
      </c>
      <c r="AS531" s="42" t="str">
        <f t="shared" si="317"/>
        <v>-2.73236975937505E-06-4.30009129640731E-07i</v>
      </c>
      <c r="AT531" s="20">
        <f t="shared" si="318"/>
        <v>-111.16295855445485</v>
      </c>
      <c r="AU531" s="44">
        <f t="shared" si="319"/>
        <v>-171.05638018616642</v>
      </c>
    </row>
    <row r="532" spans="14:47" x14ac:dyDescent="0.3">
      <c r="N532" s="8">
        <v>14</v>
      </c>
      <c r="O532" s="35">
        <f t="shared" si="321"/>
        <v>1380384.2646028849</v>
      </c>
      <c r="P532" s="34" t="str">
        <f t="shared" si="322"/>
        <v>545.10556621881</v>
      </c>
      <c r="Q532" s="4" t="str">
        <f t="shared" si="323"/>
        <v>1+185283.740388891i</v>
      </c>
      <c r="R532" s="4">
        <f t="shared" ref="R532:R560" si="331">IMABS(Q532)</f>
        <v>185283.74039158953</v>
      </c>
      <c r="S532" s="4">
        <f t="shared" ref="S532:S560" si="332">IMARGUMENT(Q532)</f>
        <v>1.5707909296672378</v>
      </c>
      <c r="T532" s="4" t="str">
        <f t="shared" si="324"/>
        <v>1+4.33660506480737i</v>
      </c>
      <c r="U532" s="4">
        <f t="shared" ref="U532:U560" si="333">IMABS(T532)</f>
        <v>4.4504093618579557</v>
      </c>
      <c r="V532" s="4">
        <f t="shared" ref="V532:V560" si="334">IMARGUMENT(T532)</f>
        <v>1.3441627848665456</v>
      </c>
      <c r="W532" t="str">
        <f t="shared" si="325"/>
        <v>1-4.50486534132188i</v>
      </c>
      <c r="X532" s="4">
        <f t="shared" ref="X532:X560" si="335">IMABS(W532)</f>
        <v>4.6145218325892765</v>
      </c>
      <c r="Y532" s="4">
        <f t="shared" ref="Y532:Y560" si="336">IMARGUMENT(W532)</f>
        <v>-1.3523561025020614</v>
      </c>
      <c r="Z532" t="str">
        <f t="shared" si="326"/>
        <v>-120.949485949648+19.5080385753521i</v>
      </c>
      <c r="AA532" s="4">
        <f t="shared" ref="AA532:AA560" si="337">IMABS(Z532)</f>
        <v>122.51261861760005</v>
      </c>
      <c r="AB532" s="4">
        <f t="shared" ref="AB532:AB560" si="338">IMARGUMENT(Z532)</f>
        <v>2.9816790713467043</v>
      </c>
      <c r="AC532" s="48" t="str">
        <f t="shared" ref="AC532:AC560" si="339">(IMDIV(IMPRODUCT(P532,T532,W532),IMPRODUCT(Q532,Z532)))</f>
        <v>-0.0000745384946947775+0.000487495909259282i</v>
      </c>
      <c r="AD532" s="20">
        <f t="shared" ref="AD532:AD560" si="340">20*LOG(IMABS(AC532))</f>
        <v>-66.140216994661955</v>
      </c>
      <c r="AE532" s="44">
        <f t="shared" ref="AE532:AE560" si="341">(180/PI())*IMARGUMENT(AC532)</f>
        <v>98.693240061258365</v>
      </c>
      <c r="AF532" t="str">
        <f t="shared" si="327"/>
        <v>-0.0000333790427773504</v>
      </c>
      <c r="AG532" t="str">
        <f t="shared" si="328"/>
        <v>0.0470087989025119i</v>
      </c>
      <c r="AH532">
        <f t="shared" ref="AH532:AH560" si="342">IMABS(AG532)</f>
        <v>4.7008798902511903E-2</v>
      </c>
      <c r="AI532">
        <f t="shared" ref="AI532:AI560" si="343">IMARGUMENT(AG532)</f>
        <v>1.5707963267948966</v>
      </c>
      <c r="AJ532" t="str">
        <f t="shared" si="329"/>
        <v>1+1083.03110991204i</v>
      </c>
      <c r="AK532">
        <f t="shared" ref="AK532:AK560" si="344">IMABS(AJ532)</f>
        <v>1083.0315715791969</v>
      </c>
      <c r="AL532">
        <f t="shared" ref="AL532:AL560" si="345">IMARGUMENT(AJ532)</f>
        <v>1.5698729925465396</v>
      </c>
      <c r="AM532" t="str">
        <f t="shared" si="330"/>
        <v>1+8152.81752183788i</v>
      </c>
      <c r="AN532">
        <f t="shared" ref="AN532:AN560" si="346">IMABS(AM532)</f>
        <v>8152.8175831663702</v>
      </c>
      <c r="AO532">
        <f t="shared" ref="AO532:AO560" si="347">IMARGUMENT(AM532)</f>
        <v>1.5706736698125336</v>
      </c>
      <c r="AP532" s="42" t="str">
        <f t="shared" ref="AP532:AP560" si="348">IMPRODUCT(AF532,IMDIV(AM532,IMPRODUCT(AG532,AJ532)))</f>
        <v>-4.27975376443686E-06+0.00534516593844207i</v>
      </c>
      <c r="AQ532">
        <f t="shared" ref="AQ532:AQ560" si="349">20*LOG(IMABS(AP532))</f>
        <v>-45.440773370912524</v>
      </c>
      <c r="AR532" s="44">
        <f t="shared" ref="AR532:AR560" si="350">(180/PI())*IMARGUMENT(AP532)</f>
        <v>90.045875428093524</v>
      </c>
      <c r="AS532" s="42" t="str">
        <f t="shared" ref="AS532:AS560" si="351">IMPRODUCT(AC532,AP532)</f>
        <v>-0.0000026054275228993-4.0050698539807E-07i</v>
      </c>
      <c r="AT532" s="20">
        <f t="shared" ref="AT532:AT560" si="352">20*LOG(IMABS(AS532))</f>
        <v>-111.58099036557446</v>
      </c>
      <c r="AU532" s="44">
        <f t="shared" ref="AU532:AU560" si="353">(180/PI())*IMARGUMENT(AS532)</f>
        <v>-171.26088451064811</v>
      </c>
    </row>
    <row r="533" spans="14:47" x14ac:dyDescent="0.3">
      <c r="N533" s="8">
        <v>15</v>
      </c>
      <c r="O533" s="35">
        <f t="shared" si="321"/>
        <v>1412537.5446227565</v>
      </c>
      <c r="P533" s="34" t="str">
        <f t="shared" si="322"/>
        <v>545.10556621881</v>
      </c>
      <c r="Q533" s="4" t="str">
        <f t="shared" si="323"/>
        <v>1+189599.553123519i</v>
      </c>
      <c r="R533" s="4">
        <f t="shared" si="331"/>
        <v>189599.55312615613</v>
      </c>
      <c r="S533" s="4">
        <f t="shared" si="332"/>
        <v>1.5707910525208622</v>
      </c>
      <c r="T533" s="4" t="str">
        <f t="shared" si="324"/>
        <v>1+4.43761757310661i</v>
      </c>
      <c r="U533" s="4">
        <f t="shared" si="333"/>
        <v>4.5488954401200079</v>
      </c>
      <c r="V533" s="4">
        <f t="shared" si="334"/>
        <v>1.3491524458921822</v>
      </c>
      <c r="W533" t="str">
        <f t="shared" si="325"/>
        <v>1-4.60979713494314i</v>
      </c>
      <c r="X533" s="4">
        <f t="shared" si="335"/>
        <v>4.7170149062018005</v>
      </c>
      <c r="Y533" s="4">
        <f t="shared" si="336"/>
        <v>-1.3571768548872483</v>
      </c>
      <c r="Z533" t="str">
        <f t="shared" si="326"/>
        <v>-126.696788158009+19.9624391673005i</v>
      </c>
      <c r="AA533" s="4">
        <f t="shared" si="337"/>
        <v>128.25979536496845</v>
      </c>
      <c r="AB533" s="4">
        <f t="shared" si="338"/>
        <v>2.9853166700447278</v>
      </c>
      <c r="AC533" s="48" t="str">
        <f t="shared" si="339"/>
        <v>-0.0000710474660577107+0.000475702532025247i</v>
      </c>
      <c r="AD533" s="20">
        <f t="shared" si="340"/>
        <v>-66.357480646398827</v>
      </c>
      <c r="AE533" s="44">
        <f t="shared" si="341"/>
        <v>98.494491721526231</v>
      </c>
      <c r="AF533" t="str">
        <f t="shared" si="327"/>
        <v>-0.0000333790427773504</v>
      </c>
      <c r="AG533" t="str">
        <f t="shared" si="328"/>
        <v>0.0481037744924757i</v>
      </c>
      <c r="AH533">
        <f t="shared" si="342"/>
        <v>4.8103774492475701E-2</v>
      </c>
      <c r="AI533">
        <f t="shared" si="343"/>
        <v>1.5707963267948966</v>
      </c>
      <c r="AJ533" t="str">
        <f t="shared" si="329"/>
        <v>1+1108.25814519504i</v>
      </c>
      <c r="AK533">
        <f t="shared" si="344"/>
        <v>1108.2585963533738</v>
      </c>
      <c r="AL533">
        <f t="shared" si="345"/>
        <v>1.569894010188478</v>
      </c>
      <c r="AM533" t="str">
        <f t="shared" si="330"/>
        <v>1+8342.72103744046i</v>
      </c>
      <c r="AN533">
        <f t="shared" si="346"/>
        <v>8342.7210973729434</v>
      </c>
      <c r="AO533">
        <f t="shared" si="347"/>
        <v>1.5706764618262943</v>
      </c>
      <c r="AP533" s="42" t="str">
        <f t="shared" si="348"/>
        <v>-4.08713327186142E-06+0.00522349528103548i</v>
      </c>
      <c r="AQ533">
        <f t="shared" si="349"/>
        <v>-45.640773207210628</v>
      </c>
      <c r="AR533" s="44">
        <f t="shared" si="350"/>
        <v>90.044831176519978</v>
      </c>
      <c r="AS533" s="42" t="str">
        <f t="shared" si="351"/>
        <v>-0.0000024845395507481-3.73060363328129E-07i</v>
      </c>
      <c r="AT533" s="20">
        <f t="shared" si="352"/>
        <v>-111.99825385360947</v>
      </c>
      <c r="AU533" s="44">
        <f t="shared" si="353"/>
        <v>-171.46067710195379</v>
      </c>
    </row>
    <row r="534" spans="14:47" x14ac:dyDescent="0.3">
      <c r="N534" s="8">
        <v>16</v>
      </c>
      <c r="O534" s="35">
        <f t="shared" si="321"/>
        <v>1445439.7707459298</v>
      </c>
      <c r="P534" s="34" t="str">
        <f t="shared" si="322"/>
        <v>545.10556621881</v>
      </c>
      <c r="Q534" s="4" t="str">
        <f t="shared" si="323"/>
        <v>1+194015.894050859i</v>
      </c>
      <c r="R534" s="4">
        <f t="shared" si="331"/>
        <v>194015.89405343609</v>
      </c>
      <c r="S534" s="4">
        <f t="shared" si="332"/>
        <v>1.5707911725779966</v>
      </c>
      <c r="T534" s="4" t="str">
        <f t="shared" si="324"/>
        <v>1+4.54098296498193i</v>
      </c>
      <c r="U534" s="4">
        <f t="shared" si="333"/>
        <v>4.6497877680874948</v>
      </c>
      <c r="V534" s="4">
        <f t="shared" si="334"/>
        <v>1.3540393948056022</v>
      </c>
      <c r="W534" t="str">
        <f t="shared" si="325"/>
        <v>1-4.71717310402322i</v>
      </c>
      <c r="X534" s="4">
        <f t="shared" si="335"/>
        <v>4.8220039499486171</v>
      </c>
      <c r="Y534" s="4">
        <f t="shared" si="336"/>
        <v>-1.3618976363802631</v>
      </c>
      <c r="Z534" t="str">
        <f t="shared" si="326"/>
        <v>-132.714952374659+20.4274241087295i</v>
      </c>
      <c r="AA534" s="4">
        <f t="shared" si="337"/>
        <v>134.27783971871872</v>
      </c>
      <c r="AB534" s="4">
        <f t="shared" si="338"/>
        <v>2.9888716389169114</v>
      </c>
      <c r="AC534" s="48" t="str">
        <f t="shared" si="339"/>
        <v>-0.000067725429426501+0.000464222746534522i</v>
      </c>
      <c r="AD534" s="20">
        <f t="shared" si="340"/>
        <v>-66.574006916237366</v>
      </c>
      <c r="AE534" s="44">
        <f t="shared" si="341"/>
        <v>98.300320821964419</v>
      </c>
      <c r="AF534" t="str">
        <f t="shared" si="327"/>
        <v>-0.0000333790427773504</v>
      </c>
      <c r="AG534" t="str">
        <f t="shared" si="328"/>
        <v>0.0492242553404041i</v>
      </c>
      <c r="AH534">
        <f t="shared" si="342"/>
        <v>4.9224255340404102E-2</v>
      </c>
      <c r="AI534">
        <f t="shared" si="343"/>
        <v>1.5707963267948966</v>
      </c>
      <c r="AJ534" t="str">
        <f t="shared" si="329"/>
        <v>1+1134.07279361615i</v>
      </c>
      <c r="AK534">
        <f t="shared" si="344"/>
        <v>1134.0732345048702</v>
      </c>
      <c r="AL534">
        <f t="shared" si="345"/>
        <v>1.5699145494112472</v>
      </c>
      <c r="AM534" t="str">
        <f t="shared" si="330"/>
        <v>1+8537.04797416605i</v>
      </c>
      <c r="AN534">
        <f t="shared" si="346"/>
        <v>8537.048032734303</v>
      </c>
      <c r="AO534">
        <f t="shared" si="347"/>
        <v>1.5706791902860644</v>
      </c>
      <c r="AP534" s="42" t="str">
        <f t="shared" si="348"/>
        <v>-3.90318211573708E-06+0.00510459417431891i</v>
      </c>
      <c r="AQ534">
        <f t="shared" si="349"/>
        <v>-45.840773050876507</v>
      </c>
      <c r="AR534" s="44">
        <f t="shared" si="350"/>
        <v>90.043810694970219</v>
      </c>
      <c r="AS534" s="42" t="str">
        <f t="shared" si="351"/>
        <v>-2.36940438286153E-06-3.47522778425755E-07i</v>
      </c>
      <c r="AT534" s="20">
        <f t="shared" si="352"/>
        <v>-112.41477996711384</v>
      </c>
      <c r="AU534" s="44">
        <f t="shared" si="353"/>
        <v>-171.65586848306538</v>
      </c>
    </row>
    <row r="535" spans="14:47" x14ac:dyDescent="0.3">
      <c r="N535" s="8">
        <v>17</v>
      </c>
      <c r="O535" s="35">
        <f t="shared" si="321"/>
        <v>1479108.3881682095</v>
      </c>
      <c r="P535" s="34" t="str">
        <f t="shared" si="322"/>
        <v>545.10556621881</v>
      </c>
      <c r="Q535" s="4" t="str">
        <f t="shared" si="323"/>
        <v>1+198535.104773329i</v>
      </c>
      <c r="R535" s="4">
        <f t="shared" si="331"/>
        <v>198535.10477584743</v>
      </c>
      <c r="S535" s="4">
        <f t="shared" si="332"/>
        <v>1.5707912899022971</v>
      </c>
      <c r="T535" s="4" t="str">
        <f t="shared" si="324"/>
        <v>1+4.64675604613229i</v>
      </c>
      <c r="U535" s="4">
        <f t="shared" si="333"/>
        <v>4.753140199096487</v>
      </c>
      <c r="V535" s="4">
        <f t="shared" si="334"/>
        <v>1.3588252886155259</v>
      </c>
      <c r="W535" t="str">
        <f t="shared" si="325"/>
        <v>1-4.8270501807222i</v>
      </c>
      <c r="X535" s="4">
        <f t="shared" si="335"/>
        <v>4.9295449533613365</v>
      </c>
      <c r="Y535" s="4">
        <f t="shared" si="336"/>
        <v>-1.3665201079619675</v>
      </c>
      <c r="Z535" t="str">
        <f t="shared" si="326"/>
        <v>-139.016743932772+20.9032399408098i</v>
      </c>
      <c r="AA535" s="4">
        <f t="shared" si="337"/>
        <v>140.57951676433152</v>
      </c>
      <c r="AB535" s="4">
        <f t="shared" si="338"/>
        <v>2.9923458466558395</v>
      </c>
      <c r="AC535" s="48" t="str">
        <f t="shared" si="339"/>
        <v>-0.0000645637496946736+0.000453046547841989i</v>
      </c>
      <c r="AD535" s="20">
        <f t="shared" si="340"/>
        <v>-66.789825658330656</v>
      </c>
      <c r="AE535" s="44">
        <f t="shared" si="341"/>
        <v>98.110620063140445</v>
      </c>
      <c r="AF535" t="str">
        <f t="shared" si="327"/>
        <v>-0.0000333790427773504</v>
      </c>
      <c r="AG535" t="str">
        <f t="shared" si="328"/>
        <v>0.050370835540074i</v>
      </c>
      <c r="AH535">
        <f t="shared" si="342"/>
        <v>5.0370835540074002E-2</v>
      </c>
      <c r="AI535">
        <f t="shared" si="343"/>
        <v>1.5707963267948966</v>
      </c>
      <c r="AJ535" t="str">
        <f t="shared" si="329"/>
        <v>1+1160.48874244366i</v>
      </c>
      <c r="AK535">
        <f t="shared" si="344"/>
        <v>1160.4891732965316</v>
      </c>
      <c r="AL535">
        <f t="shared" si="345"/>
        <v>1.5699346211049456</v>
      </c>
      <c r="AM535" t="str">
        <f t="shared" si="330"/>
        <v>1+8735.90136672872i</v>
      </c>
      <c r="AN535">
        <f t="shared" si="346"/>
        <v>8735.9014239637982</v>
      </c>
      <c r="AO535">
        <f t="shared" si="347"/>
        <v>1.5706818566385095</v>
      </c>
      <c r="AP535" s="42" t="str">
        <f t="shared" si="348"/>
        <v>-3.72751011286338E-06+0.00498839957639625i</v>
      </c>
      <c r="AQ535">
        <f t="shared" si="349"/>
        <v>-46.040772901578535</v>
      </c>
      <c r="AR535" s="44">
        <f t="shared" si="350"/>
        <v>90.042813442375419</v>
      </c>
      <c r="AS535" s="42" t="str">
        <f t="shared" si="351"/>
        <v>-2.25973654531285E-06-3.23758517216142E-07i</v>
      </c>
      <c r="AT535" s="20">
        <f t="shared" si="352"/>
        <v>-112.83059855990921</v>
      </c>
      <c r="AU535" s="44">
        <f t="shared" si="353"/>
        <v>-171.84656649448414</v>
      </c>
    </row>
    <row r="536" spans="14:47" x14ac:dyDescent="0.3">
      <c r="N536" s="8">
        <v>18</v>
      </c>
      <c r="O536" s="35">
        <f t="shared" si="321"/>
        <v>1513561.2484362102</v>
      </c>
      <c r="P536" s="34" t="str">
        <f t="shared" si="322"/>
        <v>545.10556621881</v>
      </c>
      <c r="Q536" s="4" t="str">
        <f t="shared" si="323"/>
        <v>1+203159.581436273i</v>
      </c>
      <c r="R536" s="4">
        <f t="shared" si="331"/>
        <v>203159.58143873414</v>
      </c>
      <c r="S536" s="4">
        <f t="shared" si="332"/>
        <v>1.5707914045559703</v>
      </c>
      <c r="T536" s="4" t="str">
        <f t="shared" si="324"/>
        <v>1+4.7549928988454i</v>
      </c>
      <c r="U536" s="4">
        <f t="shared" si="333"/>
        <v>4.8590078686981135</v>
      </c>
      <c r="V536" s="4">
        <f t="shared" si="334"/>
        <v>1.3635117875041587</v>
      </c>
      <c r="W536" t="str">
        <f t="shared" si="325"/>
        <v>1-4.93948662332058i</v>
      </c>
      <c r="X536" s="4">
        <f t="shared" si="335"/>
        <v>5.0396952389963969</v>
      </c>
      <c r="Y536" s="4">
        <f t="shared" si="336"/>
        <v>-1.3710459300027142</v>
      </c>
      <c r="Z536" t="str">
        <f t="shared" si="326"/>
        <v>-145.615529777138+21.3901389473938i</v>
      </c>
      <c r="AA536" s="4">
        <f t="shared" si="337"/>
        <v>147.17819320967823</v>
      </c>
      <c r="AB536" s="4">
        <f t="shared" si="338"/>
        <v>2.9957411203075455</v>
      </c>
      <c r="AC536" s="48" t="str">
        <f t="shared" si="339"/>
        <v>-0.0000615542690042921+0.00044216433432469i</v>
      </c>
      <c r="AD536" s="20">
        <f t="shared" si="340"/>
        <v>-67.00496565771752</v>
      </c>
      <c r="AE536" s="44">
        <f t="shared" si="341"/>
        <v>97.925284748683467</v>
      </c>
      <c r="AF536" t="str">
        <f t="shared" si="327"/>
        <v>-0.0000333790427773504</v>
      </c>
      <c r="AG536" t="str">
        <f t="shared" si="328"/>
        <v>0.0515441230234841i</v>
      </c>
      <c r="AH536">
        <f t="shared" si="342"/>
        <v>5.1544123023484101E-2</v>
      </c>
      <c r="AI536">
        <f t="shared" si="343"/>
        <v>1.5707963267948966</v>
      </c>
      <c r="AJ536" t="str">
        <f t="shared" si="329"/>
        <v>1+1187.51999776331i</v>
      </c>
      <c r="AK536">
        <f t="shared" si="344"/>
        <v>1187.5204188087764</v>
      </c>
      <c r="AL536">
        <f t="shared" si="345"/>
        <v>1.5699542359117864</v>
      </c>
      <c r="AM536" t="str">
        <f t="shared" si="330"/>
        <v>1+8939.38664982936i</v>
      </c>
      <c r="AN536">
        <f t="shared" si="346"/>
        <v>8939.3867057616062</v>
      </c>
      <c r="AO536">
        <f t="shared" si="347"/>
        <v>1.5706844622973644</v>
      </c>
      <c r="AP536" s="42" t="str">
        <f t="shared" si="348"/>
        <v>-3.55974464106982E-06+0.00487484988032837i</v>
      </c>
      <c r="AQ536">
        <f t="shared" si="349"/>
        <v>-46.240772759000201</v>
      </c>
      <c r="AR536" s="44">
        <f t="shared" si="350"/>
        <v>90.041838889982728</v>
      </c>
      <c r="AS536" s="42" t="str">
        <f t="shared" si="351"/>
        <v>-2.15526563478897E-06-3.01641813008858E-07i</v>
      </c>
      <c r="AT536" s="20">
        <f t="shared" si="352"/>
        <v>-113.2457384167177</v>
      </c>
      <c r="AU536" s="44">
        <f t="shared" si="353"/>
        <v>-172.03287636133382</v>
      </c>
    </row>
    <row r="537" spans="14:47" x14ac:dyDescent="0.3">
      <c r="N537" s="8">
        <v>19</v>
      </c>
      <c r="O537" s="35">
        <f t="shared" si="321"/>
        <v>1548816.6189124861</v>
      </c>
      <c r="P537" s="34" t="str">
        <f t="shared" si="322"/>
        <v>545.10556621881</v>
      </c>
      <c r="Q537" s="4" t="str">
        <f t="shared" si="323"/>
        <v>1+207891.77599843i</v>
      </c>
      <c r="R537" s="4">
        <f t="shared" si="331"/>
        <v>207891.77600083509</v>
      </c>
      <c r="S537" s="4">
        <f t="shared" si="332"/>
        <v>1.5707915165998074</v>
      </c>
      <c r="T537" s="4" t="str">
        <f t="shared" si="324"/>
        <v>1+4.86575091173325i</v>
      </c>
      <c r="U537" s="4">
        <f t="shared" si="333"/>
        <v>4.9674472251885033</v>
      </c>
      <c r="V537" s="4">
        <f t="shared" si="334"/>
        <v>1.3681005524858818</v>
      </c>
      <c r="W537" t="str">
        <f t="shared" si="325"/>
        <v>1-5.05454204710849i</v>
      </c>
      <c r="X537" s="4">
        <f t="shared" si="335"/>
        <v>5.1525134940131592</v>
      </c>
      <c r="Y537" s="4">
        <f t="shared" si="336"/>
        <v>-1.3754767601815463</v>
      </c>
      <c r="Z537" t="str">
        <f t="shared" si="326"/>
        <v>-152.525306817249+21.8883792887798i</v>
      </c>
      <c r="AA537" s="4">
        <f t="shared" si="337"/>
        <v>154.08786573765445</v>
      </c>
      <c r="AB537" s="4">
        <f t="shared" si="338"/>
        <v>2.9990592461519237</v>
      </c>
      <c r="AC537" s="48" t="str">
        <f t="shared" si="339"/>
        <v>-0.0000586892777210492+0.000431566888473399i</v>
      </c>
      <c r="AD537" s="20">
        <f t="shared" si="340"/>
        <v>-67.219454656573532</v>
      </c>
      <c r="AE537" s="44">
        <f t="shared" si="341"/>
        <v>97.744212719912227</v>
      </c>
      <c r="AF537" t="str">
        <f t="shared" si="327"/>
        <v>-0.0000333790427773504</v>
      </c>
      <c r="AG537" t="str">
        <f t="shared" si="328"/>
        <v>0.0527447398831884i</v>
      </c>
      <c r="AH537">
        <f t="shared" si="342"/>
        <v>5.2744739883188403E-2</v>
      </c>
      <c r="AI537">
        <f t="shared" si="343"/>
        <v>1.5707963267948966</v>
      </c>
      <c r="AJ537" t="str">
        <f t="shared" si="329"/>
        <v>1+1215.18089190445i</v>
      </c>
      <c r="AK537">
        <f t="shared" si="344"/>
        <v>1215.1813033657547</v>
      </c>
      <c r="AL537">
        <f t="shared" si="345"/>
        <v>1.569973404231739</v>
      </c>
      <c r="AM537" t="str">
        <f t="shared" si="330"/>
        <v>1+9147.61171405853i</v>
      </c>
      <c r="AN537">
        <f t="shared" si="346"/>
        <v>9147.6117687176047</v>
      </c>
      <c r="AO537">
        <f t="shared" si="347"/>
        <v>1.5706870086441842</v>
      </c>
      <c r="AP537" s="42" t="str">
        <f t="shared" si="348"/>
        <v>-3.39952984884899E-06+0.00476388488147328i</v>
      </c>
      <c r="AQ537">
        <f t="shared" si="349"/>
        <v>-46.4407726228388</v>
      </c>
      <c r="AR537" s="44">
        <f t="shared" si="350"/>
        <v>90.040886521075024</v>
      </c>
      <c r="AS537" s="42" t="str">
        <f t="shared" si="351"/>
        <v>-2.05573545939147E-06-2.81056087359033E-07i</v>
      </c>
      <c r="AT537" s="20">
        <f t="shared" si="352"/>
        <v>-113.66022727941234</v>
      </c>
      <c r="AU537" s="44">
        <f t="shared" si="353"/>
        <v>-172.21490075901275</v>
      </c>
    </row>
    <row r="538" spans="14:47" x14ac:dyDescent="0.3">
      <c r="N538" s="8">
        <v>20</v>
      </c>
      <c r="O538" s="35">
        <f t="shared" si="321"/>
        <v>1584893.1924611153</v>
      </c>
      <c r="P538" s="34" t="str">
        <f t="shared" si="322"/>
        <v>545.10556621881</v>
      </c>
      <c r="Q538" s="4" t="str">
        <f t="shared" si="323"/>
        <v>1+212734.197531993i</v>
      </c>
      <c r="R538" s="4">
        <f t="shared" si="331"/>
        <v>212734.19753434334</v>
      </c>
      <c r="S538" s="4">
        <f t="shared" si="332"/>
        <v>1.5707916260932153</v>
      </c>
      <c r="T538" s="4" t="str">
        <f t="shared" si="324"/>
        <v>1+4.97908881016031i</v>
      </c>
      <c r="U538" s="4">
        <f t="shared" si="333"/>
        <v>5.0785160607665327</v>
      </c>
      <c r="V538" s="4">
        <f t="shared" si="334"/>
        <v>1.3725932432256578</v>
      </c>
      <c r="W538" t="str">
        <f t="shared" si="325"/>
        <v>1-5.17227745599452i</v>
      </c>
      <c r="X538" s="4">
        <f t="shared" si="335"/>
        <v>5.2680598024119982</v>
      </c>
      <c r="Y538" s="4">
        <f t="shared" si="336"/>
        <v>-1.3798142515543028</v>
      </c>
      <c r="Z538" t="str">
        <f t="shared" si="326"/>
        <v>-159.760731616614+22.3982251385915i</v>
      </c>
      <c r="AA538" s="4">
        <f t="shared" si="337"/>
        <v>161.32319069506033</v>
      </c>
      <c r="AB538" s="4">
        <f t="shared" si="338"/>
        <v>3.0023019705684706</v>
      </c>
      <c r="AC538" s="48" t="str">
        <f t="shared" si="339"/>
        <v>-0.0000559614873474006+0.000421245358610109i</v>
      </c>
      <c r="AD538" s="20">
        <f t="shared" si="340"/>
        <v>-67.433319380929916</v>
      </c>
      <c r="AE538" s="44">
        <f t="shared" si="341"/>
        <v>97.567304291923236</v>
      </c>
      <c r="AF538" t="str">
        <f t="shared" si="327"/>
        <v>-0.0000333790427773504</v>
      </c>
      <c r="AG538" t="str">
        <f t="shared" si="328"/>
        <v>0.0539733227021378i</v>
      </c>
      <c r="AH538">
        <f t="shared" si="342"/>
        <v>5.3973322702137803E-2</v>
      </c>
      <c r="AI538">
        <f t="shared" si="343"/>
        <v>1.5707963267948966</v>
      </c>
      <c r="AJ538" t="str">
        <f t="shared" si="329"/>
        <v>1+1243.4860910393i</v>
      </c>
      <c r="AK538">
        <f t="shared" si="344"/>
        <v>1243.4864931346051</v>
      </c>
      <c r="AL538">
        <f t="shared" si="345"/>
        <v>1.5699921362280442</v>
      </c>
      <c r="AM538" t="str">
        <f t="shared" si="330"/>
        <v>1+9360.68696310141i</v>
      </c>
      <c r="AN538">
        <f t="shared" si="346"/>
        <v>9360.6870165162927</v>
      </c>
      <c r="AO538">
        <f t="shared" si="347"/>
        <v>1.5706894970290752</v>
      </c>
      <c r="AP538" s="42" t="str">
        <f t="shared" si="348"/>
        <v>-3.24652590056048E-06+0.00465544574556872i</v>
      </c>
      <c r="AQ538">
        <f t="shared" si="349"/>
        <v>-46.640772492805695</v>
      </c>
      <c r="AR538" s="44">
        <f t="shared" si="350"/>
        <v>90.039955830696925</v>
      </c>
      <c r="AS538" s="42" t="str">
        <f t="shared" si="351"/>
        <v>-1.96090323216389E-06-2.61893252154372E-07i</v>
      </c>
      <c r="AT538" s="20">
        <f t="shared" si="352"/>
        <v>-114.07409187373563</v>
      </c>
      <c r="AU538" s="44">
        <f t="shared" si="353"/>
        <v>-172.3927398773798</v>
      </c>
    </row>
    <row r="539" spans="14:47" x14ac:dyDescent="0.3">
      <c r="N539" s="8">
        <v>21</v>
      </c>
      <c r="O539" s="35">
        <f t="shared" si="321"/>
        <v>1621810.0973589318</v>
      </c>
      <c r="P539" s="34" t="str">
        <f t="shared" si="322"/>
        <v>545.10556621881</v>
      </c>
      <c r="Q539" s="4" t="str">
        <f t="shared" si="323"/>
        <v>1+217689.413552958i</v>
      </c>
      <c r="R539" s="4">
        <f t="shared" si="331"/>
        <v>217689.41355525487</v>
      </c>
      <c r="S539" s="4">
        <f t="shared" si="332"/>
        <v>1.5707917330942491</v>
      </c>
      <c r="T539" s="4" t="str">
        <f t="shared" si="324"/>
        <v>1+5.09506668738055i</v>
      </c>
      <c r="U539" s="4">
        <f t="shared" si="333"/>
        <v>5.1922735433386995</v>
      </c>
      <c r="V539" s="4">
        <f t="shared" si="334"/>
        <v>1.376991516010619</v>
      </c>
      <c r="W539" t="str">
        <f t="shared" si="325"/>
        <v>1-5.2927552748509i</v>
      </c>
      <c r="X539" s="4">
        <f t="shared" si="335"/>
        <v>5.3863956779521898</v>
      </c>
      <c r="Y539" s="4">
        <f t="shared" si="336"/>
        <v>-1.3840600507640788</v>
      </c>
      <c r="Z539" t="str">
        <f t="shared" si="326"/>
        <v>-167.337151481304+22.9199468238472i</v>
      </c>
      <c r="AA539" s="4">
        <f t="shared" si="337"/>
        <v>168.89951518072769</v>
      </c>
      <c r="AB539" s="4">
        <f t="shared" si="338"/>
        <v>3.0054710008872592</v>
      </c>
      <c r="AC539" s="48" t="str">
        <f t="shared" si="339"/>
        <v>-0.000053364005235037+0.000411191241496853i</v>
      </c>
      <c r="AD539" s="20">
        <f t="shared" si="340"/>
        <v>-67.646585567726888</v>
      </c>
      <c r="AE539" s="44">
        <f t="shared" si="341"/>
        <v>97.394462191145422</v>
      </c>
      <c r="AF539" t="str">
        <f t="shared" si="327"/>
        <v>-0.0000333790427773504</v>
      </c>
      <c r="AG539" t="str">
        <f t="shared" si="328"/>
        <v>0.0552305228912054i</v>
      </c>
      <c r="AH539">
        <f t="shared" si="342"/>
        <v>5.5230522891205398E-2</v>
      </c>
      <c r="AI539">
        <f t="shared" si="343"/>
        <v>1.5707963267948966</v>
      </c>
      <c r="AJ539" t="str">
        <f t="shared" si="329"/>
        <v>1+1272.4506029591i</v>
      </c>
      <c r="AK539">
        <f t="shared" si="344"/>
        <v>1272.4509959016016</v>
      </c>
      <c r="AL539">
        <f t="shared" si="345"/>
        <v>1.570010441832602</v>
      </c>
      <c r="AM539" t="str">
        <f t="shared" si="330"/>
        <v>1+9578.72537227546i</v>
      </c>
      <c r="AN539">
        <f t="shared" si="346"/>
        <v>9578.725424474469</v>
      </c>
      <c r="AO539">
        <f t="shared" si="347"/>
        <v>1.5706919287714121</v>
      </c>
      <c r="AP539" s="42" t="str">
        <f t="shared" si="348"/>
        <v>-3.10040825560634E-06+0.00454947497754181i</v>
      </c>
      <c r="AQ539">
        <f t="shared" si="349"/>
        <v>-46.840772368625061</v>
      </c>
      <c r="AR539" s="44">
        <f t="shared" si="350"/>
        <v>90.039046325387091</v>
      </c>
      <c r="AS539" s="42" t="str">
        <f t="shared" si="351"/>
        <v>-0.0000018705388139719-2.44053067237981E-07i</v>
      </c>
      <c r="AT539" s="20">
        <f t="shared" si="352"/>
        <v>-114.48735793635196</v>
      </c>
      <c r="AU539" s="44">
        <f t="shared" si="353"/>
        <v>-172.56649148346747</v>
      </c>
    </row>
    <row r="540" spans="14:47" x14ac:dyDescent="0.3">
      <c r="N540" s="8">
        <v>22</v>
      </c>
      <c r="O540" s="35">
        <f t="shared" si="321"/>
        <v>1659586.9074375622</v>
      </c>
      <c r="P540" s="34" t="str">
        <f t="shared" si="322"/>
        <v>545.10556621881</v>
      </c>
      <c r="Q540" s="4" t="str">
        <f t="shared" si="323"/>
        <v>1+222760.05138245i</v>
      </c>
      <c r="R540" s="4">
        <f t="shared" si="331"/>
        <v>222760.05138469458</v>
      </c>
      <c r="S540" s="4">
        <f t="shared" si="332"/>
        <v>1.5707918376596419</v>
      </c>
      <c r="T540" s="4" t="str">
        <f t="shared" si="324"/>
        <v>1+5.21374603639965i</v>
      </c>
      <c r="U540" s="4">
        <f t="shared" si="333"/>
        <v>5.3087802489906339</v>
      </c>
      <c r="V540" s="4">
        <f t="shared" si="334"/>
        <v>1.381297021868279</v>
      </c>
      <c r="W540" t="str">
        <f t="shared" si="325"/>
        <v>1-5.41603938261194i</v>
      </c>
      <c r="X540" s="4">
        <f t="shared" si="335"/>
        <v>5.5075840977695041</v>
      </c>
      <c r="Y540" s="4">
        <f t="shared" si="336"/>
        <v>-1.3882157963875243</v>
      </c>
      <c r="Z540" t="str">
        <f t="shared" si="326"/>
        <v>-175.270637013643+23.4538209682905i</v>
      </c>
      <c r="AA540" s="4">
        <f t="shared" si="337"/>
        <v>176.83290959880975</v>
      </c>
      <c r="AB540" s="4">
        <f t="shared" si="338"/>
        <v>3.0085680062250564</v>
      </c>
      <c r="AC540" s="48" t="str">
        <f t="shared" si="339"/>
        <v>-0.0000508903109682635+0.000401396365801025i</v>
      </c>
      <c r="AD540" s="20">
        <f t="shared" si="340"/>
        <v>-67.859277992078816</v>
      </c>
      <c r="AE540" s="44">
        <f t="shared" si="341"/>
        <v>97.225591494363812</v>
      </c>
      <c r="AF540" t="str">
        <f t="shared" si="327"/>
        <v>-0.0000333790427773504</v>
      </c>
      <c r="AG540" t="str">
        <f t="shared" si="328"/>
        <v>0.0565170070345722i</v>
      </c>
      <c r="AH540">
        <f t="shared" si="342"/>
        <v>5.65170070345722E-2</v>
      </c>
      <c r="AI540">
        <f t="shared" si="343"/>
        <v>1.5707963267948966</v>
      </c>
      <c r="AJ540" t="str">
        <f t="shared" si="329"/>
        <v>1+1302.08978503147i</v>
      </c>
      <c r="AK540">
        <f t="shared" si="344"/>
        <v>1302.0901690295109</v>
      </c>
      <c r="AL540">
        <f t="shared" si="345"/>
        <v>1.5700283307512368</v>
      </c>
      <c r="AM540" t="str">
        <f t="shared" si="330"/>
        <v>1+9801.84254843137i</v>
      </c>
      <c r="AN540">
        <f t="shared" si="346"/>
        <v>9801.8425994421868</v>
      </c>
      <c r="AO540">
        <f t="shared" si="347"/>
        <v>1.5706943051605367</v>
      </c>
      <c r="AP540" s="42" t="str">
        <f t="shared" si="348"/>
        <v>-2.96086698004769E-06+0.00444591639102812i</v>
      </c>
      <c r="AQ540">
        <f t="shared" si="349"/>
        <v>-47.040772250033484</v>
      </c>
      <c r="AR540" s="44">
        <f t="shared" si="350"/>
        <v>90.038157522916592</v>
      </c>
      <c r="AS540" s="42" t="str">
        <f t="shared" si="351"/>
        <v>-1.78442400257255E-06-2.27442548923732E-07i</v>
      </c>
      <c r="AT540" s="20">
        <f t="shared" si="352"/>
        <v>-114.90005024211227</v>
      </c>
      <c r="AU540" s="44">
        <f t="shared" si="353"/>
        <v>-172.73625098271961</v>
      </c>
    </row>
    <row r="541" spans="14:47" x14ac:dyDescent="0.3">
      <c r="N541" s="8">
        <v>23</v>
      </c>
      <c r="O541" s="35">
        <f t="shared" si="321"/>
        <v>1698243.6524617488</v>
      </c>
      <c r="P541" s="34" t="str">
        <f t="shared" si="322"/>
        <v>545.10556621881</v>
      </c>
      <c r="Q541" s="4" t="str">
        <f t="shared" si="323"/>
        <v>1+227948.799539763i</v>
      </c>
      <c r="R541" s="4">
        <f t="shared" si="331"/>
        <v>227948.79954195642</v>
      </c>
      <c r="S541" s="4">
        <f t="shared" si="332"/>
        <v>1.5707919398448358</v>
      </c>
      <c r="T541" s="4" t="str">
        <f t="shared" si="324"/>
        <v>1+5.33518978257935i</v>
      </c>
      <c r="U541" s="4">
        <f t="shared" si="333"/>
        <v>5.4280981951452469</v>
      </c>
      <c r="V541" s="4">
        <f t="shared" si="334"/>
        <v>1.3855114048248327</v>
      </c>
      <c r="W541" t="str">
        <f t="shared" si="325"/>
        <v>1-5.54219514614341i</v>
      </c>
      <c r="X541" s="4">
        <f t="shared" si="335"/>
        <v>5.631689536714144</v>
      </c>
      <c r="Y541" s="4">
        <f t="shared" si="336"/>
        <v>-1.392283117410553</v>
      </c>
      <c r="Z541" t="str">
        <f t="shared" si="326"/>
        <v>-183.578016200105+24.0001306390592i</v>
      </c>
      <c r="AA541" s="4">
        <f t="shared" si="337"/>
        <v>185.14020174629258</v>
      </c>
      <c r="AB541" s="4">
        <f t="shared" si="338"/>
        <v>3.0115946183065527</v>
      </c>
      <c r="AC541" s="48" t="str">
        <f t="shared" si="339"/>
        <v>-0.0000485342342993323+0.000391852876382283i</v>
      </c>
      <c r="AD541" s="20">
        <f t="shared" si="340"/>
        <v>-68.071420494641814</v>
      </c>
      <c r="AE541" s="44">
        <f t="shared" si="341"/>
        <v>97.060599569208478</v>
      </c>
      <c r="AF541" t="str">
        <f t="shared" si="327"/>
        <v>-0.0000333790427773504</v>
      </c>
      <c r="AG541" t="str">
        <f t="shared" si="328"/>
        <v>0.0578334572431599i</v>
      </c>
      <c r="AH541">
        <f t="shared" si="342"/>
        <v>5.78334572431599E-2</v>
      </c>
      <c r="AI541">
        <f t="shared" si="343"/>
        <v>1.5707963267948966</v>
      </c>
      <c r="AJ541" t="str">
        <f t="shared" si="329"/>
        <v>1+1332.41935234306i</v>
      </c>
      <c r="AK541">
        <f t="shared" si="344"/>
        <v>1332.4197276002403</v>
      </c>
      <c r="AL541">
        <f t="shared" si="345"/>
        <v>1.5700458124688443</v>
      </c>
      <c r="AM541" t="str">
        <f t="shared" si="330"/>
        <v>1+10030.1567912492i</v>
      </c>
      <c r="AN541">
        <f t="shared" si="346"/>
        <v>10030.156841098869</v>
      </c>
      <c r="AO541">
        <f t="shared" si="347"/>
        <v>1.5706966274564418</v>
      </c>
      <c r="AP541" s="42" t="str">
        <f t="shared" si="348"/>
        <v>-2.82760608920334E-06+0.00434471507858445i</v>
      </c>
      <c r="AQ541">
        <f t="shared" si="349"/>
        <v>-47.240772136779363</v>
      </c>
      <c r="AR541" s="44">
        <f t="shared" si="350"/>
        <v>90.03728895203318</v>
      </c>
      <c r="AS541" s="42" t="str">
        <f t="shared" si="351"/>
        <v>-1.70235186490835E-06-2.1197542516719E-07i</v>
      </c>
      <c r="AT541" s="20">
        <f t="shared" si="352"/>
        <v>-115.31219263142118</v>
      </c>
      <c r="AU541" s="44">
        <f t="shared" si="353"/>
        <v>-172.90211147875831</v>
      </c>
    </row>
    <row r="542" spans="14:47" x14ac:dyDescent="0.3">
      <c r="N542" s="8">
        <v>24</v>
      </c>
      <c r="O542" s="35">
        <f t="shared" si="321"/>
        <v>1737800.8287493798</v>
      </c>
      <c r="P542" s="34" t="str">
        <f t="shared" si="322"/>
        <v>545.10556621881</v>
      </c>
      <c r="Q542" s="4" t="str">
        <f t="shared" si="323"/>
        <v>1+233258.409167848i</v>
      </c>
      <c r="R542" s="4">
        <f t="shared" si="331"/>
        <v>233258.40916999153</v>
      </c>
      <c r="S542" s="4">
        <f t="shared" si="332"/>
        <v>1.5707920397040107</v>
      </c>
      <c r="T542" s="4" t="str">
        <f t="shared" si="324"/>
        <v>1+5.4594623170013i</v>
      </c>
      <c r="U542" s="4">
        <f t="shared" si="333"/>
        <v>5.550290874427863</v>
      </c>
      <c r="V542" s="4">
        <f t="shared" si="334"/>
        <v>1.3896363002970631</v>
      </c>
      <c r="W542" t="str">
        <f t="shared" si="325"/>
        <v>1-5.67128945490093i</v>
      </c>
      <c r="X542" s="4">
        <f t="shared" si="335"/>
        <v>5.7587780024298985</v>
      </c>
      <c r="Y542" s="4">
        <f t="shared" si="336"/>
        <v>-1.3962636318271233</v>
      </c>
      <c r="Z542" t="str">
        <f t="shared" si="326"/>
        <v>-192.27691010573+24.5591654967717i</v>
      </c>
      <c r="AA542" s="4">
        <f t="shared" si="337"/>
        <v>193.83901250704099</v>
      </c>
      <c r="AB542" s="4">
        <f t="shared" si="338"/>
        <v>3.014552432270698</v>
      </c>
      <c r="AC542" s="48" t="str">
        <f t="shared" si="339"/>
        <v>-0.0000462899345255841+0.000382553219366335i</v>
      </c>
      <c r="AD542" s="20">
        <f t="shared" si="340"/>
        <v>-68.283036008984297</v>
      </c>
      <c r="AE542" s="44">
        <f t="shared" si="341"/>
        <v>96.899396016099757</v>
      </c>
      <c r="AF542" t="str">
        <f t="shared" si="327"/>
        <v>-0.0000333790427773504</v>
      </c>
      <c r="AG542" t="str">
        <f t="shared" si="328"/>
        <v>0.0591805715162942i</v>
      </c>
      <c r="AH542">
        <f t="shared" si="342"/>
        <v>5.9180571516294203E-2</v>
      </c>
      <c r="AI542">
        <f t="shared" si="343"/>
        <v>1.5707963267948966</v>
      </c>
      <c r="AJ542" t="str">
        <f t="shared" si="329"/>
        <v>1+1363.45538603191i</v>
      </c>
      <c r="AK542">
        <f t="shared" si="344"/>
        <v>1363.4557527471966</v>
      </c>
      <c r="AL542">
        <f t="shared" si="345"/>
        <v>1.5700628962544199</v>
      </c>
      <c r="AM542" t="str">
        <f t="shared" si="330"/>
        <v>1+10263.7891559625i</v>
      </c>
      <c r="AN542">
        <f t="shared" si="346"/>
        <v>10263.789204677452</v>
      </c>
      <c r="AO542">
        <f t="shared" si="347"/>
        <v>1.5706988968904392</v>
      </c>
      <c r="AP542" s="42" t="str">
        <f t="shared" si="348"/>
        <v>-2.70034291983574E-06+0.00424581738257938i</v>
      </c>
      <c r="AQ542">
        <f t="shared" si="349"/>
        <v>-47.440772028622547</v>
      </c>
      <c r="AR542" s="44">
        <f t="shared" si="350"/>
        <v>90.03644015221154</v>
      </c>
      <c r="AS542" s="42" t="str">
        <f t="shared" si="351"/>
        <v>-1.62412610985033E-06-1.97571633524563E-07i</v>
      </c>
      <c r="AT542" s="20">
        <f t="shared" si="352"/>
        <v>-115.72380803760686</v>
      </c>
      <c r="AU542" s="44">
        <f t="shared" si="353"/>
        <v>-173.06416383168866</v>
      </c>
    </row>
    <row r="543" spans="14:47" x14ac:dyDescent="0.3">
      <c r="N543" s="8">
        <v>25</v>
      </c>
      <c r="O543" s="35">
        <f t="shared" si="321"/>
        <v>1778279.4100389241</v>
      </c>
      <c r="P543" s="34" t="str">
        <f t="shared" si="322"/>
        <v>545.10556621881</v>
      </c>
      <c r="Q543" s="4" t="str">
        <f t="shared" si="323"/>
        <v>1+238691.695492015i</v>
      </c>
      <c r="R543" s="4">
        <f t="shared" si="331"/>
        <v>238691.69549410976</v>
      </c>
      <c r="S543" s="4">
        <f t="shared" si="332"/>
        <v>1.5707921372901132</v>
      </c>
      <c r="T543" s="4" t="str">
        <f t="shared" si="324"/>
        <v>1+5.58662953060825i</v>
      </c>
      <c r="U543" s="4">
        <f t="shared" si="333"/>
        <v>5.6754232892590624</v>
      </c>
      <c r="V543" s="4">
        <f t="shared" si="334"/>
        <v>1.3936733336114511</v>
      </c>
      <c r="W543" t="str">
        <f t="shared" si="325"/>
        <v>1-5.80339075639583i</v>
      </c>
      <c r="X543" s="4">
        <f t="shared" si="335"/>
        <v>5.8889170711957357</v>
      </c>
      <c r="Y543" s="4">
        <f t="shared" si="336"/>
        <v>-1.4001589453548815</v>
      </c>
      <c r="Z543" t="str">
        <f t="shared" si="326"/>
        <v>-201.385770250776+25.1312219491097i</v>
      </c>
      <c r="AA543" s="4">
        <f t="shared" si="337"/>
        <v>202.94779322809538</v>
      </c>
      <c r="AB543" s="4">
        <f t="shared" si="338"/>
        <v>3.0174430074621785</v>
      </c>
      <c r="AC543" s="48" t="str">
        <f t="shared" si="339"/>
        <v>-0.0000441518812064091+0.000373490127971328i</v>
      </c>
      <c r="AD543" s="20">
        <f t="shared" si="340"/>
        <v>-68.494146588871885</v>
      </c>
      <c r="AE543" s="44">
        <f t="shared" si="341"/>
        <v>96.741892611638292</v>
      </c>
      <c r="AF543" t="str">
        <f t="shared" si="327"/>
        <v>-0.0000333790427773504</v>
      </c>
      <c r="AG543" t="str">
        <f t="shared" si="328"/>
        <v>0.0605590641117937i</v>
      </c>
      <c r="AH543">
        <f t="shared" si="342"/>
        <v>6.0559064111793702E-2</v>
      </c>
      <c r="AI543">
        <f t="shared" si="343"/>
        <v>1.5707963267948966</v>
      </c>
      <c r="AJ543" t="str">
        <f t="shared" si="329"/>
        <v>1+1395.2143418139i</v>
      </c>
      <c r="AK543">
        <f t="shared" si="344"/>
        <v>1395.21470018173</v>
      </c>
      <c r="AL543">
        <f t="shared" si="345"/>
        <v>1.5700795911659728</v>
      </c>
      <c r="AM543" t="str">
        <f t="shared" si="330"/>
        <v>1+10502.8635175435i</v>
      </c>
      <c r="AN543">
        <f t="shared" si="346"/>
        <v>10502.863565149562</v>
      </c>
      <c r="AO543">
        <f t="shared" si="347"/>
        <v>1.5707011146658132</v>
      </c>
      <c r="AP543" s="42" t="str">
        <f t="shared" si="348"/>
        <v>-2.57880753059256E-06+0.00414917086674648i</v>
      </c>
      <c r="AQ543">
        <f t="shared" si="349"/>
        <v>-47.640771925333638</v>
      </c>
      <c r="AR543" s="44">
        <f t="shared" si="350"/>
        <v>90.035610673409039</v>
      </c>
      <c r="AS543" s="42" t="str">
        <f t="shared" si="351"/>
        <v>-0.0000015495604987923-1.84156858368299E-07i</v>
      </c>
      <c r="AT543" s="20">
        <f t="shared" si="352"/>
        <v>-116.13491851420555</v>
      </c>
      <c r="AU543" s="44">
        <f t="shared" si="353"/>
        <v>-173.22249671495263</v>
      </c>
    </row>
    <row r="544" spans="14:47" x14ac:dyDescent="0.3">
      <c r="N544" s="8">
        <v>26</v>
      </c>
      <c r="O544" s="35">
        <f t="shared" si="321"/>
        <v>1819700.8586099846</v>
      </c>
      <c r="P544" s="34" t="str">
        <f t="shared" si="322"/>
        <v>545.10556621881</v>
      </c>
      <c r="Q544" s="4" t="str">
        <f t="shared" si="323"/>
        <v>1+244251.539312591i</v>
      </c>
      <c r="R544" s="4">
        <f t="shared" si="331"/>
        <v>244251.53931463804</v>
      </c>
      <c r="S544" s="4">
        <f t="shared" si="332"/>
        <v>1.5707922326548851</v>
      </c>
      <c r="T544" s="4" t="str">
        <f t="shared" si="324"/>
        <v>1+5.71675884914015i</v>
      </c>
      <c r="U544" s="4">
        <f t="shared" si="333"/>
        <v>5.8035619871956401</v>
      </c>
      <c r="V544" s="4">
        <f t="shared" si="334"/>
        <v>1.3976241186441747</v>
      </c>
      <c r="W544" t="str">
        <f t="shared" si="325"/>
        <v>1-5.93856909248677i</v>
      </c>
      <c r="X544" s="4">
        <f t="shared" si="335"/>
        <v>6.0221759245507878</v>
      </c>
      <c r="Y544" s="4">
        <f t="shared" si="336"/>
        <v>-1.4039706502615705</v>
      </c>
      <c r="Z544" t="str">
        <f t="shared" si="326"/>
        <v>-210.923917748858+25.7166033079762i</v>
      </c>
      <c r="AA544" s="4">
        <f t="shared" si="337"/>
        <v>212.48586485746955</v>
      </c>
      <c r="AB544" s="4">
        <f t="shared" si="338"/>
        <v>3.0202678682080726</v>
      </c>
      <c r="AC544" s="48" t="str">
        <f t="shared" si="339"/>
        <v>-0.0000421148361255923+0.000364656609053193i</v>
      </c>
      <c r="AD544" s="20">
        <f t="shared" si="340"/>
        <v>-68.704773435385519</v>
      </c>
      <c r="AE544" s="44">
        <f t="shared" si="341"/>
        <v>96.588003253423381</v>
      </c>
      <c r="AF544" t="str">
        <f t="shared" si="327"/>
        <v>-0.0000333790427773504</v>
      </c>
      <c r="AG544" t="str">
        <f t="shared" si="328"/>
        <v>0.0619696659246794i</v>
      </c>
      <c r="AH544">
        <f t="shared" si="342"/>
        <v>6.1969665924679403E-2</v>
      </c>
      <c r="AI544">
        <f t="shared" si="343"/>
        <v>1.5707963267948966</v>
      </c>
      <c r="AJ544" t="str">
        <f t="shared" si="329"/>
        <v>1+1427.71305870777i</v>
      </c>
      <c r="AK544">
        <f t="shared" si="344"/>
        <v>1427.7134089181541</v>
      </c>
      <c r="AL544">
        <f t="shared" si="345"/>
        <v>1.5700959060553292</v>
      </c>
      <c r="AM544" t="str">
        <f t="shared" si="330"/>
        <v>1+10747.5066363835i</v>
      </c>
      <c r="AN544">
        <f t="shared" si="346"/>
        <v>10747.506682905918</v>
      </c>
      <c r="AO544">
        <f t="shared" si="347"/>
        <v>1.5707032819584572</v>
      </c>
      <c r="AP544" s="42" t="str">
        <f t="shared" si="348"/>
        <v>-0.0000024627421294326+0.00405472428838479i</v>
      </c>
      <c r="AQ544">
        <f t="shared" si="349"/>
        <v>-47.840771826693391</v>
      </c>
      <c r="AR544" s="44">
        <f t="shared" si="350"/>
        <v>90.034800075827178</v>
      </c>
      <c r="AS544" s="42" t="str">
        <f t="shared" si="351"/>
        <v>-1.47847829166682E-06-1.71662104133676E-07i</v>
      </c>
      <c r="AT544" s="20">
        <f t="shared" si="352"/>
        <v>-116.5455452620789</v>
      </c>
      <c r="AU544" s="44">
        <f t="shared" si="353"/>
        <v>-173.37719667074941</v>
      </c>
    </row>
    <row r="545" spans="14:47" x14ac:dyDescent="0.3">
      <c r="N545" s="8">
        <v>27</v>
      </c>
      <c r="O545" s="35">
        <f t="shared" si="321"/>
        <v>1862087.1366628683</v>
      </c>
      <c r="P545" s="34" t="str">
        <f t="shared" si="322"/>
        <v>545.10556621881</v>
      </c>
      <c r="Q545" s="4" t="str">
        <f t="shared" si="323"/>
        <v>1+249940.888532361i</v>
      </c>
      <c r="R545" s="4">
        <f t="shared" si="331"/>
        <v>249940.88853436147</v>
      </c>
      <c r="S545" s="4">
        <f t="shared" si="332"/>
        <v>1.5707923258488894</v>
      </c>
      <c r="T545" s="4" t="str">
        <f t="shared" si="324"/>
        <v>1+5.8499192688841i</v>
      </c>
      <c r="U545" s="4">
        <f t="shared" si="333"/>
        <v>5.9347750970412916</v>
      </c>
      <c r="V545" s="4">
        <f t="shared" si="334"/>
        <v>1.4014902565758431</v>
      </c>
      <c r="W545" t="str">
        <f t="shared" si="325"/>
        <v>1-6.07689613651679i</v>
      </c>
      <c r="X545" s="4">
        <f t="shared" si="335"/>
        <v>6.1586253867249221</v>
      </c>
      <c r="Y545" s="4">
        <f t="shared" si="336"/>
        <v>-1.4077003242963073</v>
      </c>
      <c r="Z545" t="str">
        <f t="shared" si="326"/>
        <v>-220.911584289619+26.3156199503161i</v>
      </c>
      <c r="AA545" s="4">
        <f t="shared" si="337"/>
        <v>222.47345892649514</v>
      </c>
      <c r="AB545" s="4">
        <f t="shared" si="338"/>
        <v>3.0230285045797696</v>
      </c>
      <c r="AC545" s="48" t="str">
        <f t="shared" si="339"/>
        <v>-0.0000401738364115799+0.000356045930336846i</v>
      </c>
      <c r="AD545" s="20">
        <f t="shared" si="340"/>
        <v>-68.914936923804859</v>
      </c>
      <c r="AE545" s="44">
        <f t="shared" si="341"/>
        <v>96.437643906281764</v>
      </c>
      <c r="AF545" t="str">
        <f t="shared" si="327"/>
        <v>-0.0000333790427773504</v>
      </c>
      <c r="AG545" t="str">
        <f t="shared" si="328"/>
        <v>0.0634131248747039i</v>
      </c>
      <c r="AH545">
        <f t="shared" si="342"/>
        <v>6.3413124874703894E-2</v>
      </c>
      <c r="AI545">
        <f t="shared" si="343"/>
        <v>1.5707963267948966</v>
      </c>
      <c r="AJ545" t="str">
        <f t="shared" si="329"/>
        <v>1+1460.96876796338i</v>
      </c>
      <c r="AK545">
        <f t="shared" si="344"/>
        <v>1460.9691102020045</v>
      </c>
      <c r="AL545">
        <f t="shared" si="345"/>
        <v>1.5701118495728241</v>
      </c>
      <c r="AM545" t="str">
        <f t="shared" si="330"/>
        <v>1+10997.8482255021i</v>
      </c>
      <c r="AN545">
        <f t="shared" si="346"/>
        <v>10997.848270965538</v>
      </c>
      <c r="AO545">
        <f t="shared" si="347"/>
        <v>1.5707053999174985</v>
      </c>
      <c r="AP545" s="42" t="str">
        <f t="shared" si="348"/>
        <v>-2.35190052682109E-06+0.00396242757119174i</v>
      </c>
      <c r="AQ545">
        <f t="shared" si="349"/>
        <v>-48.040771732492743</v>
      </c>
      <c r="AR545" s="44">
        <f t="shared" si="350"/>
        <v>90.034007929678381</v>
      </c>
      <c r="AS545" s="42" t="str">
        <f t="shared" si="351"/>
        <v>-1.41071172611031E-06-1.60023301648923E-07i</v>
      </c>
      <c r="AT545" s="20">
        <f t="shared" si="352"/>
        <v>-116.9557086562976</v>
      </c>
      <c r="AU545" s="44">
        <f t="shared" si="353"/>
        <v>-173.52834816403984</v>
      </c>
    </row>
    <row r="546" spans="14:47" x14ac:dyDescent="0.3">
      <c r="N546" s="8">
        <v>28</v>
      </c>
      <c r="O546" s="35">
        <f t="shared" si="321"/>
        <v>1905460.7179632513</v>
      </c>
      <c r="P546" s="34" t="str">
        <f t="shared" si="322"/>
        <v>545.10556621881</v>
      </c>
      <c r="Q546" s="4" t="str">
        <f t="shared" si="323"/>
        <v>1+255762.759719592i</v>
      </c>
      <c r="R546" s="4">
        <f t="shared" si="331"/>
        <v>255762.75972154696</v>
      </c>
      <c r="S546" s="4">
        <f t="shared" si="332"/>
        <v>1.5707924169215395</v>
      </c>
      <c r="T546" s="4" t="str">
        <f t="shared" si="324"/>
        <v>1+5.9861813932573i</v>
      </c>
      <c r="U546" s="4">
        <f t="shared" si="333"/>
        <v>6.0691323657488239</v>
      </c>
      <c r="V546" s="4">
        <f t="shared" si="334"/>
        <v>1.4052733347549469</v>
      </c>
      <c r="W546" t="str">
        <f t="shared" si="325"/>
        <v>1-6.21844523131567i</v>
      </c>
      <c r="X546" s="4">
        <f t="shared" si="335"/>
        <v>6.2983379628972429</v>
      </c>
      <c r="Y546" s="4">
        <f t="shared" si="336"/>
        <v>-1.4113495297199758</v>
      </c>
      <c r="Z546" t="str">
        <f t="shared" si="326"/>
        <v>-231.369955052868+26.9285894826823i</v>
      </c>
      <c r="AA546" s="4">
        <f t="shared" si="337"/>
        <v>232.93176046364519</v>
      </c>
      <c r="AB546" s="4">
        <f t="shared" si="338"/>
        <v>3.0257263731402571</v>
      </c>
      <c r="AC546" s="48" t="str">
        <f t="shared" si="339"/>
        <v>-0.0000383241787346865+0.000347651608301162i</v>
      </c>
      <c r="AD546" s="20">
        <f t="shared" si="340"/>
        <v>-69.124656630192462</v>
      </c>
      <c r="AE546" s="44">
        <f t="shared" si="341"/>
        <v>96.290732549884567</v>
      </c>
      <c r="AF546" t="str">
        <f t="shared" si="327"/>
        <v>-0.0000333790427773504</v>
      </c>
      <c r="AG546" t="str">
        <f t="shared" si="328"/>
        <v>0.064890206302909i</v>
      </c>
      <c r="AH546">
        <f t="shared" si="342"/>
        <v>6.4890206302908995E-2</v>
      </c>
      <c r="AI546">
        <f t="shared" si="343"/>
        <v>1.5707963267948966</v>
      </c>
      <c r="AJ546" t="str">
        <f t="shared" si="329"/>
        <v>1+1494.99910219799i</v>
      </c>
      <c r="AK546">
        <f t="shared" si="344"/>
        <v>1494.9994366463141</v>
      </c>
      <c r="AL546">
        <f t="shared" si="345"/>
        <v>1.5701274301718893</v>
      </c>
      <c r="AM546" t="str">
        <f t="shared" si="330"/>
        <v>1+11254.0210193238i</v>
      </c>
      <c r="AN546">
        <f t="shared" si="346"/>
        <v>11254.021063752365</v>
      </c>
      <c r="AO546">
        <f t="shared" si="347"/>
        <v>1.5707074696659069</v>
      </c>
      <c r="AP546" s="42" t="str">
        <f t="shared" si="348"/>
        <v>-2.24604761353504E-06+0.00387223177871476i</v>
      </c>
      <c r="AQ546">
        <f t="shared" si="349"/>
        <v>-48.240771642531818</v>
      </c>
      <c r="AR546" s="44">
        <f t="shared" si="350"/>
        <v>90.033233814958095</v>
      </c>
      <c r="AS546" s="42" t="str">
        <f t="shared" si="351"/>
        <v>-1.34610152765487E-06-1.49180944854764E-07i</v>
      </c>
      <c r="AT546" s="20">
        <f t="shared" si="352"/>
        <v>-117.36542827272427</v>
      </c>
      <c r="AU546" s="44">
        <f t="shared" si="353"/>
        <v>-173.67603363515732</v>
      </c>
    </row>
    <row r="547" spans="14:47" x14ac:dyDescent="0.3">
      <c r="N547" s="8">
        <v>29</v>
      </c>
      <c r="O547" s="35">
        <f t="shared" si="321"/>
        <v>1949844.5997580495</v>
      </c>
      <c r="P547" s="34" t="str">
        <f t="shared" si="322"/>
        <v>545.10556621881</v>
      </c>
      <c r="Q547" s="4" t="str">
        <f t="shared" si="323"/>
        <v>1+261720.239707443i</v>
      </c>
      <c r="R547" s="4">
        <f t="shared" si="331"/>
        <v>261720.23970935342</v>
      </c>
      <c r="S547" s="4">
        <f t="shared" si="332"/>
        <v>1.5707925059211227</v>
      </c>
      <c r="T547" s="4" t="str">
        <f t="shared" si="324"/>
        <v>1+6.1256174702416i</v>
      </c>
      <c r="U547" s="4">
        <f t="shared" si="333"/>
        <v>6.2067051961349913</v>
      </c>
      <c r="V547" s="4">
        <f t="shared" si="334"/>
        <v>1.4089749256641404</v>
      </c>
      <c r="W547" t="str">
        <f t="shared" si="325"/>
        <v>1-6.36329142808696i</v>
      </c>
      <c r="X547" s="4">
        <f t="shared" si="335"/>
        <v>6.4413878783042549</v>
      </c>
      <c r="Y547" s="4">
        <f t="shared" si="336"/>
        <v>-1.4149198124291564</v>
      </c>
      <c r="Z547" t="str">
        <f t="shared" si="326"/>
        <v>-242.321213645158+27.5558369096339i</v>
      </c>
      <c r="AA547" s="4">
        <f t="shared" si="337"/>
        <v>243.882952930812</v>
      </c>
      <c r="AB547" s="4">
        <f t="shared" si="338"/>
        <v>3.028362897676864</v>
      </c>
      <c r="AC547" s="48" t="str">
        <f t="shared" si="339"/>
        <v>-0.0000365614045062451+0.000339467396686447i</v>
      </c>
      <c r="AD547" s="20">
        <f t="shared" si="340"/>
        <v>-69.333951357624301</v>
      </c>
      <c r="AE547" s="44">
        <f t="shared" si="341"/>
        <v>96.147189127730016</v>
      </c>
      <c r="AF547" t="str">
        <f t="shared" si="327"/>
        <v>-0.0000333790427773504</v>
      </c>
      <c r="AG547" t="str">
        <f t="shared" si="328"/>
        <v>0.0664016933774191i</v>
      </c>
      <c r="AH547">
        <f t="shared" si="342"/>
        <v>6.6401693377419094E-2</v>
      </c>
      <c r="AI547">
        <f t="shared" si="343"/>
        <v>1.5707963267948966</v>
      </c>
      <c r="AJ547" t="str">
        <f t="shared" si="329"/>
        <v>1+1529.82210474521i</v>
      </c>
      <c r="AK547">
        <f t="shared" si="344"/>
        <v>1529.8224315805626</v>
      </c>
      <c r="AL547">
        <f t="shared" si="345"/>
        <v>1.5701426561135345</v>
      </c>
      <c r="AM547" t="str">
        <f t="shared" si="330"/>
        <v>1+11516.1608440542i</v>
      </c>
      <c r="AN547">
        <f t="shared" si="346"/>
        <v>11516.160887471447</v>
      </c>
      <c r="AO547">
        <f t="shared" si="347"/>
        <v>1.5707094923010902</v>
      </c>
      <c r="AP547" s="42" t="str">
        <f t="shared" si="348"/>
        <v>-2.14495886197088E-06+0.00378408908840677i</v>
      </c>
      <c r="AQ547">
        <f t="shared" si="349"/>
        <v>-48.440771556619744</v>
      </c>
      <c r="AR547" s="44">
        <f t="shared" si="350"/>
        <v>90.032477321222217</v>
      </c>
      <c r="AS547" s="42" t="str">
        <f t="shared" si="351"/>
        <v>-1.28449644896244E-06-1.39079755449781E-07i</v>
      </c>
      <c r="AT547" s="20">
        <f t="shared" si="352"/>
        <v>-117.77472291424401</v>
      </c>
      <c r="AU547" s="44">
        <f t="shared" si="353"/>
        <v>-173.82033355104778</v>
      </c>
    </row>
    <row r="548" spans="14:47" x14ac:dyDescent="0.3">
      <c r="N548" s="8">
        <v>30</v>
      </c>
      <c r="O548" s="35">
        <f t="shared" si="321"/>
        <v>1995262.31496888</v>
      </c>
      <c r="P548" s="34" t="str">
        <f t="shared" si="322"/>
        <v>545.10556621881</v>
      </c>
      <c r="Q548" s="4" t="str">
        <f t="shared" si="323"/>
        <v>1+267816.487230666i</v>
      </c>
      <c r="R548" s="4">
        <f t="shared" si="331"/>
        <v>267816.48723253288</v>
      </c>
      <c r="S548" s="4">
        <f t="shared" si="332"/>
        <v>1.5707925928948281</v>
      </c>
      <c r="T548" s="4" t="str">
        <f t="shared" si="324"/>
        <v>1+6.2683014306908i</v>
      </c>
      <c r="U548" s="4">
        <f t="shared" si="333"/>
        <v>6.3475666854315378</v>
      </c>
      <c r="V548" s="4">
        <f t="shared" si="334"/>
        <v>1.4125965859837082</v>
      </c>
      <c r="W548" t="str">
        <f t="shared" si="325"/>
        <v>1-6.51151152620158i</v>
      </c>
      <c r="X548" s="4">
        <f t="shared" si="335"/>
        <v>6.5878511182217858</v>
      </c>
      <c r="Y548" s="4">
        <f t="shared" si="336"/>
        <v>-1.418412701168237</v>
      </c>
      <c r="Z548" t="str">
        <f t="shared" si="326"/>
        <v>-253.788589154238+28.1976948060597i</v>
      </c>
      <c r="AA548" s="4">
        <f t="shared" si="337"/>
        <v>255.35026527747002</v>
      </c>
      <c r="AB548" s="4">
        <f t="shared" si="338"/>
        <v>3.0309394699196379</v>
      </c>
      <c r="AC548" s="48" t="str">
        <f t="shared" si="339"/>
        <v>-0.0000348812860102083+0.00033148727559401i</v>
      </c>
      <c r="AD548" s="20">
        <f t="shared" si="340"/>
        <v>-69.542839162021266</v>
      </c>
      <c r="AE548" s="44">
        <f t="shared" si="341"/>
        <v>96.006935497465392</v>
      </c>
      <c r="AF548" t="str">
        <f t="shared" si="327"/>
        <v>-0.0000333790427773504</v>
      </c>
      <c r="AG548" t="str">
        <f t="shared" si="328"/>
        <v>0.0679483875086882i</v>
      </c>
      <c r="AH548">
        <f t="shared" si="342"/>
        <v>6.7948387508688202E-2</v>
      </c>
      <c r="AI548">
        <f t="shared" si="343"/>
        <v>1.5707963267948966</v>
      </c>
      <c r="AJ548" t="str">
        <f t="shared" si="329"/>
        <v>1+1565.45623922197i</v>
      </c>
      <c r="AK548">
        <f t="shared" si="344"/>
        <v>1565.4565586176432</v>
      </c>
      <c r="AL548">
        <f t="shared" si="345"/>
        <v>1.5701575354707271</v>
      </c>
      <c r="AM548" t="str">
        <f t="shared" si="330"/>
        <v>1+11784.4066896987i</v>
      </c>
      <c r="AN548">
        <f t="shared" si="346"/>
        <v>11784.406732127649</v>
      </c>
      <c r="AO548">
        <f t="shared" si="347"/>
        <v>1.5707114688954766</v>
      </c>
      <c r="AP548" s="42" t="str">
        <f t="shared" si="348"/>
        <v>-2.04841984989633E-06+0.00369795276627212i</v>
      </c>
      <c r="AQ548">
        <f t="shared" si="349"/>
        <v>-48.640771474574422</v>
      </c>
      <c r="AR548" s="44">
        <f t="shared" si="350"/>
        <v>90.031738047369359</v>
      </c>
      <c r="AS548" s="42" t="str">
        <f t="shared" si="351"/>
        <v>-1.22575283624822E-06-1.29668373207894E-07i</v>
      </c>
      <c r="AT548" s="20">
        <f t="shared" si="352"/>
        <v>-118.18361063659572</v>
      </c>
      <c r="AU548" s="44">
        <f t="shared" si="353"/>
        <v>-173.96132645516519</v>
      </c>
    </row>
    <row r="549" spans="14:47" x14ac:dyDescent="0.3">
      <c r="N549" s="8">
        <v>31</v>
      </c>
      <c r="O549" s="35">
        <f t="shared" si="321"/>
        <v>2041737.9446695296</v>
      </c>
      <c r="P549" s="34" t="str">
        <f t="shared" si="322"/>
        <v>545.10556621881</v>
      </c>
      <c r="Q549" s="4" t="str">
        <f t="shared" si="323"/>
        <v>1+274054.734600388i</v>
      </c>
      <c r="R549" s="4">
        <f t="shared" si="331"/>
        <v>274054.73460221244</v>
      </c>
      <c r="S549" s="4">
        <f t="shared" si="332"/>
        <v>1.5707926778887704</v>
      </c>
      <c r="T549" s="4" t="str">
        <f t="shared" si="324"/>
        <v>1+6.4143089275293i</v>
      </c>
      <c r="U549" s="4">
        <f t="shared" si="333"/>
        <v>6.4917916646933511</v>
      </c>
      <c r="V549" s="4">
        <f t="shared" si="334"/>
        <v>1.416139855746664</v>
      </c>
      <c r="W549" t="str">
        <f t="shared" si="325"/>
        <v>1-6.66318411391742i</v>
      </c>
      <c r="X549" s="4">
        <f t="shared" si="335"/>
        <v>6.7378054688423195</v>
      </c>
      <c r="Y549" s="4">
        <f t="shared" si="336"/>
        <v>-1.4218297068244843</v>
      </c>
      <c r="Z549" t="str">
        <f t="shared" si="326"/>
        <v>-265.796405421013+28.8545034935122i</v>
      </c>
      <c r="AA549" s="4">
        <f t="shared" si="337"/>
        <v>267.35802121235974</v>
      </c>
      <c r="AB549" s="4">
        <f t="shared" si="338"/>
        <v>3.0334574502454412</v>
      </c>
      <c r="AC549" s="48" t="str">
        <f t="shared" si="339"/>
        <v>-0.0000332798134028862+0.000323705441148759i</v>
      </c>
      <c r="AD549" s="20">
        <f t="shared" si="340"/>
        <v>-69.751337377535918</v>
      </c>
      <c r="AE549" s="44">
        <f t="shared" si="341"/>
        <v>95.86989538252412</v>
      </c>
      <c r="AF549" t="str">
        <f t="shared" si="327"/>
        <v>-0.0000333790427773504</v>
      </c>
      <c r="AG549" t="str">
        <f t="shared" si="328"/>
        <v>0.0695311087744178i</v>
      </c>
      <c r="AH549">
        <f t="shared" si="342"/>
        <v>6.9531108774417802E-2</v>
      </c>
      <c r="AI549">
        <f t="shared" si="343"/>
        <v>1.5707963267948966</v>
      </c>
      <c r="AJ549" t="str">
        <f t="shared" si="329"/>
        <v>1+1601.92039931802i</v>
      </c>
      <c r="AK549">
        <f t="shared" si="344"/>
        <v>1601.9207114433611</v>
      </c>
      <c r="AL549">
        <f t="shared" si="345"/>
        <v>1.570172076132673</v>
      </c>
      <c r="AM549" t="str">
        <f t="shared" si="330"/>
        <v>1+12058.9007837551i</v>
      </c>
      <c r="AN549">
        <f t="shared" si="346"/>
        <v>12058.900825218248</v>
      </c>
      <c r="AO549">
        <f t="shared" si="347"/>
        <v>1.5707134004970822</v>
      </c>
      <c r="AP549" s="42" t="str">
        <f t="shared" si="348"/>
        <v>-1.95622580563715E-06+0.00361377714208981i</v>
      </c>
      <c r="AQ549">
        <f t="shared" si="349"/>
        <v>-48.84077139622174</v>
      </c>
      <c r="AR549" s="44">
        <f t="shared" si="350"/>
        <v>90.031015601428237</v>
      </c>
      <c r="AS549" s="42" t="str">
        <f t="shared" si="351"/>
        <v>-0.0000011697342211637-1.20899069905765E-07i</v>
      </c>
      <c r="AT549" s="20">
        <f t="shared" si="352"/>
        <v>-118.59210877375764</v>
      </c>
      <c r="AU549" s="44">
        <f t="shared" si="353"/>
        <v>-174.09908901604763</v>
      </c>
    </row>
    <row r="550" spans="14:47" x14ac:dyDescent="0.3">
      <c r="N550" s="8">
        <v>32</v>
      </c>
      <c r="O550" s="35">
        <f t="shared" si="321"/>
        <v>2089296.1308540432</v>
      </c>
      <c r="P550" s="34" t="str">
        <f t="shared" si="322"/>
        <v>545.10556621881</v>
      </c>
      <c r="Q550" s="4" t="str">
        <f t="shared" si="323"/>
        <v>1+280438.289417941i</v>
      </c>
      <c r="R550" s="4">
        <f t="shared" si="331"/>
        <v>280438.28941972391</v>
      </c>
      <c r="S550" s="4">
        <f t="shared" si="332"/>
        <v>1.5707927609480143</v>
      </c>
      <c r="T550" s="4" t="str">
        <f t="shared" si="324"/>
        <v>1+6.56371737586465i</v>
      </c>
      <c r="U550" s="4">
        <f t="shared" si="333"/>
        <v>6.6394567390884882</v>
      </c>
      <c r="V550" s="4">
        <f t="shared" si="334"/>
        <v>1.4196062575802153</v>
      </c>
      <c r="W550" t="str">
        <f t="shared" si="325"/>
        <v>1-6.81838961004818i</v>
      </c>
      <c r="X550" s="4">
        <f t="shared" si="335"/>
        <v>6.8913305590729701</v>
      </c>
      <c r="Y550" s="4">
        <f t="shared" si="336"/>
        <v>-1.4251723218011245</v>
      </c>
      <c r="Z550" t="str">
        <f t="shared" si="326"/>
        <v>-278.370132633708+29.5266112206518i</v>
      </c>
      <c r="AA550" s="4">
        <f t="shared" si="337"/>
        <v>279.93169079738669</v>
      </c>
      <c r="AB550" s="4">
        <f t="shared" si="338"/>
        <v>3.0359181683679766</v>
      </c>
      <c r="AC550" s="48" t="str">
        <f t="shared" si="339"/>
        <v>-0.0000317531825211582+0.000316116295696378i</v>
      </c>
      <c r="AD550" s="20">
        <f t="shared" si="340"/>
        <v>-69.959462641464512</v>
      </c>
      <c r="AE550" s="44">
        <f t="shared" si="341"/>
        <v>95.735994325047557</v>
      </c>
      <c r="AF550" t="str">
        <f t="shared" si="327"/>
        <v>-0.0000333790427773504</v>
      </c>
      <c r="AG550" t="str">
        <f t="shared" si="328"/>
        <v>0.0711506963543727i</v>
      </c>
      <c r="AH550">
        <f t="shared" si="342"/>
        <v>7.1150696354372697E-2</v>
      </c>
      <c r="AI550">
        <f t="shared" si="343"/>
        <v>1.5707963267948966</v>
      </c>
      <c r="AJ550" t="str">
        <f t="shared" si="329"/>
        <v>1+1639.23391881372i</v>
      </c>
      <c r="AK550">
        <f t="shared" si="344"/>
        <v>1639.2342238342226</v>
      </c>
      <c r="AL550">
        <f t="shared" si="345"/>
        <v>1.570186285808999</v>
      </c>
      <c r="AM550" t="str">
        <f t="shared" si="330"/>
        <v>1+12339.7886666256i</v>
      </c>
      <c r="AN550">
        <f t="shared" si="346"/>
        <v>12339.788707144931</v>
      </c>
      <c r="AO550">
        <f t="shared" si="347"/>
        <v>1.5707152881300679</v>
      </c>
      <c r="AP550" s="42" t="str">
        <f t="shared" si="348"/>
        <v>-1.86818117373313E-06+0.00353151758520036i</v>
      </c>
      <c r="AQ550">
        <f t="shared" si="349"/>
        <v>-49.040771321395383</v>
      </c>
      <c r="AR550" s="44">
        <f t="shared" si="350"/>
        <v>90.030309600349867</v>
      </c>
      <c r="AS550" s="42" t="str">
        <f t="shared" si="351"/>
        <v>-1.11631093652236E-06-1.12727484971877E-07i</v>
      </c>
      <c r="AT550" s="20">
        <f t="shared" si="352"/>
        <v>-119.00023396285991</v>
      </c>
      <c r="AU550" s="44">
        <f t="shared" si="353"/>
        <v>-174.23369607460253</v>
      </c>
    </row>
    <row r="551" spans="14:47" x14ac:dyDescent="0.3">
      <c r="N551" s="8">
        <v>33</v>
      </c>
      <c r="O551" s="35">
        <f t="shared" si="321"/>
        <v>2137962.0895022359</v>
      </c>
      <c r="P551" s="34" t="str">
        <f t="shared" si="322"/>
        <v>545.10556621881</v>
      </c>
      <c r="Q551" s="4" t="str">
        <f t="shared" si="323"/>
        <v>1+286970.53632858i</v>
      </c>
      <c r="R551" s="4">
        <f t="shared" si="331"/>
        <v>286970.53633032239</v>
      </c>
      <c r="S551" s="4">
        <f t="shared" si="332"/>
        <v>1.5707928421165991</v>
      </c>
      <c r="T551" s="4" t="str">
        <f t="shared" si="324"/>
        <v>1+6.7166059940337i</v>
      </c>
      <c r="U551" s="4">
        <f t="shared" si="333"/>
        <v>6.7906403290919064</v>
      </c>
      <c r="V551" s="4">
        <f t="shared" si="334"/>
        <v>1.4229972960284401</v>
      </c>
      <c r="W551" t="str">
        <f t="shared" si="325"/>
        <v>1-6.97721030660219i</v>
      </c>
      <c r="X551" s="4">
        <f t="shared" si="335"/>
        <v>7.048507903276823</v>
      </c>
      <c r="Y551" s="4">
        <f t="shared" si="336"/>
        <v>-1.4284420194636185</v>
      </c>
      <c r="Z551" t="str">
        <f t="shared" si="326"/>
        <v>-291.536441353521+30.2143743478912i</v>
      </c>
      <c r="AA551" s="4">
        <f t="shared" si="337"/>
        <v>293.09794447301999</v>
      </c>
      <c r="AB551" s="4">
        <f t="shared" si="338"/>
        <v>3.0383229240138774</v>
      </c>
      <c r="AC551" s="48" t="str">
        <f t="shared" si="339"/>
        <v>-0.0000302977834439446+0.000308714438508127i</v>
      </c>
      <c r="AD551" s="20">
        <f t="shared" si="340"/>
        <v>-70.167230918649722</v>
      </c>
      <c r="AE551" s="44">
        <f t="shared" si="341"/>
        <v>95.605159640065011</v>
      </c>
      <c r="AF551" t="str">
        <f t="shared" si="327"/>
        <v>-0.0000333790427773504</v>
      </c>
      <c r="AG551" t="str">
        <f t="shared" si="328"/>
        <v>0.0728080089753254i</v>
      </c>
      <c r="AH551">
        <f t="shared" si="342"/>
        <v>7.2808008975325397E-2</v>
      </c>
      <c r="AI551">
        <f t="shared" si="343"/>
        <v>1.5707963267948966</v>
      </c>
      <c r="AJ551" t="str">
        <f t="shared" si="329"/>
        <v>1+1677.416581831i</v>
      </c>
      <c r="AK551">
        <f t="shared" si="344"/>
        <v>1677.4168799083893</v>
      </c>
      <c r="AL551">
        <f t="shared" si="345"/>
        <v>1.5702001720338403</v>
      </c>
      <c r="AM551" t="str">
        <f t="shared" si="330"/>
        <v>1+12627.2192687834i</v>
      </c>
      <c r="AN551">
        <f t="shared" si="346"/>
        <v>12627.219308380398</v>
      </c>
      <c r="AO551">
        <f t="shared" si="347"/>
        <v>1.5707171327952818</v>
      </c>
      <c r="AP551" s="42" t="str">
        <f t="shared" si="348"/>
        <v>-1.78409920014273E-06+0.00345113048084362i</v>
      </c>
      <c r="AQ551">
        <f t="shared" si="349"/>
        <v>-49.240771249936941</v>
      </c>
      <c r="AR551" s="44">
        <f t="shared" si="350"/>
        <v>90.029619669804447</v>
      </c>
      <c r="AS551" s="42" t="str">
        <f t="shared" si="351"/>
        <v>-1.06535975436071E-06-1.05112381128211E-07i</v>
      </c>
      <c r="AT551" s="20">
        <f t="shared" si="352"/>
        <v>-119.40800216858668</v>
      </c>
      <c r="AU551" s="44">
        <f t="shared" si="353"/>
        <v>-174.36522069013051</v>
      </c>
    </row>
    <row r="552" spans="14:47" x14ac:dyDescent="0.3">
      <c r="N552" s="8">
        <v>34</v>
      </c>
      <c r="O552" s="35">
        <f t="shared" si="321"/>
        <v>2187761.6239495561</v>
      </c>
      <c r="P552" s="34" t="str">
        <f t="shared" si="322"/>
        <v>545.10556621881</v>
      </c>
      <c r="Q552" s="4" t="str">
        <f t="shared" si="323"/>
        <v>1+293654.938816086i</v>
      </c>
      <c r="R552" s="4">
        <f t="shared" si="331"/>
        <v>293654.93881778867</v>
      </c>
      <c r="S552" s="4">
        <f t="shared" si="332"/>
        <v>1.5707929214375611</v>
      </c>
      <c r="T552" s="4" t="str">
        <f t="shared" si="324"/>
        <v>1+6.8730558456056i</v>
      </c>
      <c r="U552" s="4">
        <f t="shared" si="333"/>
        <v>6.9454227126081607</v>
      </c>
      <c r="V552" s="4">
        <f t="shared" si="334"/>
        <v>1.4263144569512911</v>
      </c>
      <c r="W552" t="str">
        <f t="shared" si="325"/>
        <v>1-7.13973041241508i</v>
      </c>
      <c r="X552" s="4">
        <f t="shared" si="335"/>
        <v>7.2094209449833633</v>
      </c>
      <c r="Y552" s="4">
        <f t="shared" si="336"/>
        <v>-1.4316402536545685</v>
      </c>
      <c r="Z552" t="str">
        <f t="shared" si="326"/>
        <v>-305.323259086489+30.9181575363445i</v>
      </c>
      <c r="AA552" s="4">
        <f t="shared" si="337"/>
        <v>306.88470962991539</v>
      </c>
      <c r="AB552" s="4">
        <f t="shared" si="338"/>
        <v>3.0406729875850549</v>
      </c>
      <c r="AC552" s="48" t="str">
        <f t="shared" si="339"/>
        <v>-0.0000289101897557138+0.000301494656967051i</v>
      </c>
      <c r="AD552" s="20">
        <f t="shared" si="340"/>
        <v>-70.374657525353385</v>
      </c>
      <c r="AE552" s="44">
        <f t="shared" si="341"/>
        <v>95.477320370901936</v>
      </c>
      <c r="AF552" t="str">
        <f t="shared" si="327"/>
        <v>-0.0000333790427773504</v>
      </c>
      <c r="AG552" t="str">
        <f t="shared" si="328"/>
        <v>0.0745039253663647i</v>
      </c>
      <c r="AH552">
        <f t="shared" si="342"/>
        <v>7.4503925366364701E-2</v>
      </c>
      <c r="AI552">
        <f t="shared" si="343"/>
        <v>1.5707963267948966</v>
      </c>
      <c r="AJ552" t="str">
        <f t="shared" si="329"/>
        <v>1+1716.4886333232i</v>
      </c>
      <c r="AK552">
        <f t="shared" si="344"/>
        <v>1716.488924615521</v>
      </c>
      <c r="AL552">
        <f t="shared" si="345"/>
        <v>1.5702137421698361</v>
      </c>
      <c r="AM552" t="str">
        <f t="shared" si="330"/>
        <v>1+12921.3449897386i</v>
      </c>
      <c r="AN552">
        <f t="shared" si="346"/>
        <v>12921.345028434262</v>
      </c>
      <c r="AO552">
        <f t="shared" si="347"/>
        <v>1.5707189354707893</v>
      </c>
      <c r="AP552" s="42" t="str">
        <f t="shared" si="348"/>
        <v>-0.0000017038015361165+0.00337257320703569i</v>
      </c>
      <c r="AQ552">
        <f t="shared" si="349"/>
        <v>-49.440771181694608</v>
      </c>
      <c r="AR552" s="44">
        <f t="shared" si="350"/>
        <v>90.028945443982892</v>
      </c>
      <c r="AS552" s="42" t="str">
        <f t="shared" si="351"/>
        <v>-1.01676354492578E-06-9.80154184401094E-08i</v>
      </c>
      <c r="AT552" s="20">
        <f t="shared" si="352"/>
        <v>-119.81542870704797</v>
      </c>
      <c r="AU552" s="44">
        <f t="shared" si="353"/>
        <v>-174.49373418511516</v>
      </c>
    </row>
    <row r="553" spans="14:47" x14ac:dyDescent="0.3">
      <c r="N553" s="8">
        <v>35</v>
      </c>
      <c r="O553" s="35">
        <f t="shared" si="321"/>
        <v>2238721.1385683389</v>
      </c>
      <c r="P553" s="34" t="str">
        <f t="shared" si="322"/>
        <v>545.10556621881</v>
      </c>
      <c r="Q553" s="4" t="str">
        <f t="shared" si="323"/>
        <v>1+300495.041039133i</v>
      </c>
      <c r="R553" s="4">
        <f t="shared" si="331"/>
        <v>300495.0410407969</v>
      </c>
      <c r="S553" s="4">
        <f t="shared" si="332"/>
        <v>1.5707929989529577</v>
      </c>
      <c r="T553" s="4" t="str">
        <f t="shared" si="324"/>
        <v>1+7.03314988236245i</v>
      </c>
      <c r="U553" s="4">
        <f t="shared" si="333"/>
        <v>7.1038860680457807</v>
      </c>
      <c r="V553" s="4">
        <f t="shared" si="334"/>
        <v>1.4295592069951746</v>
      </c>
      <c r="W553" t="str">
        <f t="shared" si="325"/>
        <v>1-7.30603609779809i</v>
      </c>
      <c r="X553" s="4">
        <f t="shared" si="335"/>
        <v>7.3741551015915547</v>
      </c>
      <c r="Y553" s="4">
        <f t="shared" si="336"/>
        <v>-1.4347684582728442</v>
      </c>
      <c r="Z553" t="str">
        <f t="shared" si="326"/>
        <v>-319.759829521453+31.6383339411735i</v>
      </c>
      <c r="AA553" s="4">
        <f t="shared" si="337"/>
        <v>321.32122984664727</v>
      </c>
      <c r="AB553" s="4">
        <f t="shared" si="338"/>
        <v>3.042969600807476</v>
      </c>
      <c r="AC553" s="48" t="str">
        <f t="shared" si="339"/>
        <v>-0.000027587148464573+0.000294451918210732i</v>
      </c>
      <c r="AD553" s="20">
        <f t="shared" si="340"/>
        <v>-70.581757152575889</v>
      </c>
      <c r="AE553" s="44">
        <f t="shared" si="341"/>
        <v>95.352407245787134</v>
      </c>
      <c r="AF553" t="str">
        <f t="shared" si="327"/>
        <v>-0.0000333790427773504</v>
      </c>
      <c r="AG553" t="str">
        <f t="shared" si="328"/>
        <v>0.0762393447248092i</v>
      </c>
      <c r="AH553">
        <f t="shared" si="342"/>
        <v>7.6239344724809199E-2</v>
      </c>
      <c r="AI553">
        <f t="shared" si="343"/>
        <v>1.5707963267948966</v>
      </c>
      <c r="AJ553" t="str">
        <f t="shared" si="329"/>
        <v>1+1756.47078980919i</v>
      </c>
      <c r="AK553">
        <f t="shared" si="344"/>
        <v>1756.4710744708891</v>
      </c>
      <c r="AL553">
        <f t="shared" si="345"/>
        <v>1.570227003412032</v>
      </c>
      <c r="AM553" t="str">
        <f t="shared" si="330"/>
        <v>1+13222.3217788414i</v>
      </c>
      <c r="AN553">
        <f t="shared" si="346"/>
        <v>13222.32181665624</v>
      </c>
      <c r="AO553">
        <f t="shared" si="347"/>
        <v>1.570720697112393</v>
      </c>
      <c r="AP553" s="42" t="str">
        <f t="shared" si="348"/>
        <v>-0.0000016271178598986+0.0032958041119714i</v>
      </c>
      <c r="AQ553">
        <f t="shared" si="349"/>
        <v>-49.640771116523659</v>
      </c>
      <c r="AR553" s="44">
        <f t="shared" si="350"/>
        <v>90.02828656540288</v>
      </c>
      <c r="AS553" s="42" t="str">
        <f t="shared" si="351"/>
        <v>-9.70410955274826E-07-9.14009453221073E-08i</v>
      </c>
      <c r="AT553" s="20">
        <f t="shared" si="352"/>
        <v>-120.22252826909956</v>
      </c>
      <c r="AU553" s="44">
        <f t="shared" si="353"/>
        <v>-174.61930618880996</v>
      </c>
    </row>
    <row r="554" spans="14:47" x14ac:dyDescent="0.3">
      <c r="N554" s="8">
        <v>36</v>
      </c>
      <c r="O554" s="35">
        <f t="shared" si="321"/>
        <v>2290867.6527677765</v>
      </c>
      <c r="P554" s="34" t="str">
        <f t="shared" si="322"/>
        <v>545.10556621881</v>
      </c>
      <c r="Q554" s="4" t="str">
        <f t="shared" si="323"/>
        <v>1+307494.469710464i</v>
      </c>
      <c r="R554" s="4">
        <f t="shared" si="331"/>
        <v>307494.4697120901</v>
      </c>
      <c r="S554" s="4">
        <f t="shared" si="332"/>
        <v>1.5707930747038885</v>
      </c>
      <c r="T554" s="4" t="str">
        <f t="shared" si="324"/>
        <v>1+7.19697298828175i</v>
      </c>
      <c r="U554" s="4">
        <f t="shared" si="333"/>
        <v>7.2661145183693003</v>
      </c>
      <c r="V554" s="4">
        <f t="shared" si="334"/>
        <v>1.4327329931306212</v>
      </c>
      <c r="W554" t="str">
        <f t="shared" si="325"/>
        <v>1-7.47621554022706i</v>
      </c>
      <c r="X554" s="4">
        <f t="shared" si="335"/>
        <v>7.5427978100922601</v>
      </c>
      <c r="Y554" s="4">
        <f t="shared" si="336"/>
        <v>-1.4378280469127667</v>
      </c>
      <c r="Z554" t="str">
        <f t="shared" si="326"/>
        <v>-334.876774559858+32.3752854094414i</v>
      </c>
      <c r="AA554" s="4">
        <f t="shared" si="337"/>
        <v>336.43812691928468</v>
      </c>
      <c r="AB554" s="4">
        <f t="shared" si="338"/>
        <v>3.0452139773665685</v>
      </c>
      <c r="AC554" s="48" t="str">
        <f t="shared" si="339"/>
        <v>-0.0000263255705309255+0.000287581361206629i</v>
      </c>
      <c r="AD554" s="20">
        <f t="shared" si="340"/>
        <v>-70.788543888807354</v>
      </c>
      <c r="AE554" s="44">
        <f t="shared" si="341"/>
        <v>95.23035263562889</v>
      </c>
      <c r="AF554" t="str">
        <f t="shared" si="327"/>
        <v>-0.0000333790427773504</v>
      </c>
      <c r="AG554" t="str">
        <f t="shared" si="328"/>
        <v>0.0780151871929741i</v>
      </c>
      <c r="AH554">
        <f t="shared" si="342"/>
        <v>7.8015187192974095E-2</v>
      </c>
      <c r="AI554">
        <f t="shared" si="343"/>
        <v>1.5707963267948966</v>
      </c>
      <c r="AJ554" t="str">
        <f t="shared" si="329"/>
        <v>1+1797.3842503576i</v>
      </c>
      <c r="AK554">
        <f t="shared" si="344"/>
        <v>1797.3845285396087</v>
      </c>
      <c r="AL554">
        <f t="shared" si="345"/>
        <v>1.5702399627916954</v>
      </c>
      <c r="AM554" t="str">
        <f t="shared" si="330"/>
        <v>1+13530.3092179697i</v>
      </c>
      <c r="AN554">
        <f t="shared" si="346"/>
        <v>13530.30925492377</v>
      </c>
      <c r="AO554">
        <f t="shared" si="347"/>
        <v>1.5707224186541386</v>
      </c>
      <c r="AP554" s="42" t="str">
        <f t="shared" si="348"/>
        <v>-1.55388551545462E-06+0.00322078249194149i</v>
      </c>
      <c r="AQ554">
        <f t="shared" si="349"/>
        <v>-49.840771054285938</v>
      </c>
      <c r="AR554" s="44">
        <f t="shared" si="350"/>
        <v>90.027642684719339</v>
      </c>
      <c r="AS554" s="42" t="str">
        <f t="shared" si="351"/>
        <v>-9.26196106260278E-07-8.52358051680694E-08i</v>
      </c>
      <c r="AT554" s="20">
        <f t="shared" si="352"/>
        <v>-120.62931494309328</v>
      </c>
      <c r="AU554" s="44">
        <f t="shared" si="353"/>
        <v>-174.74200467965176</v>
      </c>
    </row>
    <row r="555" spans="14:47" x14ac:dyDescent="0.3">
      <c r="N555" s="8">
        <v>37</v>
      </c>
      <c r="O555" s="35">
        <f t="shared" si="321"/>
        <v>2344228.8153199251</v>
      </c>
      <c r="P555" s="34" t="str">
        <f t="shared" si="322"/>
        <v>545.10556621881</v>
      </c>
      <c r="Q555" s="4" t="str">
        <f t="shared" si="323"/>
        <v>1+314656.936019805i</v>
      </c>
      <c r="R555" s="4">
        <f t="shared" si="331"/>
        <v>314656.9360213941</v>
      </c>
      <c r="S555" s="4">
        <f t="shared" si="332"/>
        <v>1.5707931487305176</v>
      </c>
      <c r="T555" s="4" t="str">
        <f t="shared" si="324"/>
        <v>1+7.3646120245426i</v>
      </c>
      <c r="U555" s="4">
        <f t="shared" si="333"/>
        <v>7.432194176152656</v>
      </c>
      <c r="V555" s="4">
        <f t="shared" si="334"/>
        <v>1.4358372422526975</v>
      </c>
      <c r="W555" t="str">
        <f t="shared" si="325"/>
        <v>1-7.65035897109483i</v>
      </c>
      <c r="X555" s="4">
        <f t="shared" si="335"/>
        <v>7.7154385738343585</v>
      </c>
      <c r="Y555" s="4">
        <f t="shared" si="336"/>
        <v>-1.4408204125593311</v>
      </c>
      <c r="Z555" t="str">
        <f t="shared" si="326"/>
        <v>-350.706159268883+33.1294026825708i</v>
      </c>
      <c r="AA555" s="4">
        <f t="shared" si="337"/>
        <v>352.26746581430859</v>
      </c>
      <c r="AB555" s="4">
        <f t="shared" si="338"/>
        <v>3.047407303529448</v>
      </c>
      <c r="AC555" s="48" t="str">
        <f t="shared" si="339"/>
        <v>-0.0000251225219658807+0.000280878289237177i</v>
      </c>
      <c r="AD555" s="20">
        <f t="shared" si="340"/>
        <v>-70.995031242198209</v>
      </c>
      <c r="AE555" s="44">
        <f t="shared" si="341"/>
        <v>95.111090512930943</v>
      </c>
      <c r="AF555" t="str">
        <f t="shared" si="327"/>
        <v>-0.0000333790427773504</v>
      </c>
      <c r="AG555" t="str">
        <f t="shared" si="328"/>
        <v>0.0798323943460416i</v>
      </c>
      <c r="AH555">
        <f t="shared" si="342"/>
        <v>7.9832394346041599E-2</v>
      </c>
      <c r="AI555">
        <f t="shared" si="343"/>
        <v>1.5707963267948966</v>
      </c>
      <c r="AJ555" t="str">
        <f t="shared" si="329"/>
        <v>1+1839.25070782673i</v>
      </c>
      <c r="AK555">
        <f t="shared" si="344"/>
        <v>1839.2509796765441</v>
      </c>
      <c r="AL555">
        <f t="shared" si="345"/>
        <v>1.5702526271800437</v>
      </c>
      <c r="AM555" t="str">
        <f t="shared" si="330"/>
        <v>1+13845.4706061401i</v>
      </c>
      <c r="AN555">
        <f t="shared" si="346"/>
        <v>13845.470642252991</v>
      </c>
      <c r="AO555">
        <f t="shared" si="347"/>
        <v>1.5707241010088104</v>
      </c>
      <c r="AP555" s="42" t="str">
        <f t="shared" si="348"/>
        <v>-0.0000014839491674591+0.00314746856975241i</v>
      </c>
      <c r="AQ555">
        <f t="shared" si="349"/>
        <v>-50.040770994849311</v>
      </c>
      <c r="AR555" s="44">
        <f t="shared" si="350"/>
        <v>90.027013460539209</v>
      </c>
      <c r="AS555" s="42" t="str">
        <f t="shared" si="351"/>
        <v>-8.84018306754285E-07-7.94891573839949E-08i</v>
      </c>
      <c r="AT555" s="20">
        <f t="shared" si="352"/>
        <v>-121.03580223704752</v>
      </c>
      <c r="AU555" s="44">
        <f t="shared" si="353"/>
        <v>-174.86189602652982</v>
      </c>
    </row>
    <row r="556" spans="14:47" x14ac:dyDescent="0.3">
      <c r="N556" s="8">
        <v>38</v>
      </c>
      <c r="O556" s="35">
        <f t="shared" si="321"/>
        <v>2398832.9190194933</v>
      </c>
      <c r="P556" s="34" t="str">
        <f t="shared" si="322"/>
        <v>545.10556621881</v>
      </c>
      <c r="Q556" s="4" t="str">
        <f t="shared" si="323"/>
        <v>1+321986.237601599i</v>
      </c>
      <c r="R556" s="4">
        <f t="shared" si="331"/>
        <v>321986.23760315188</v>
      </c>
      <c r="S556" s="4">
        <f t="shared" si="332"/>
        <v>1.5707932210720947</v>
      </c>
      <c r="T556" s="4" t="str">
        <f t="shared" si="324"/>
        <v>1+7.536155875581i</v>
      </c>
      <c r="U556" s="4">
        <f t="shared" si="333"/>
        <v>7.6022131896608913</v>
      </c>
      <c r="V556" s="4">
        <f t="shared" si="334"/>
        <v>1.4388733608400732</v>
      </c>
      <c r="W556" t="str">
        <f t="shared" si="325"/>
        <v>1-7.82855872355352i</v>
      </c>
      <c r="X556" s="4">
        <f t="shared" si="335"/>
        <v>7.8921690103624815</v>
      </c>
      <c r="Y556" s="4">
        <f t="shared" si="336"/>
        <v>-1.443746927335698</v>
      </c>
      <c r="Z556" t="str">
        <f t="shared" si="326"/>
        <v>-367.281559895782+33.9010856035218i</v>
      </c>
      <c r="AA556" s="4">
        <f t="shared" si="337"/>
        <v>368.84282268274677</v>
      </c>
      <c r="AB556" s="4">
        <f t="shared" si="338"/>
        <v>3.0495507387541712</v>
      </c>
      <c r="AC556" s="48" t="str">
        <f t="shared" si="339"/>
        <v>-0.0000239752154615433+0.000274338162772836i</v>
      </c>
      <c r="AD556" s="20">
        <f t="shared" si="340"/>
        <v>-71.201232162140599</v>
      </c>
      <c r="AE556" s="44">
        <f t="shared" si="341"/>
        <v>94.994556411816887</v>
      </c>
      <c r="AF556" t="str">
        <f t="shared" si="327"/>
        <v>-0.0000333790427773504</v>
      </c>
      <c r="AG556" t="str">
        <f t="shared" si="328"/>
        <v>0.081691929691298i</v>
      </c>
      <c r="AH556">
        <f t="shared" si="342"/>
        <v>8.1691929691298001E-2</v>
      </c>
      <c r="AI556">
        <f t="shared" si="343"/>
        <v>1.5707963267948966</v>
      </c>
      <c r="AJ556" t="str">
        <f t="shared" si="329"/>
        <v>1+1882.0923603665i</v>
      </c>
      <c r="AK556">
        <f t="shared" si="344"/>
        <v>1882.0926260282581</v>
      </c>
      <c r="AL556">
        <f t="shared" si="345"/>
        <v>1.5702650032918866</v>
      </c>
      <c r="AM556" t="str">
        <f t="shared" si="330"/>
        <v>1+14167.9730460923i</v>
      </c>
      <c r="AN556">
        <f t="shared" si="346"/>
        <v>14167.973081383161</v>
      </c>
      <c r="AO556">
        <f t="shared" si="347"/>
        <v>1.5707257450684149</v>
      </c>
      <c r="AP556" s="42" t="str">
        <f t="shared" si="348"/>
        <v>-1.41716047181091E-06+0.00307582347363704i</v>
      </c>
      <c r="AQ556">
        <f t="shared" si="349"/>
        <v>-50.240770938087707</v>
      </c>
      <c r="AR556" s="44">
        <f t="shared" si="350"/>
        <v>90.026398559240434</v>
      </c>
      <c r="AS556" s="42" t="str">
        <f t="shared" si="351"/>
        <v>-8.43781784043493E-07-7.41323117023115E-08i</v>
      </c>
      <c r="AT556" s="20">
        <f t="shared" si="352"/>
        <v>-121.44200310022831</v>
      </c>
      <c r="AU556" s="44">
        <f t="shared" si="353"/>
        <v>-174.97904502894266</v>
      </c>
    </row>
    <row r="557" spans="14:47" x14ac:dyDescent="0.3">
      <c r="N557" s="8">
        <v>39</v>
      </c>
      <c r="O557" s="35">
        <f t="shared" si="321"/>
        <v>2454708.915685033</v>
      </c>
      <c r="P557" s="34" t="str">
        <f t="shared" si="322"/>
        <v>545.10556621881</v>
      </c>
      <c r="Q557" s="4" t="str">
        <f t="shared" si="323"/>
        <v>1+329486.260548561i</v>
      </c>
      <c r="R557" s="4">
        <f t="shared" si="331"/>
        <v>329486.26055007847</v>
      </c>
      <c r="S557" s="4">
        <f t="shared" si="332"/>
        <v>1.5707932917669767</v>
      </c>
      <c r="T557" s="4" t="str">
        <f t="shared" si="324"/>
        <v>1+7.71169549621745i</v>
      </c>
      <c r="U557" s="4">
        <f t="shared" si="333"/>
        <v>7.7762617899849857</v>
      </c>
      <c r="V557" s="4">
        <f t="shared" si="334"/>
        <v>1.4418427346687916</v>
      </c>
      <c r="W557" t="str">
        <f t="shared" si="325"/>
        <v>1-8.01090928147066i</v>
      </c>
      <c r="X557" s="4">
        <f t="shared" si="335"/>
        <v>8.0730829003518068</v>
      </c>
      <c r="Y557" s="4">
        <f t="shared" si="336"/>
        <v>-1.4466089422993151</v>
      </c>
      <c r="Z557" t="str">
        <f t="shared" si="326"/>
        <v>-384.638135087589+34.6907433287938i</v>
      </c>
      <c r="AA557" s="4">
        <f t="shared" si="337"/>
        <v>386.19935607968404</v>
      </c>
      <c r="AB557" s="4">
        <f t="shared" si="338"/>
        <v>3.0516454162862088</v>
      </c>
      <c r="AC557" s="48" t="str">
        <f t="shared" si="339"/>
        <v>-0.0000228810025180577+0.000267956592712373i</v>
      </c>
      <c r="AD557" s="20">
        <f t="shared" si="340"/>
        <v>-71.40715906025298</v>
      </c>
      <c r="AE557" s="44">
        <f t="shared" si="341"/>
        <v>94.880687389135531</v>
      </c>
      <c r="AF557" t="str">
        <f t="shared" si="327"/>
        <v>-0.0000333790427773504</v>
      </c>
      <c r="AG557" t="str">
        <f t="shared" si="328"/>
        <v>0.0835947791789974i</v>
      </c>
      <c r="AH557">
        <f t="shared" si="342"/>
        <v>8.3594779178997394E-2</v>
      </c>
      <c r="AI557">
        <f t="shared" si="343"/>
        <v>1.5707963267948966</v>
      </c>
      <c r="AJ557" t="str">
        <f t="shared" si="329"/>
        <v>1+1925.93192318818i</v>
      </c>
      <c r="AK557">
        <f t="shared" si="344"/>
        <v>1925.9321828027389</v>
      </c>
      <c r="AL557">
        <f t="shared" si="345"/>
        <v>1.5702770976891876</v>
      </c>
      <c r="AM557" t="str">
        <f t="shared" si="330"/>
        <v>1+14497.9875328888i</v>
      </c>
      <c r="AN557">
        <f t="shared" si="346"/>
        <v>14497.987567376342</v>
      </c>
      <c r="AO557">
        <f t="shared" si="347"/>
        <v>1.5707273517046543</v>
      </c>
      <c r="AP557" s="42" t="str">
        <f t="shared" si="348"/>
        <v>-0.0000013533777609778+0.00300580921664553i</v>
      </c>
      <c r="AQ557">
        <f t="shared" si="349"/>
        <v>-50.440770883880937</v>
      </c>
      <c r="AR557" s="44">
        <f t="shared" si="350"/>
        <v>90.025797654795056</v>
      </c>
      <c r="AS557" s="42" t="str">
        <f t="shared" si="351"/>
        <v>-8.05395429395827E-07-6.91385747483517E-08i</v>
      </c>
      <c r="AT557" s="20">
        <f t="shared" si="352"/>
        <v>-121.84792994413391</v>
      </c>
      <c r="AU557" s="44">
        <f t="shared" si="353"/>
        <v>-175.09351495606938</v>
      </c>
    </row>
    <row r="558" spans="14:47" x14ac:dyDescent="0.3">
      <c r="N558" s="8">
        <v>40</v>
      </c>
      <c r="O558" s="35">
        <f t="shared" si="321"/>
        <v>2511886.431509587</v>
      </c>
      <c r="P558" s="34" t="str">
        <f t="shared" si="322"/>
        <v>545.10556621881</v>
      </c>
      <c r="Q558" s="4" t="str">
        <f t="shared" si="323"/>
        <v>1+337160.981472135i</v>
      </c>
      <c r="R558" s="4">
        <f t="shared" si="331"/>
        <v>337160.9814736179</v>
      </c>
      <c r="S558" s="4">
        <f t="shared" si="332"/>
        <v>1.5707933608526465</v>
      </c>
      <c r="T558" s="4" t="str">
        <f t="shared" si="324"/>
        <v>1+7.8913239598824i</v>
      </c>
      <c r="U558" s="4">
        <f t="shared" si="333"/>
        <v>7.9544323392567771</v>
      </c>
      <c r="V558" s="4">
        <f t="shared" si="334"/>
        <v>1.4447467285770232</v>
      </c>
      <c r="W558" t="str">
        <f t="shared" si="325"/>
        <v>1-8.19750732952581i</v>
      </c>
      <c r="X558" s="4">
        <f t="shared" si="335"/>
        <v>8.2582762376678431</v>
      </c>
      <c r="Y558" s="4">
        <f t="shared" si="336"/>
        <v>-1.449407787283258</v>
      </c>
      <c r="Z558" t="str">
        <f t="shared" si="326"/>
        <v>-402.812700467326+35.4987945453652i</v>
      </c>
      <c r="AA558" s="4">
        <f t="shared" si="337"/>
        <v>404.37388154028162</v>
      </c>
      <c r="AB558" s="4">
        <f t="shared" si="338"/>
        <v>3.0536924437423569</v>
      </c>
      <c r="AC558" s="48" t="str">
        <f t="shared" si="339"/>
        <v>-0.0000218373660347782+0.000261729333970554i</v>
      </c>
      <c r="AD558" s="20">
        <f t="shared" si="340"/>
        <v>-71.612823830766359</v>
      </c>
      <c r="AE558" s="44">
        <f t="shared" si="341"/>
        <v>94.769421986615626</v>
      </c>
      <c r="AF558" t="str">
        <f t="shared" si="327"/>
        <v>-0.0000333790427773504</v>
      </c>
      <c r="AG558" t="str">
        <f t="shared" si="328"/>
        <v>0.0855419517251252i</v>
      </c>
      <c r="AH558">
        <f t="shared" si="342"/>
        <v>8.5541951725125201E-2</v>
      </c>
      <c r="AI558">
        <f t="shared" si="343"/>
        <v>1.5707963267948966</v>
      </c>
      <c r="AJ558" t="str">
        <f t="shared" si="329"/>
        <v>1+1970.79264060827i</v>
      </c>
      <c r="AK558">
        <f t="shared" si="344"/>
        <v>1970.7928943132806</v>
      </c>
      <c r="AL558">
        <f t="shared" si="345"/>
        <v>1.5702889167845417</v>
      </c>
      <c r="AM558" t="str">
        <f t="shared" si="330"/>
        <v>1+14835.6890445789i</v>
      </c>
      <c r="AN558">
        <f t="shared" si="346"/>
        <v>14835.68907828141</v>
      </c>
      <c r="AO558">
        <f t="shared" si="347"/>
        <v>1.5707289217693881</v>
      </c>
      <c r="AP558" s="42" t="str">
        <f t="shared" si="348"/>
        <v>-1.29246574350279E-06+0.0029373886765054i</v>
      </c>
      <c r="AQ558">
        <f t="shared" si="349"/>
        <v>-50.640770832113837</v>
      </c>
      <c r="AR558" s="44">
        <f t="shared" si="350"/>
        <v>90.025210428596409</v>
      </c>
      <c r="AS558" s="42" t="str">
        <f t="shared" si="351"/>
        <v>-7.68772557866877E-07-6.44831079134879E-08i</v>
      </c>
      <c r="AT558" s="20">
        <f t="shared" si="352"/>
        <v>-122.2535946628802</v>
      </c>
      <c r="AU558" s="44">
        <f t="shared" si="353"/>
        <v>-175.20536758478795</v>
      </c>
    </row>
    <row r="559" spans="14:47" x14ac:dyDescent="0.3">
      <c r="N559" s="8">
        <v>41</v>
      </c>
      <c r="O559" s="35">
        <f t="shared" si="321"/>
        <v>2570395.782768866</v>
      </c>
      <c r="P559" s="34" t="str">
        <f t="shared" si="322"/>
        <v>545.10556621881</v>
      </c>
      <c r="Q559" s="4" t="str">
        <f t="shared" si="323"/>
        <v>1+345014.469610936i</v>
      </c>
      <c r="R559" s="4">
        <f t="shared" si="331"/>
        <v>345014.4696123852</v>
      </c>
      <c r="S559" s="4">
        <f t="shared" si="332"/>
        <v>1.5707934283657348</v>
      </c>
      <c r="T559" s="4" t="str">
        <f t="shared" si="324"/>
        <v>1+8.07513650796485i</v>
      </c>
      <c r="U559" s="4">
        <f t="shared" si="333"/>
        <v>8.1368193799706976</v>
      </c>
      <c r="V559" s="4">
        <f t="shared" si="334"/>
        <v>1.4475866862772462</v>
      </c>
      <c r="W559" t="str">
        <f t="shared" si="325"/>
        <v>1-8.38845180447386i</v>
      </c>
      <c r="X559" s="4">
        <f t="shared" si="335"/>
        <v>8.4478472805786886</v>
      </c>
      <c r="Y559" s="4">
        <f t="shared" si="336"/>
        <v>-1.4521447707795301</v>
      </c>
      <c r="Z559" t="str">
        <f t="shared" si="326"/>
        <v>-421.843806724862+36.3256676926863i</v>
      </c>
      <c r="AA559" s="4">
        <f t="shared" si="337"/>
        <v>423.40494967045697</v>
      </c>
      <c r="AB559" s="4">
        <f t="shared" si="338"/>
        <v>3.0556929036822864</v>
      </c>
      <c r="AC559" s="48" t="str">
        <f t="shared" si="339"/>
        <v>-0.0000208419133352897+0.000255652279394468i</v>
      </c>
      <c r="AD559" s="20">
        <f t="shared" si="340"/>
        <v>-71.818237870310497</v>
      </c>
      <c r="AE559" s="44">
        <f t="shared" si="341"/>
        <v>94.660700194042732</v>
      </c>
      <c r="AF559" t="str">
        <f t="shared" si="327"/>
        <v>-0.0000333790427773504</v>
      </c>
      <c r="AG559" t="str">
        <f t="shared" si="328"/>
        <v>0.087534479746339i</v>
      </c>
      <c r="AH559">
        <f t="shared" si="342"/>
        <v>8.7534479746339003E-2</v>
      </c>
      <c r="AI559">
        <f t="shared" si="343"/>
        <v>1.5707963267948966</v>
      </c>
      <c r="AJ559" t="str">
        <f t="shared" si="329"/>
        <v>1+2016.69829837292i</v>
      </c>
      <c r="AK559">
        <f t="shared" si="344"/>
        <v>2016.6985463029002</v>
      </c>
      <c r="AL559">
        <f t="shared" si="345"/>
        <v>1.570300466844577</v>
      </c>
      <c r="AM559" t="str">
        <f t="shared" si="330"/>
        <v>1+15181.256634974i</v>
      </c>
      <c r="AN559">
        <f t="shared" si="346"/>
        <v>15181.256667909351</v>
      </c>
      <c r="AO559">
        <f t="shared" si="347"/>
        <v>1.5707304560950859</v>
      </c>
      <c r="AP559" s="42" t="str">
        <f t="shared" si="348"/>
        <v>-1.23429521703466E-06+0.00287052557593966i</v>
      </c>
      <c r="AQ559">
        <f t="shared" si="349"/>
        <v>-50.840770782676557</v>
      </c>
      <c r="AR559" s="44">
        <f t="shared" si="350"/>
        <v>90.024636569290152</v>
      </c>
      <c r="AS559" s="42" t="str">
        <f t="shared" si="351"/>
        <v>-7.33830681475149E-07-6.01427956661476E-08i</v>
      </c>
      <c r="AT559" s="20">
        <f t="shared" si="352"/>
        <v>-122.65900865298705</v>
      </c>
      <c r="AU559" s="44">
        <f t="shared" si="353"/>
        <v>-175.31466323666712</v>
      </c>
    </row>
    <row r="560" spans="14:47" ht="15" thickBot="1" x14ac:dyDescent="0.35">
      <c r="N560" s="8">
        <v>42</v>
      </c>
      <c r="O560" s="35">
        <f t="shared" si="321"/>
        <v>2630267.9918953842</v>
      </c>
      <c r="P560" s="34" t="str">
        <f t="shared" si="322"/>
        <v>545.10556621881</v>
      </c>
      <c r="Q560" s="4" t="str">
        <f t="shared" si="323"/>
        <v>1+353050.888988331i</v>
      </c>
      <c r="R560" s="4">
        <f t="shared" si="331"/>
        <v>353050.88898974727</v>
      </c>
      <c r="S560" s="4">
        <f t="shared" si="332"/>
        <v>1.5707934943420374</v>
      </c>
      <c r="T560" s="4" t="str">
        <f t="shared" si="324"/>
        <v>1+8.2632306003109i</v>
      </c>
      <c r="U560" s="4">
        <f t="shared" si="333"/>
        <v>8.3235196854404343</v>
      </c>
      <c r="V560" s="4">
        <f t="shared" si="334"/>
        <v>1.4503639302125046</v>
      </c>
      <c r="W560" t="str">
        <f t="shared" si="325"/>
        <v>1-8.58384394760294i</v>
      </c>
      <c r="X560" s="4">
        <f t="shared" si="335"/>
        <v>8.6418966041488616</v>
      </c>
      <c r="Y560" s="4">
        <f t="shared" si="336"/>
        <v>-1.454821179861258</v>
      </c>
      <c r="Z560" t="str">
        <f t="shared" si="326"/>
        <v>-441.771821388119+37.1718011898453i</v>
      </c>
      <c r="AA560" s="4">
        <f t="shared" si="337"/>
        <v>443.33292791791763</v>
      </c>
      <c r="AB560" s="4">
        <f t="shared" si="338"/>
        <v>3.0576478541679459</v>
      </c>
      <c r="AC560" s="43" t="str">
        <f t="shared" si="339"/>
        <v>-0.0000198923695981485+0.000249721453990623i</v>
      </c>
      <c r="AD560" s="47">
        <f t="shared" si="340"/>
        <v>-72.023412097101257</v>
      </c>
      <c r="AE560" s="46">
        <f t="shared" si="341"/>
        <v>94.554463413428877</v>
      </c>
      <c r="AF560" t="str">
        <f t="shared" si="327"/>
        <v>-0.0000333790427773504</v>
      </c>
      <c r="AG560" t="str">
        <f t="shared" si="328"/>
        <v>0.0895734197073703i</v>
      </c>
      <c r="AH560">
        <f t="shared" si="342"/>
        <v>8.9573419707370303E-2</v>
      </c>
      <c r="AI560">
        <f t="shared" si="343"/>
        <v>1.5707963267948966</v>
      </c>
      <c r="AJ560" t="str">
        <f t="shared" si="329"/>
        <v>1+2063.67323626953i</v>
      </c>
      <c r="AK560">
        <f t="shared" si="344"/>
        <v>2063.6734785559356</v>
      </c>
      <c r="AL560">
        <f t="shared" si="345"/>
        <v>1.5703117539932754</v>
      </c>
      <c r="AM560" t="str">
        <f t="shared" si="330"/>
        <v>1+15534.8735285845i</v>
      </c>
      <c r="AN560">
        <f t="shared" si="346"/>
        <v>15534.873560770147</v>
      </c>
      <c r="AO560">
        <f t="shared" si="347"/>
        <v>1.5707319554952668</v>
      </c>
      <c r="AP560" s="45" t="str">
        <f t="shared" si="348"/>
        <v>-1.17874279427413E-06+0.00280518446343304i</v>
      </c>
      <c r="AQ560" s="40">
        <f t="shared" si="349"/>
        <v>-51.040770735464406</v>
      </c>
      <c r="AR560" s="46">
        <f t="shared" si="350"/>
        <v>90.024075772609166</v>
      </c>
      <c r="AS560" s="45" t="str">
        <f t="shared" si="351"/>
        <v>-7.0049129493308E-07-5.6096123502061E-08i</v>
      </c>
      <c r="AT560" s="47">
        <f t="shared" si="352"/>
        <v>-123.06418283256565</v>
      </c>
      <c r="AU560" s="46">
        <f t="shared" si="353"/>
        <v>-175.42146081396197</v>
      </c>
    </row>
    <row r="561" spans="14:30" x14ac:dyDescent="0.3">
      <c r="N561" s="8"/>
      <c r="P561" s="34"/>
      <c r="Q561" s="4"/>
      <c r="R561" s="4"/>
      <c r="S561" s="4"/>
      <c r="T561" s="4"/>
      <c r="U561" s="4"/>
      <c r="V561" s="4"/>
      <c r="X561" s="4"/>
      <c r="Y561" s="4"/>
      <c r="AA561" s="4"/>
      <c r="AB561" s="4"/>
      <c r="AC561" s="4"/>
      <c r="AD561" s="20"/>
    </row>
    <row r="562" spans="14:30" x14ac:dyDescent="0.3">
      <c r="N562" s="8"/>
      <c r="P562" s="34"/>
      <c r="Q562" s="4"/>
      <c r="R562" s="4"/>
      <c r="S562" s="4"/>
      <c r="T562" s="4"/>
      <c r="U562" s="4"/>
      <c r="V562" s="4"/>
      <c r="X562" s="4"/>
      <c r="Y562" s="4"/>
      <c r="AA562" s="4"/>
      <c r="AB562" s="4"/>
      <c r="AC562" s="4"/>
      <c r="AD562" s="20"/>
    </row>
    <row r="563" spans="14:30" x14ac:dyDescent="0.3">
      <c r="N563" s="8"/>
      <c r="P563" s="34"/>
      <c r="Q563" s="4"/>
      <c r="R563" s="4"/>
      <c r="S563" s="4"/>
      <c r="T563" s="4"/>
      <c r="U563" s="4"/>
      <c r="V563" s="4"/>
      <c r="X563" s="4"/>
      <c r="Y563" s="4"/>
      <c r="AA563" s="4"/>
      <c r="AB563" s="4"/>
      <c r="AC563" s="4"/>
      <c r="AD563" s="20"/>
    </row>
    <row r="564" spans="14:30" x14ac:dyDescent="0.3">
      <c r="N564" s="8"/>
      <c r="P564" s="34"/>
      <c r="Q564" s="4"/>
      <c r="R564" s="4"/>
      <c r="S564" s="4"/>
      <c r="T564" s="4"/>
      <c r="U564" s="4"/>
      <c r="V564" s="4"/>
      <c r="X564" s="4"/>
      <c r="Y564" s="4"/>
      <c r="AA564" s="4"/>
      <c r="AB564" s="4"/>
      <c r="AC564" s="4"/>
      <c r="AD564" s="20"/>
    </row>
    <row r="565" spans="14:30" x14ac:dyDescent="0.3">
      <c r="N565" s="8"/>
      <c r="P565" s="34"/>
      <c r="Q565" s="4"/>
      <c r="R565" s="4"/>
      <c r="S565" s="4"/>
      <c r="T565" s="4"/>
      <c r="U565" s="4"/>
      <c r="V565" s="4"/>
      <c r="X565" s="4"/>
      <c r="Y565" s="4"/>
      <c r="AA565" s="4"/>
      <c r="AB565" s="4"/>
      <c r="AC565" s="4"/>
      <c r="AD565" s="20"/>
    </row>
    <row r="566" spans="14:30" x14ac:dyDescent="0.3">
      <c r="N566" s="8"/>
      <c r="P566" s="34"/>
      <c r="Q566" s="4"/>
      <c r="R566" s="4"/>
      <c r="S566" s="4"/>
      <c r="T566" s="4"/>
      <c r="U566" s="4"/>
      <c r="V566" s="4"/>
      <c r="X566" s="4"/>
      <c r="Y566" s="4"/>
      <c r="AA566" s="4"/>
      <c r="AB566" s="4"/>
      <c r="AC566" s="4"/>
      <c r="AD566" s="20"/>
    </row>
    <row r="567" spans="14:30" x14ac:dyDescent="0.3">
      <c r="N567" s="8"/>
      <c r="P567" s="34"/>
      <c r="Q567" s="4"/>
      <c r="R567" s="4"/>
      <c r="S567" s="4"/>
      <c r="T567" s="4"/>
      <c r="U567" s="4"/>
      <c r="V567" s="4"/>
      <c r="X567" s="4"/>
      <c r="Y567" s="4"/>
      <c r="AA567" s="4"/>
      <c r="AB567" s="4"/>
      <c r="AC567" s="4"/>
      <c r="AD567" s="20"/>
    </row>
    <row r="568" spans="14:30" x14ac:dyDescent="0.3">
      <c r="N568" s="8"/>
      <c r="P568" s="34"/>
      <c r="Q568" s="4"/>
      <c r="R568" s="4"/>
      <c r="S568" s="4"/>
      <c r="T568" s="4"/>
      <c r="U568" s="4"/>
      <c r="V568" s="4"/>
      <c r="X568" s="4"/>
      <c r="Y568" s="4"/>
      <c r="AA568" s="4"/>
      <c r="AB568" s="4"/>
      <c r="AC568" s="4"/>
      <c r="AD568" s="20"/>
    </row>
    <row r="569" spans="14:30" x14ac:dyDescent="0.3">
      <c r="N569" s="8"/>
      <c r="P569" s="34"/>
      <c r="Q569" s="4"/>
      <c r="R569" s="4"/>
      <c r="S569" s="4"/>
      <c r="T569" s="4"/>
      <c r="U569" s="4"/>
      <c r="V569" s="4"/>
      <c r="X569" s="4"/>
      <c r="Y569" s="4"/>
      <c r="AA569" s="4"/>
      <c r="AB569" s="4"/>
      <c r="AC569" s="4"/>
      <c r="AD569" s="20"/>
    </row>
    <row r="570" spans="14:30" x14ac:dyDescent="0.3">
      <c r="N570" s="8"/>
      <c r="P570" s="34"/>
      <c r="Q570" s="4"/>
      <c r="R570" s="4"/>
      <c r="S570" s="4"/>
      <c r="T570" s="4"/>
      <c r="U570" s="4"/>
      <c r="V570" s="4"/>
      <c r="X570" s="4"/>
      <c r="Y570" s="4"/>
      <c r="AA570" s="4"/>
      <c r="AB570" s="4"/>
      <c r="AC570" s="4"/>
      <c r="AD570" s="20"/>
    </row>
    <row r="571" spans="14:30" x14ac:dyDescent="0.3">
      <c r="N571" s="8"/>
      <c r="P571" s="34"/>
      <c r="Q571" s="4"/>
      <c r="R571" s="4"/>
      <c r="S571" s="4"/>
      <c r="T571" s="4"/>
      <c r="U571" s="4"/>
      <c r="V571" s="4"/>
      <c r="X571" s="4"/>
      <c r="Y571" s="4"/>
      <c r="AA571" s="4"/>
      <c r="AB571" s="4"/>
      <c r="AC571" s="4"/>
      <c r="AD571" s="20"/>
    </row>
    <row r="572" spans="14:30" x14ac:dyDescent="0.3">
      <c r="N572" s="8"/>
      <c r="P572" s="34"/>
      <c r="Q572" s="4"/>
      <c r="R572" s="4"/>
      <c r="S572" s="4"/>
      <c r="T572" s="4"/>
      <c r="U572" s="4"/>
      <c r="V572" s="4"/>
      <c r="X572" s="4"/>
      <c r="Y572" s="4"/>
      <c r="AA572" s="4"/>
      <c r="AB572" s="4"/>
      <c r="AC572" s="4"/>
      <c r="AD572" s="20"/>
    </row>
    <row r="573" spans="14:30" x14ac:dyDescent="0.3">
      <c r="N573" s="8"/>
      <c r="P573" s="34"/>
      <c r="Q573" s="4"/>
      <c r="R573" s="4"/>
      <c r="S573" s="4"/>
      <c r="T573" s="4"/>
      <c r="U573" s="4"/>
      <c r="V573" s="4"/>
      <c r="X573" s="4"/>
      <c r="Y573" s="4"/>
      <c r="AA573" s="4"/>
      <c r="AB573" s="4"/>
      <c r="AC573" s="4"/>
      <c r="AD573" s="20"/>
    </row>
    <row r="574" spans="14:30" x14ac:dyDescent="0.3">
      <c r="N574" s="8"/>
      <c r="P574" s="34"/>
      <c r="Q574" s="4"/>
      <c r="R574" s="4"/>
      <c r="S574" s="4"/>
      <c r="T574" s="4"/>
      <c r="U574" s="4"/>
      <c r="V574" s="4"/>
      <c r="X574" s="4"/>
      <c r="Y574" s="4"/>
      <c r="AA574" s="4"/>
      <c r="AB574" s="4"/>
      <c r="AC574" s="4"/>
      <c r="AD574" s="20"/>
    </row>
    <row r="575" spans="14:30" x14ac:dyDescent="0.3">
      <c r="N575" s="8"/>
      <c r="P575" s="34"/>
      <c r="Q575" s="4"/>
      <c r="R575" s="4"/>
      <c r="S575" s="4"/>
      <c r="T575" s="4"/>
      <c r="U575" s="4"/>
      <c r="V575" s="4"/>
      <c r="X575" s="4"/>
      <c r="Y575" s="4"/>
      <c r="AA575" s="4"/>
      <c r="AB575" s="4"/>
      <c r="AC575" s="4"/>
      <c r="AD575" s="20"/>
    </row>
    <row r="576" spans="14:30" x14ac:dyDescent="0.3">
      <c r="N576" s="8"/>
      <c r="P576" s="34"/>
      <c r="Q576" s="4"/>
      <c r="R576" s="4"/>
      <c r="S576" s="4"/>
      <c r="T576" s="4"/>
      <c r="U576" s="4"/>
      <c r="V576" s="4"/>
      <c r="X576" s="4"/>
      <c r="Y576" s="4"/>
      <c r="AA576" s="4"/>
      <c r="AB576" s="4"/>
      <c r="AC576" s="4"/>
      <c r="AD576" s="20"/>
    </row>
    <row r="577" spans="14:30" x14ac:dyDescent="0.3">
      <c r="N577" s="8"/>
      <c r="P577" s="34"/>
      <c r="Q577" s="4"/>
      <c r="R577" s="4"/>
      <c r="S577" s="4"/>
      <c r="T577" s="4"/>
      <c r="U577" s="4"/>
      <c r="V577" s="4"/>
      <c r="X577" s="4"/>
      <c r="Y577" s="4"/>
      <c r="AA577" s="4"/>
      <c r="AB577" s="4"/>
      <c r="AC577" s="4"/>
      <c r="AD577" s="20"/>
    </row>
    <row r="578" spans="14:30" x14ac:dyDescent="0.3">
      <c r="N578" s="8"/>
      <c r="P578" s="34"/>
      <c r="Q578" s="4"/>
      <c r="R578" s="4"/>
      <c r="S578" s="4"/>
      <c r="T578" s="4"/>
      <c r="U578" s="4"/>
      <c r="V578" s="4"/>
      <c r="X578" s="4"/>
      <c r="Y578" s="4"/>
      <c r="AA578" s="4"/>
      <c r="AB578" s="4"/>
      <c r="AC578" s="4"/>
      <c r="AD578" s="20"/>
    </row>
    <row r="579" spans="14:30" x14ac:dyDescent="0.3">
      <c r="N579" s="8"/>
      <c r="P579" s="34"/>
      <c r="Q579" s="4"/>
      <c r="R579" s="4"/>
      <c r="S579" s="4"/>
      <c r="T579" s="4"/>
      <c r="U579" s="4"/>
      <c r="V579" s="4"/>
      <c r="X579" s="4"/>
      <c r="Y579" s="4"/>
      <c r="AA579" s="4"/>
      <c r="AB579" s="4"/>
      <c r="AC579" s="4"/>
      <c r="AD579" s="20"/>
    </row>
    <row r="580" spans="14:30" x14ac:dyDescent="0.3">
      <c r="N580" s="8"/>
      <c r="P580" s="34"/>
      <c r="Q580" s="4"/>
      <c r="R580" s="4"/>
      <c r="S580" s="4"/>
      <c r="T580" s="4"/>
      <c r="U580" s="4"/>
      <c r="V580" s="4"/>
      <c r="X580" s="4"/>
      <c r="Y580" s="4"/>
      <c r="AA580" s="4"/>
      <c r="AB580" s="4"/>
      <c r="AC580" s="4"/>
      <c r="AD580" s="20"/>
    </row>
    <row r="581" spans="14:30" x14ac:dyDescent="0.3">
      <c r="N581" s="8"/>
      <c r="P581" s="34"/>
      <c r="Q581" s="4"/>
      <c r="R581" s="4"/>
      <c r="S581" s="4"/>
      <c r="T581" s="4"/>
      <c r="U581" s="4"/>
      <c r="V581" s="4"/>
      <c r="X581" s="4"/>
      <c r="Y581" s="4"/>
      <c r="AA581" s="4"/>
      <c r="AB581" s="4"/>
      <c r="AC581" s="4"/>
      <c r="AD581" s="20"/>
    </row>
    <row r="582" spans="14:30" x14ac:dyDescent="0.3">
      <c r="N582" s="8"/>
      <c r="P582" s="34"/>
      <c r="Q582" s="4"/>
      <c r="R582" s="4"/>
      <c r="S582" s="4"/>
      <c r="T582" s="4"/>
      <c r="U582" s="4"/>
      <c r="V582" s="4"/>
      <c r="X582" s="4"/>
      <c r="Y582" s="4"/>
      <c r="AA582" s="4"/>
      <c r="AB582" s="4"/>
      <c r="AC582" s="4"/>
      <c r="AD582" s="20"/>
    </row>
    <row r="583" spans="14:30" x14ac:dyDescent="0.3">
      <c r="N583" s="8"/>
      <c r="P583" s="34"/>
      <c r="Q583" s="4"/>
      <c r="R583" s="4"/>
      <c r="S583" s="4"/>
      <c r="T583" s="4"/>
      <c r="U583" s="4"/>
      <c r="V583" s="4"/>
      <c r="X583" s="4"/>
      <c r="Y583" s="4"/>
      <c r="AA583" s="4"/>
      <c r="AB583" s="4"/>
      <c r="AC583" s="4"/>
      <c r="AD583" s="20"/>
    </row>
    <row r="584" spans="14:30" x14ac:dyDescent="0.3">
      <c r="N584" s="8"/>
      <c r="P584" s="34"/>
      <c r="Q584" s="4"/>
      <c r="R584" s="4"/>
      <c r="S584" s="4"/>
      <c r="T584" s="4"/>
      <c r="U584" s="4"/>
      <c r="V584" s="4"/>
      <c r="X584" s="4"/>
      <c r="Y584" s="4"/>
      <c r="AA584" s="4"/>
      <c r="AB584" s="4"/>
      <c r="AC584" s="4"/>
      <c r="AD584" s="20"/>
    </row>
    <row r="585" spans="14:30" x14ac:dyDescent="0.3">
      <c r="N585" s="8"/>
      <c r="P585" s="34"/>
      <c r="Q585" s="4"/>
      <c r="R585" s="4"/>
      <c r="S585" s="4"/>
      <c r="T585" s="4"/>
      <c r="U585" s="4"/>
      <c r="V585" s="4"/>
      <c r="X585" s="4"/>
      <c r="Y585" s="4"/>
      <c r="AA585" s="4"/>
      <c r="AB585" s="4"/>
      <c r="AC585" s="4"/>
      <c r="AD585" s="20"/>
    </row>
    <row r="586" spans="14:30" x14ac:dyDescent="0.3">
      <c r="N586" s="8"/>
      <c r="P586" s="34"/>
      <c r="Q586" s="4"/>
      <c r="R586" s="4"/>
      <c r="S586" s="4"/>
      <c r="T586" s="4"/>
      <c r="U586" s="4"/>
      <c r="V586" s="4"/>
      <c r="X586" s="4"/>
      <c r="Y586" s="4"/>
      <c r="AA586" s="4"/>
      <c r="AB586" s="4"/>
      <c r="AC586" s="4"/>
      <c r="AD586" s="20"/>
    </row>
    <row r="587" spans="14:30" x14ac:dyDescent="0.3">
      <c r="N587" s="8"/>
      <c r="P587" s="34"/>
      <c r="Q587" s="4"/>
      <c r="R587" s="4"/>
      <c r="S587" s="4"/>
      <c r="T587" s="4"/>
      <c r="U587" s="4"/>
      <c r="V587" s="4"/>
      <c r="X587" s="4"/>
      <c r="Y587" s="4"/>
      <c r="AA587" s="4"/>
      <c r="AB587" s="4"/>
      <c r="AC587" s="4"/>
      <c r="AD587" s="20"/>
    </row>
    <row r="588" spans="14:30" x14ac:dyDescent="0.3">
      <c r="N588" s="8"/>
      <c r="P588" s="34"/>
      <c r="Q588" s="4"/>
      <c r="R588" s="4"/>
      <c r="S588" s="4"/>
      <c r="T588" s="4"/>
      <c r="U588" s="4"/>
      <c r="V588" s="4"/>
      <c r="X588" s="4"/>
      <c r="Y588" s="4"/>
      <c r="AA588" s="4"/>
      <c r="AB588" s="4"/>
      <c r="AC588" s="4"/>
      <c r="AD588" s="20"/>
    </row>
    <row r="589" spans="14:30" x14ac:dyDescent="0.3">
      <c r="N589" s="8"/>
      <c r="P589" s="34"/>
      <c r="Q589" s="4"/>
      <c r="R589" s="4"/>
      <c r="S589" s="4"/>
      <c r="T589" s="4"/>
      <c r="U589" s="4"/>
      <c r="V589" s="4"/>
      <c r="X589" s="4"/>
      <c r="Y589" s="4"/>
      <c r="AA589" s="4"/>
      <c r="AB589" s="4"/>
      <c r="AC589" s="4"/>
      <c r="AD589" s="20"/>
    </row>
    <row r="590" spans="14:30" x14ac:dyDescent="0.3">
      <c r="N590" s="8"/>
      <c r="P590" s="34"/>
      <c r="Q590" s="4"/>
      <c r="R590" s="4"/>
      <c r="S590" s="4"/>
      <c r="T590" s="4"/>
      <c r="U590" s="4"/>
      <c r="V590" s="4"/>
      <c r="X590" s="4"/>
      <c r="Y590" s="4"/>
      <c r="AA590" s="4"/>
      <c r="AB590" s="4"/>
      <c r="AC590" s="4"/>
      <c r="AD590" s="20"/>
    </row>
    <row r="591" spans="14:30" x14ac:dyDescent="0.3">
      <c r="N591" s="8"/>
      <c r="P591" s="34"/>
      <c r="Q591" s="4"/>
      <c r="R591" s="4"/>
      <c r="S591" s="4"/>
      <c r="T591" s="4"/>
      <c r="U591" s="4"/>
      <c r="V591" s="4"/>
      <c r="X591" s="4"/>
      <c r="Y591" s="4"/>
      <c r="AA591" s="4"/>
      <c r="AB591" s="4"/>
      <c r="AC591" s="4"/>
      <c r="AD591" s="20"/>
    </row>
    <row r="592" spans="14:30" x14ac:dyDescent="0.3">
      <c r="N592" s="8"/>
      <c r="P592" s="34"/>
      <c r="Q592" s="4"/>
      <c r="R592" s="4"/>
      <c r="S592" s="4"/>
      <c r="T592" s="4"/>
      <c r="U592" s="4"/>
      <c r="V592" s="4"/>
      <c r="X592" s="4"/>
      <c r="Y592" s="4"/>
      <c r="AA592" s="4"/>
      <c r="AB592" s="4"/>
      <c r="AC592" s="4"/>
      <c r="AD592" s="20"/>
    </row>
    <row r="593" spans="14:30" x14ac:dyDescent="0.3">
      <c r="N593" s="8"/>
      <c r="P593" s="34"/>
      <c r="Q593" s="4"/>
      <c r="R593" s="4"/>
      <c r="S593" s="4"/>
      <c r="T593" s="4"/>
      <c r="U593" s="4"/>
      <c r="V593" s="4"/>
      <c r="X593" s="4"/>
      <c r="Y593" s="4"/>
      <c r="AA593" s="4"/>
      <c r="AB593" s="4"/>
      <c r="AC593" s="4"/>
      <c r="AD593" s="20"/>
    </row>
    <row r="594" spans="14:30" x14ac:dyDescent="0.3">
      <c r="N594" s="8"/>
      <c r="P594" s="34"/>
      <c r="Q594" s="4"/>
      <c r="R594" s="4"/>
      <c r="S594" s="4"/>
      <c r="T594" s="4"/>
      <c r="U594" s="4"/>
      <c r="V594" s="4"/>
      <c r="X594" s="4"/>
      <c r="Y594" s="4"/>
      <c r="AA594" s="4"/>
      <c r="AB594" s="4"/>
      <c r="AC594" s="4"/>
      <c r="AD594" s="20"/>
    </row>
    <row r="595" spans="14:30" x14ac:dyDescent="0.3">
      <c r="N595" s="8"/>
      <c r="P595" s="34"/>
      <c r="Q595" s="4"/>
      <c r="R595" s="4"/>
      <c r="S595" s="4"/>
      <c r="T595" s="4"/>
      <c r="U595" s="4"/>
      <c r="V595" s="4"/>
      <c r="X595" s="4"/>
      <c r="Y595" s="4"/>
      <c r="AA595" s="4"/>
      <c r="AB595" s="4"/>
      <c r="AC595" s="4"/>
      <c r="AD595" s="20"/>
    </row>
    <row r="596" spans="14:30" x14ac:dyDescent="0.3">
      <c r="N596" s="8"/>
      <c r="P596" s="34"/>
      <c r="Q596" s="4"/>
      <c r="R596" s="4"/>
      <c r="S596" s="4"/>
      <c r="T596" s="4"/>
      <c r="U596" s="4"/>
      <c r="V596" s="4"/>
      <c r="X596" s="4"/>
      <c r="Y596" s="4"/>
      <c r="AA596" s="4"/>
      <c r="AB596" s="4"/>
      <c r="AC596" s="4"/>
      <c r="AD596" s="20"/>
    </row>
    <row r="597" spans="14:30" x14ac:dyDescent="0.3">
      <c r="N597" s="8"/>
      <c r="P597" s="34"/>
      <c r="Q597" s="4"/>
      <c r="R597" s="4"/>
      <c r="S597" s="4"/>
      <c r="T597" s="4"/>
      <c r="U597" s="4"/>
      <c r="V597" s="4"/>
      <c r="X597" s="4"/>
      <c r="Y597" s="4"/>
      <c r="AA597" s="4"/>
      <c r="AB597" s="4"/>
      <c r="AC597" s="4"/>
      <c r="AD597" s="20"/>
    </row>
    <row r="598" spans="14:30" x14ac:dyDescent="0.3">
      <c r="N598" s="8"/>
      <c r="P598" s="34"/>
      <c r="Q598" s="4"/>
      <c r="R598" s="4"/>
      <c r="S598" s="4"/>
      <c r="T598" s="4"/>
      <c r="U598" s="4"/>
      <c r="V598" s="4"/>
      <c r="X598" s="4"/>
      <c r="Y598" s="4"/>
      <c r="AA598" s="4"/>
      <c r="AB598" s="4"/>
      <c r="AC598" s="4"/>
      <c r="AD598" s="20"/>
    </row>
    <row r="599" spans="14:30" x14ac:dyDescent="0.3">
      <c r="N599" s="8"/>
      <c r="P599" s="34"/>
      <c r="Q599" s="4"/>
      <c r="R599" s="4"/>
      <c r="S599" s="4"/>
      <c r="T599" s="4"/>
      <c r="U599" s="4"/>
      <c r="V599" s="4"/>
      <c r="X599" s="4"/>
      <c r="Y599" s="4"/>
      <c r="AA599" s="4"/>
      <c r="AB599" s="4"/>
      <c r="AC599" s="4"/>
      <c r="AD599" s="20"/>
    </row>
    <row r="600" spans="14:30" x14ac:dyDescent="0.3">
      <c r="N600" s="8"/>
      <c r="P600" s="34"/>
      <c r="Q600" s="4"/>
      <c r="R600" s="4"/>
      <c r="S600" s="4"/>
      <c r="T600" s="4"/>
      <c r="U600" s="4"/>
      <c r="V600" s="4"/>
      <c r="X600" s="4"/>
      <c r="Y600" s="4"/>
      <c r="AA600" s="4"/>
      <c r="AB600" s="4"/>
      <c r="AC600" s="4"/>
      <c r="AD600" s="20"/>
    </row>
    <row r="601" spans="14:30" x14ac:dyDescent="0.3">
      <c r="N601" s="8"/>
      <c r="P601" s="34"/>
      <c r="Q601" s="4"/>
      <c r="R601" s="4"/>
      <c r="S601" s="4"/>
      <c r="T601" s="4"/>
      <c r="U601" s="4"/>
      <c r="V601" s="4"/>
      <c r="X601" s="4"/>
      <c r="Y601" s="4"/>
      <c r="AA601" s="4"/>
      <c r="AB601" s="4"/>
      <c r="AC601" s="4"/>
      <c r="AD601" s="20"/>
    </row>
    <row r="602" spans="14:30" x14ac:dyDescent="0.3">
      <c r="N602" s="8"/>
      <c r="P602" s="34"/>
      <c r="Q602" s="4"/>
      <c r="R602" s="4"/>
      <c r="S602" s="4"/>
      <c r="T602" s="4"/>
      <c r="U602" s="4"/>
      <c r="V602" s="4"/>
      <c r="X602" s="4"/>
      <c r="Y602" s="4"/>
      <c r="AA602" s="4"/>
      <c r="AB602" s="4"/>
      <c r="AC602" s="4"/>
      <c r="AD602" s="20"/>
    </row>
    <row r="603" spans="14:30" x14ac:dyDescent="0.3">
      <c r="N603" s="8"/>
      <c r="P603" s="34"/>
      <c r="Q603" s="4"/>
      <c r="R603" s="4"/>
      <c r="S603" s="4"/>
      <c r="T603" s="4"/>
      <c r="U603" s="4"/>
      <c r="V603" s="4"/>
      <c r="X603" s="4"/>
      <c r="Y603" s="4"/>
      <c r="AA603" s="4"/>
      <c r="AB603" s="4"/>
      <c r="AC603" s="4"/>
      <c r="AD603" s="20"/>
    </row>
    <row r="604" spans="14:30" x14ac:dyDescent="0.3">
      <c r="N604" s="8"/>
      <c r="P604" s="34"/>
      <c r="Q604" s="4"/>
      <c r="R604" s="4"/>
      <c r="S604" s="4"/>
      <c r="T604" s="4"/>
      <c r="U604" s="4"/>
      <c r="V604" s="4"/>
      <c r="X604" s="4"/>
      <c r="Y604" s="4"/>
      <c r="AA604" s="4"/>
      <c r="AB604" s="4"/>
      <c r="AC604" s="4"/>
      <c r="AD604" s="20"/>
    </row>
    <row r="605" spans="14:30" x14ac:dyDescent="0.3">
      <c r="N605" s="8"/>
      <c r="P605" s="34"/>
      <c r="Q605" s="4"/>
      <c r="R605" s="4"/>
      <c r="S605" s="4"/>
      <c r="T605" s="4"/>
      <c r="U605" s="4"/>
      <c r="V605" s="4"/>
      <c r="X605" s="4"/>
      <c r="Y605" s="4"/>
      <c r="AA605" s="4"/>
      <c r="AB605" s="4"/>
      <c r="AC605" s="4"/>
      <c r="AD605" s="20"/>
    </row>
    <row r="606" spans="14:30" x14ac:dyDescent="0.3">
      <c r="N606" s="8"/>
      <c r="P606" s="34"/>
      <c r="Q606" s="4"/>
      <c r="R606" s="4"/>
      <c r="S606" s="4"/>
      <c r="T606" s="4"/>
      <c r="U606" s="4"/>
      <c r="V606" s="4"/>
      <c r="X606" s="4"/>
      <c r="Y606" s="4"/>
      <c r="AA606" s="4"/>
      <c r="AB606" s="4"/>
      <c r="AC606" s="4"/>
      <c r="AD606" s="20"/>
    </row>
    <row r="607" spans="14:30" x14ac:dyDescent="0.3">
      <c r="N607" s="8"/>
      <c r="P607" s="34"/>
      <c r="Q607" s="4"/>
      <c r="R607" s="4"/>
      <c r="S607" s="4"/>
      <c r="T607" s="4"/>
      <c r="U607" s="4"/>
      <c r="V607" s="4"/>
      <c r="X607" s="4"/>
      <c r="Y607" s="4"/>
      <c r="AA607" s="4"/>
      <c r="AB607" s="4"/>
      <c r="AC607" s="4"/>
      <c r="AD607" s="20"/>
    </row>
    <row r="608" spans="14:30" x14ac:dyDescent="0.3">
      <c r="N608" s="8"/>
      <c r="P608" s="34"/>
      <c r="Q608" s="4"/>
      <c r="R608" s="4"/>
      <c r="S608" s="4"/>
      <c r="T608" s="4"/>
      <c r="U608" s="4"/>
      <c r="V608" s="4"/>
      <c r="X608" s="4"/>
      <c r="Y608" s="4"/>
      <c r="AA608" s="4"/>
      <c r="AB608" s="4"/>
      <c r="AC608" s="4"/>
      <c r="AD608" s="20"/>
    </row>
    <row r="609" spans="14:30" x14ac:dyDescent="0.3">
      <c r="N609" s="8"/>
      <c r="P609" s="34"/>
      <c r="Q609" s="4"/>
      <c r="R609" s="4"/>
      <c r="S609" s="4"/>
      <c r="T609" s="4"/>
      <c r="U609" s="4"/>
      <c r="V609" s="4"/>
      <c r="X609" s="4"/>
      <c r="Y609" s="4"/>
      <c r="AA609" s="4"/>
      <c r="AB609" s="4"/>
      <c r="AC609" s="4"/>
      <c r="AD609" s="20"/>
    </row>
    <row r="610" spans="14:30" x14ac:dyDescent="0.3">
      <c r="N610" s="8"/>
      <c r="P610" s="34"/>
      <c r="Q610" s="4"/>
      <c r="R610" s="4"/>
      <c r="S610" s="4"/>
      <c r="T610" s="4"/>
      <c r="U610" s="4"/>
      <c r="V610" s="4"/>
      <c r="X610" s="4"/>
      <c r="Y610" s="4"/>
      <c r="AA610" s="4"/>
      <c r="AB610" s="4"/>
      <c r="AC610" s="4"/>
      <c r="AD610" s="20"/>
    </row>
    <row r="611" spans="14:30" x14ac:dyDescent="0.3">
      <c r="N611" s="8"/>
      <c r="P611" s="34"/>
      <c r="Q611" s="4"/>
      <c r="R611" s="4"/>
      <c r="S611" s="4"/>
      <c r="T611" s="4"/>
      <c r="U611" s="4"/>
      <c r="V611" s="4"/>
      <c r="X611" s="4"/>
      <c r="Y611" s="4"/>
      <c r="AA611" s="4"/>
      <c r="AB611" s="4"/>
      <c r="AC611" s="4"/>
      <c r="AD611" s="20"/>
    </row>
    <row r="612" spans="14:30" x14ac:dyDescent="0.3">
      <c r="N612" s="8"/>
      <c r="P612" s="34"/>
      <c r="Q612" s="4"/>
      <c r="R612" s="4"/>
      <c r="S612" s="4"/>
      <c r="T612" s="4"/>
      <c r="U612" s="4"/>
      <c r="V612" s="4"/>
      <c r="X612" s="4"/>
      <c r="Y612" s="4"/>
      <c r="AA612" s="4"/>
      <c r="AB612" s="4"/>
      <c r="AC612" s="4"/>
      <c r="AD612" s="20"/>
    </row>
    <row r="613" spans="14:30" x14ac:dyDescent="0.3">
      <c r="N613" s="8"/>
      <c r="P613" s="34"/>
      <c r="Q613" s="4"/>
      <c r="R613" s="4"/>
      <c r="S613" s="4"/>
      <c r="T613" s="4"/>
      <c r="U613" s="4"/>
      <c r="V613" s="4"/>
      <c r="X613" s="4"/>
      <c r="Y613" s="4"/>
      <c r="AA613" s="4"/>
      <c r="AB613" s="4"/>
      <c r="AC613" s="4"/>
      <c r="AD613" s="20"/>
    </row>
    <row r="614" spans="14:30" x14ac:dyDescent="0.3">
      <c r="N614" s="8"/>
      <c r="P614" s="34"/>
      <c r="Q614" s="4"/>
      <c r="R614" s="4"/>
      <c r="S614" s="4"/>
      <c r="T614" s="4"/>
      <c r="U614" s="4"/>
      <c r="V614" s="4"/>
      <c r="X614" s="4"/>
      <c r="Y614" s="4"/>
      <c r="AA614" s="4"/>
      <c r="AB614" s="4"/>
      <c r="AC614" s="4"/>
      <c r="AD614" s="20"/>
    </row>
    <row r="615" spans="14:30" x14ac:dyDescent="0.3">
      <c r="N615" s="8"/>
      <c r="P615" s="34"/>
      <c r="Q615" s="4"/>
      <c r="R615" s="4"/>
      <c r="S615" s="4"/>
      <c r="T615" s="4"/>
      <c r="U615" s="4"/>
      <c r="V615" s="4"/>
      <c r="X615" s="4"/>
      <c r="Y615" s="4"/>
      <c r="AA615" s="4"/>
      <c r="AB615" s="4"/>
      <c r="AC615" s="4"/>
      <c r="AD615" s="20"/>
    </row>
    <row r="616" spans="14:30" x14ac:dyDescent="0.3">
      <c r="N616" s="8"/>
      <c r="P616" s="34"/>
      <c r="Q616" s="4"/>
      <c r="R616" s="4"/>
      <c r="S616" s="4"/>
      <c r="T616" s="4"/>
      <c r="U616" s="4"/>
      <c r="V616" s="4"/>
      <c r="X616" s="4"/>
      <c r="Y616" s="4"/>
      <c r="AA616" s="4"/>
      <c r="AB616" s="4"/>
      <c r="AC616" s="4"/>
      <c r="AD616" s="20"/>
    </row>
    <row r="617" spans="14:30" x14ac:dyDescent="0.3">
      <c r="N617" s="8"/>
      <c r="P617" s="34"/>
      <c r="Q617" s="4"/>
      <c r="R617" s="4"/>
      <c r="S617" s="4"/>
      <c r="T617" s="4"/>
      <c r="U617" s="4"/>
      <c r="V617" s="4"/>
      <c r="X617" s="4"/>
      <c r="Y617" s="4"/>
      <c r="AA617" s="4"/>
      <c r="AB617" s="4"/>
      <c r="AC617" s="4"/>
      <c r="AD617" s="20"/>
    </row>
    <row r="618" spans="14:30" x14ac:dyDescent="0.3">
      <c r="N618" s="8"/>
      <c r="P618" s="34"/>
      <c r="Q618" s="4"/>
      <c r="R618" s="4"/>
      <c r="S618" s="4"/>
      <c r="T618" s="4"/>
      <c r="U618" s="4"/>
      <c r="V618" s="4"/>
      <c r="X618" s="4"/>
      <c r="Y618" s="4"/>
      <c r="AA618" s="4"/>
      <c r="AB618" s="4"/>
      <c r="AC618" s="4"/>
      <c r="AD618" s="20"/>
    </row>
    <row r="619" spans="14:30" x14ac:dyDescent="0.3">
      <c r="N619" s="8"/>
      <c r="P619" s="34"/>
      <c r="Q619" s="4"/>
      <c r="R619" s="4"/>
      <c r="S619" s="4"/>
      <c r="T619" s="4"/>
      <c r="U619" s="4"/>
      <c r="V619" s="4"/>
      <c r="X619" s="4"/>
      <c r="Y619" s="4"/>
      <c r="AA619" s="4"/>
      <c r="AB619" s="4"/>
      <c r="AC619" s="4"/>
      <c r="AD619" s="20"/>
    </row>
    <row r="620" spans="14:30" x14ac:dyDescent="0.3">
      <c r="N620" s="8"/>
      <c r="P620" s="34"/>
      <c r="Q620" s="4"/>
      <c r="R620" s="4"/>
      <c r="S620" s="4"/>
      <c r="T620" s="4"/>
      <c r="U620" s="4"/>
      <c r="V620" s="4"/>
      <c r="X620" s="4"/>
      <c r="Y620" s="4"/>
      <c r="AA620" s="4"/>
      <c r="AB620" s="4"/>
      <c r="AC620" s="4"/>
      <c r="AD620" s="20"/>
    </row>
    <row r="621" spans="14:30" x14ac:dyDescent="0.3">
      <c r="N621" s="8"/>
      <c r="P621" s="34"/>
      <c r="Q621" s="4"/>
      <c r="R621" s="4"/>
      <c r="S621" s="4"/>
      <c r="T621" s="4"/>
      <c r="U621" s="4"/>
      <c r="V621" s="4"/>
      <c r="X621" s="4"/>
      <c r="Y621" s="4"/>
      <c r="AA621" s="4"/>
      <c r="AB621" s="4"/>
      <c r="AC621" s="4"/>
      <c r="AD621" s="20"/>
    </row>
    <row r="622" spans="14:30" x14ac:dyDescent="0.3">
      <c r="N622" s="8"/>
      <c r="P622" s="34"/>
      <c r="Q622" s="4"/>
      <c r="R622" s="4"/>
      <c r="S622" s="4"/>
      <c r="T622" s="4"/>
      <c r="U622" s="4"/>
      <c r="V622" s="4"/>
      <c r="X622" s="4"/>
      <c r="Y622" s="4"/>
      <c r="AA622" s="4"/>
      <c r="AB622" s="4"/>
      <c r="AC622" s="4"/>
      <c r="AD622" s="20"/>
    </row>
    <row r="623" spans="14:30" x14ac:dyDescent="0.3">
      <c r="N623" s="8"/>
      <c r="P623" s="34"/>
      <c r="Q623" s="4"/>
      <c r="R623" s="4"/>
      <c r="S623" s="4"/>
      <c r="T623" s="4"/>
      <c r="U623" s="4"/>
      <c r="V623" s="4"/>
      <c r="X623" s="4"/>
      <c r="Y623" s="4"/>
      <c r="AA623" s="4"/>
      <c r="AB623" s="4"/>
      <c r="AC623" s="4"/>
      <c r="AD623" s="20"/>
    </row>
    <row r="624" spans="14:30" x14ac:dyDescent="0.3">
      <c r="N624" s="8"/>
      <c r="P624" s="34"/>
      <c r="Q624" s="4"/>
      <c r="R624" s="4"/>
      <c r="S624" s="4"/>
      <c r="T624" s="4"/>
      <c r="U624" s="4"/>
      <c r="V624" s="4"/>
      <c r="X624" s="4"/>
      <c r="Y624" s="4"/>
      <c r="AA624" s="4"/>
      <c r="AB624" s="4"/>
      <c r="AC624" s="4"/>
      <c r="AD624" s="20"/>
    </row>
    <row r="625" spans="14:30" x14ac:dyDescent="0.3">
      <c r="N625" s="8"/>
      <c r="P625" s="34"/>
      <c r="Q625" s="4"/>
      <c r="R625" s="4"/>
      <c r="S625" s="4"/>
      <c r="T625" s="4"/>
      <c r="U625" s="4"/>
      <c r="V625" s="4"/>
      <c r="X625" s="4"/>
      <c r="Y625" s="4"/>
      <c r="AA625" s="4"/>
      <c r="AB625" s="4"/>
      <c r="AC625" s="4"/>
      <c r="AD625" s="20"/>
    </row>
    <row r="626" spans="14:30" x14ac:dyDescent="0.3">
      <c r="N626" s="8"/>
      <c r="P626" s="34"/>
      <c r="Q626" s="4"/>
      <c r="R626" s="4"/>
      <c r="S626" s="4"/>
      <c r="T626" s="4"/>
      <c r="U626" s="4"/>
      <c r="V626" s="4"/>
      <c r="X626" s="4"/>
      <c r="Y626" s="4"/>
      <c r="AA626" s="4"/>
      <c r="AB626" s="4"/>
      <c r="AC626" s="4"/>
      <c r="AD626" s="20"/>
    </row>
    <row r="627" spans="14:30" x14ac:dyDescent="0.3">
      <c r="N627" s="8"/>
      <c r="P627" s="34"/>
      <c r="Q627" s="4"/>
      <c r="R627" s="4"/>
      <c r="S627" s="4"/>
      <c r="T627" s="4"/>
      <c r="U627" s="4"/>
      <c r="V627" s="4"/>
      <c r="X627" s="4"/>
      <c r="Y627" s="4"/>
      <c r="AA627" s="4"/>
      <c r="AB627" s="4"/>
      <c r="AC627" s="4"/>
      <c r="AD627" s="20"/>
    </row>
    <row r="628" spans="14:30" x14ac:dyDescent="0.3">
      <c r="N628" s="8"/>
      <c r="P628" s="34"/>
      <c r="Q628" s="4"/>
      <c r="R628" s="4"/>
      <c r="S628" s="4"/>
      <c r="T628" s="4"/>
      <c r="U628" s="4"/>
      <c r="V628" s="4"/>
      <c r="X628" s="4"/>
      <c r="Y628" s="4"/>
      <c r="AA628" s="4"/>
      <c r="AB628" s="4"/>
      <c r="AC628" s="4"/>
      <c r="AD628" s="20"/>
    </row>
    <row r="629" spans="14:30" x14ac:dyDescent="0.3">
      <c r="N629" s="8"/>
      <c r="P629" s="34"/>
      <c r="Q629" s="4"/>
      <c r="R629" s="4"/>
      <c r="S629" s="4"/>
      <c r="T629" s="4"/>
      <c r="U629" s="4"/>
      <c r="V629" s="4"/>
      <c r="X629" s="4"/>
      <c r="Y629" s="4"/>
      <c r="AA629" s="4"/>
      <c r="AB629" s="4"/>
      <c r="AC629" s="4"/>
      <c r="AD629" s="20"/>
    </row>
    <row r="630" spans="14:30" x14ac:dyDescent="0.3">
      <c r="N630" s="8"/>
      <c r="P630" s="34"/>
      <c r="Q630" s="4"/>
      <c r="R630" s="4"/>
      <c r="S630" s="4"/>
      <c r="T630" s="4"/>
      <c r="U630" s="4"/>
      <c r="V630" s="4"/>
      <c r="X630" s="4"/>
      <c r="Y630" s="4"/>
      <c r="AA630" s="4"/>
      <c r="AB630" s="4"/>
      <c r="AC630" s="4"/>
      <c r="AD630" s="20"/>
    </row>
    <row r="631" spans="14:30" x14ac:dyDescent="0.3">
      <c r="N631" s="8"/>
      <c r="P631" s="34"/>
      <c r="Q631" s="4"/>
      <c r="R631" s="4"/>
      <c r="S631" s="4"/>
      <c r="T631" s="4"/>
      <c r="U631" s="4"/>
      <c r="V631" s="4"/>
      <c r="X631" s="4"/>
      <c r="Y631" s="4"/>
      <c r="AA631" s="4"/>
      <c r="AB631" s="4"/>
      <c r="AC631" s="4"/>
      <c r="AD631" s="20"/>
    </row>
    <row r="632" spans="14:30" x14ac:dyDescent="0.3">
      <c r="N632" s="8"/>
      <c r="P632" s="34"/>
      <c r="Q632" s="4"/>
      <c r="R632" s="4"/>
      <c r="S632" s="4"/>
      <c r="T632" s="4"/>
      <c r="U632" s="4"/>
      <c r="V632" s="4"/>
      <c r="X632" s="4"/>
      <c r="Y632" s="4"/>
      <c r="AA632" s="4"/>
      <c r="AB632" s="4"/>
      <c r="AC632" s="4"/>
      <c r="AD632" s="20"/>
    </row>
    <row r="633" spans="14:30" x14ac:dyDescent="0.3">
      <c r="N633" s="8"/>
      <c r="P633" s="34"/>
      <c r="Q633" s="4"/>
      <c r="R633" s="4"/>
      <c r="S633" s="4"/>
      <c r="T633" s="4"/>
      <c r="U633" s="4"/>
      <c r="V633" s="4"/>
      <c r="X633" s="4"/>
      <c r="Y633" s="4"/>
      <c r="AA633" s="4"/>
      <c r="AB633" s="4"/>
      <c r="AC633" s="4"/>
      <c r="AD633" s="20"/>
    </row>
    <row r="634" spans="14:30" x14ac:dyDescent="0.3">
      <c r="N634" s="8"/>
      <c r="P634" s="34"/>
      <c r="Q634" s="4"/>
      <c r="R634" s="4"/>
      <c r="S634" s="4"/>
      <c r="T634" s="4"/>
      <c r="U634" s="4"/>
      <c r="V634" s="4"/>
      <c r="X634" s="4"/>
      <c r="Y634" s="4"/>
      <c r="AA634" s="4"/>
      <c r="AB634" s="4"/>
      <c r="AC634" s="4"/>
      <c r="AD634" s="20"/>
    </row>
    <row r="635" spans="14:30" x14ac:dyDescent="0.3">
      <c r="N635" s="8"/>
      <c r="P635" s="34"/>
      <c r="Q635" s="4"/>
      <c r="R635" s="4"/>
      <c r="S635" s="4"/>
      <c r="T635" s="4"/>
      <c r="U635" s="4"/>
      <c r="V635" s="4"/>
      <c r="X635" s="4"/>
      <c r="Y635" s="4"/>
      <c r="AA635" s="4"/>
      <c r="AB635" s="4"/>
      <c r="AC635" s="4"/>
      <c r="AD635" s="20"/>
    </row>
    <row r="636" spans="14:30" x14ac:dyDescent="0.3">
      <c r="N636" s="8"/>
      <c r="P636" s="34"/>
      <c r="Q636" s="4"/>
      <c r="R636" s="4"/>
      <c r="S636" s="4"/>
      <c r="T636" s="4"/>
      <c r="U636" s="4"/>
      <c r="V636" s="4"/>
      <c r="X636" s="4"/>
      <c r="Y636" s="4"/>
      <c r="AA636" s="4"/>
      <c r="AB636" s="4"/>
      <c r="AC636" s="4"/>
      <c r="AD636" s="20"/>
    </row>
    <row r="637" spans="14:30" x14ac:dyDescent="0.3">
      <c r="N637" s="8"/>
      <c r="P637" s="34"/>
      <c r="Q637" s="4"/>
      <c r="R637" s="4"/>
      <c r="S637" s="4"/>
      <c r="T637" s="4"/>
      <c r="U637" s="4"/>
      <c r="V637" s="4"/>
      <c r="X637" s="4"/>
      <c r="Y637" s="4"/>
      <c r="AA637" s="4"/>
      <c r="AB637" s="4"/>
      <c r="AC637" s="4"/>
      <c r="AD637" s="20"/>
    </row>
    <row r="638" spans="14:30" x14ac:dyDescent="0.3">
      <c r="N638" s="8"/>
      <c r="P638" s="34"/>
      <c r="Q638" s="4"/>
      <c r="R638" s="4"/>
      <c r="S638" s="4"/>
      <c r="T638" s="4"/>
      <c r="U638" s="4"/>
      <c r="V638" s="4"/>
      <c r="X638" s="4"/>
      <c r="Y638" s="4"/>
      <c r="AA638" s="4"/>
      <c r="AB638" s="4"/>
      <c r="AC638" s="4"/>
      <c r="AD638" s="20"/>
    </row>
    <row r="639" spans="14:30" x14ac:dyDescent="0.3">
      <c r="N639" s="8"/>
      <c r="P639" s="34"/>
      <c r="Q639" s="4"/>
      <c r="R639" s="4"/>
      <c r="S639" s="4"/>
      <c r="T639" s="4"/>
      <c r="U639" s="4"/>
      <c r="V639" s="4"/>
      <c r="X639" s="4"/>
      <c r="Y639" s="4"/>
      <c r="AA639" s="4"/>
      <c r="AB639" s="4"/>
      <c r="AC639" s="4"/>
      <c r="AD639" s="20"/>
    </row>
    <row r="640" spans="14:30" x14ac:dyDescent="0.3">
      <c r="N640" s="8"/>
      <c r="P640" s="34"/>
      <c r="Q640" s="4"/>
      <c r="R640" s="4"/>
      <c r="S640" s="4"/>
      <c r="T640" s="4"/>
      <c r="U640" s="4"/>
      <c r="V640" s="4"/>
      <c r="X640" s="4"/>
      <c r="Y640" s="4"/>
      <c r="AA640" s="4"/>
      <c r="AB640" s="4"/>
      <c r="AC640" s="4"/>
      <c r="AD640" s="20"/>
    </row>
    <row r="641" spans="14:30" x14ac:dyDescent="0.3">
      <c r="N641" s="8"/>
      <c r="P641" s="34"/>
      <c r="Q641" s="4"/>
      <c r="R641" s="4"/>
      <c r="S641" s="4"/>
      <c r="T641" s="4"/>
      <c r="U641" s="4"/>
      <c r="V641" s="4"/>
      <c r="X641" s="4"/>
      <c r="Y641" s="4"/>
      <c r="AA641" s="4"/>
      <c r="AB641" s="4"/>
      <c r="AC641" s="4"/>
      <c r="AD641" s="20"/>
    </row>
    <row r="642" spans="14:30" x14ac:dyDescent="0.3">
      <c r="N642" s="8"/>
      <c r="P642" s="34"/>
      <c r="Q642" s="4"/>
      <c r="R642" s="4"/>
      <c r="S642" s="4"/>
      <c r="T642" s="4"/>
      <c r="U642" s="4"/>
      <c r="V642" s="4"/>
      <c r="X642" s="4"/>
      <c r="Y642" s="4"/>
      <c r="AA642" s="4"/>
      <c r="AB642" s="4"/>
      <c r="AC642" s="4"/>
      <c r="AD642" s="20"/>
    </row>
    <row r="643" spans="14:30" x14ac:dyDescent="0.3">
      <c r="N643" s="8"/>
      <c r="P643" s="34"/>
      <c r="Q643" s="4"/>
      <c r="R643" s="4"/>
      <c r="S643" s="4"/>
      <c r="T643" s="4"/>
      <c r="U643" s="4"/>
      <c r="V643" s="4"/>
      <c r="X643" s="4"/>
      <c r="Y643" s="4"/>
      <c r="AA643" s="4"/>
      <c r="AB643" s="4"/>
      <c r="AC643" s="4"/>
      <c r="AD643" s="20"/>
    </row>
    <row r="644" spans="14:30" x14ac:dyDescent="0.3">
      <c r="N644" s="8"/>
      <c r="P644" s="34"/>
      <c r="Q644" s="4"/>
      <c r="R644" s="4"/>
      <c r="S644" s="4"/>
      <c r="T644" s="4"/>
      <c r="U644" s="4"/>
      <c r="V644" s="4"/>
      <c r="X644" s="4"/>
      <c r="Y644" s="4"/>
      <c r="AA644" s="4"/>
      <c r="AB644" s="4"/>
      <c r="AC644" s="4"/>
      <c r="AD644" s="20"/>
    </row>
    <row r="645" spans="14:30" x14ac:dyDescent="0.3">
      <c r="N645" s="8"/>
      <c r="P645" s="34"/>
      <c r="Q645" s="4"/>
      <c r="R645" s="4"/>
      <c r="S645" s="4"/>
      <c r="T645" s="4"/>
      <c r="U645" s="4"/>
      <c r="V645" s="4"/>
      <c r="X645" s="4"/>
      <c r="Y645" s="4"/>
      <c r="AA645" s="4"/>
      <c r="AB645" s="4"/>
      <c r="AC645" s="4"/>
      <c r="AD645" s="20"/>
    </row>
    <row r="646" spans="14:30" x14ac:dyDescent="0.3">
      <c r="N646" s="8"/>
      <c r="P646" s="34"/>
      <c r="Q646" s="4"/>
      <c r="R646" s="4"/>
      <c r="S646" s="4"/>
      <c r="T646" s="4"/>
      <c r="U646" s="4"/>
      <c r="V646" s="4"/>
      <c r="X646" s="4"/>
      <c r="Y646" s="4"/>
      <c r="AA646" s="4"/>
      <c r="AB646" s="4"/>
      <c r="AC646" s="4"/>
      <c r="AD646" s="20"/>
    </row>
    <row r="647" spans="14:30" x14ac:dyDescent="0.3">
      <c r="N647" s="8"/>
      <c r="P647" s="34"/>
      <c r="Q647" s="4"/>
      <c r="R647" s="4"/>
      <c r="S647" s="4"/>
      <c r="T647" s="4"/>
      <c r="U647" s="4"/>
      <c r="V647" s="4"/>
      <c r="X647" s="4"/>
      <c r="Y647" s="4"/>
      <c r="AA647" s="4"/>
      <c r="AB647" s="4"/>
      <c r="AC647" s="4"/>
      <c r="AD647" s="20"/>
    </row>
    <row r="648" spans="14:30" x14ac:dyDescent="0.3">
      <c r="N648" s="8"/>
      <c r="P648" s="34"/>
      <c r="Q648" s="4"/>
      <c r="R648" s="4"/>
      <c r="S648" s="4"/>
      <c r="T648" s="4"/>
      <c r="U648" s="4"/>
      <c r="V648" s="4"/>
      <c r="X648" s="4"/>
      <c r="Y648" s="4"/>
      <c r="AA648" s="4"/>
      <c r="AB648" s="4"/>
      <c r="AC648" s="4"/>
      <c r="AD648" s="20"/>
    </row>
    <row r="649" spans="14:30" x14ac:dyDescent="0.3">
      <c r="N649" s="8"/>
      <c r="P649" s="34"/>
      <c r="Q649" s="4"/>
      <c r="R649" s="4"/>
      <c r="S649" s="4"/>
      <c r="T649" s="4"/>
      <c r="U649" s="4"/>
      <c r="V649" s="4"/>
      <c r="X649" s="4"/>
      <c r="Y649" s="4"/>
      <c r="AA649" s="4"/>
      <c r="AB649" s="4"/>
      <c r="AC649" s="4"/>
      <c r="AD649" s="20"/>
    </row>
    <row r="650" spans="14:30" x14ac:dyDescent="0.3">
      <c r="N650" s="8"/>
      <c r="P650" s="34"/>
      <c r="Q650" s="4"/>
      <c r="R650" s="4"/>
      <c r="S650" s="4"/>
      <c r="T650" s="4"/>
      <c r="U650" s="4"/>
      <c r="V650" s="4"/>
      <c r="X650" s="4"/>
      <c r="Y650" s="4"/>
      <c r="AA650" s="4"/>
      <c r="AB650" s="4"/>
      <c r="AC650" s="4"/>
      <c r="AD650" s="20"/>
    </row>
    <row r="651" spans="14:30" x14ac:dyDescent="0.3">
      <c r="N651" s="8"/>
      <c r="P651" s="34"/>
      <c r="Q651" s="4"/>
      <c r="R651" s="4"/>
      <c r="S651" s="4"/>
      <c r="T651" s="4"/>
      <c r="U651" s="4"/>
      <c r="V651" s="4"/>
      <c r="X651" s="4"/>
      <c r="Y651" s="4"/>
      <c r="AA651" s="4"/>
      <c r="AB651" s="4"/>
      <c r="AC651" s="4"/>
      <c r="AD651" s="20"/>
    </row>
    <row r="652" spans="14:30" x14ac:dyDescent="0.3">
      <c r="N652" s="8"/>
      <c r="P652" s="34"/>
      <c r="Q652" s="4"/>
      <c r="R652" s="4"/>
      <c r="S652" s="4"/>
      <c r="T652" s="4"/>
      <c r="U652" s="4"/>
      <c r="V652" s="4"/>
      <c r="X652" s="4"/>
      <c r="Y652" s="4"/>
      <c r="AA652" s="4"/>
      <c r="AB652" s="4"/>
      <c r="AC652" s="4"/>
      <c r="AD652" s="20"/>
    </row>
    <row r="653" spans="14:30" x14ac:dyDescent="0.3">
      <c r="N653" s="8"/>
      <c r="P653" s="34"/>
      <c r="Q653" s="4"/>
      <c r="R653" s="4"/>
      <c r="S653" s="4"/>
      <c r="T653" s="4"/>
      <c r="U653" s="4"/>
      <c r="V653" s="4"/>
      <c r="X653" s="4"/>
      <c r="Y653" s="4"/>
      <c r="AA653" s="4"/>
      <c r="AB653" s="4"/>
      <c r="AC653" s="4"/>
      <c r="AD653" s="20"/>
    </row>
    <row r="654" spans="14:30" x14ac:dyDescent="0.3">
      <c r="N654" s="8"/>
      <c r="P654" s="34"/>
      <c r="Q654" s="4"/>
      <c r="R654" s="4"/>
      <c r="S654" s="4"/>
      <c r="T654" s="4"/>
      <c r="U654" s="4"/>
      <c r="V654" s="4"/>
      <c r="X654" s="4"/>
      <c r="Y654" s="4"/>
      <c r="AA654" s="4"/>
      <c r="AB654" s="4"/>
      <c r="AC654" s="4"/>
      <c r="AD654" s="20"/>
    </row>
    <row r="655" spans="14:30" x14ac:dyDescent="0.3">
      <c r="N655" s="8"/>
      <c r="P655" s="34"/>
      <c r="Q655" s="4"/>
      <c r="R655" s="4"/>
      <c r="S655" s="4"/>
      <c r="T655" s="4"/>
      <c r="U655" s="4"/>
      <c r="V655" s="4"/>
      <c r="X655" s="4"/>
      <c r="Y655" s="4"/>
      <c r="AA655" s="4"/>
      <c r="AB655" s="4"/>
      <c r="AC655" s="4"/>
      <c r="AD655" s="20"/>
    </row>
    <row r="656" spans="14:30" x14ac:dyDescent="0.3">
      <c r="N656" s="8"/>
      <c r="P656" s="34"/>
      <c r="Q656" s="4"/>
      <c r="R656" s="4"/>
      <c r="S656" s="4"/>
      <c r="T656" s="4"/>
      <c r="U656" s="4"/>
      <c r="V656" s="4"/>
      <c r="X656" s="4"/>
      <c r="Y656" s="4"/>
      <c r="AA656" s="4"/>
      <c r="AB656" s="4"/>
      <c r="AC656" s="4"/>
      <c r="AD656" s="20"/>
    </row>
    <row r="657" spans="14:30" x14ac:dyDescent="0.3">
      <c r="N657" s="8"/>
      <c r="P657" s="34"/>
      <c r="Q657" s="4"/>
      <c r="R657" s="4"/>
      <c r="S657" s="4"/>
      <c r="T657" s="4"/>
      <c r="U657" s="4"/>
      <c r="V657" s="4"/>
      <c r="X657" s="4"/>
      <c r="Y657" s="4"/>
      <c r="AA657" s="4"/>
      <c r="AB657" s="4"/>
      <c r="AC657" s="4"/>
      <c r="AD657" s="20"/>
    </row>
    <row r="658" spans="14:30" x14ac:dyDescent="0.3">
      <c r="N658" s="8"/>
      <c r="P658" s="34"/>
      <c r="Q658" s="4"/>
      <c r="R658" s="4"/>
      <c r="S658" s="4"/>
      <c r="T658" s="4"/>
      <c r="U658" s="4"/>
      <c r="V658" s="4"/>
      <c r="X658" s="4"/>
      <c r="Y658" s="4"/>
      <c r="AA658" s="4"/>
      <c r="AB658" s="4"/>
      <c r="AC658" s="4"/>
      <c r="AD658" s="20"/>
    </row>
    <row r="659" spans="14:30" x14ac:dyDescent="0.3">
      <c r="N659" s="8"/>
      <c r="P659" s="34"/>
      <c r="Q659" s="4"/>
      <c r="R659" s="4"/>
      <c r="S659" s="4"/>
      <c r="T659" s="4"/>
      <c r="U659" s="4"/>
      <c r="V659" s="4"/>
      <c r="X659" s="4"/>
      <c r="Y659" s="4"/>
      <c r="AA659" s="4"/>
      <c r="AB659" s="4"/>
      <c r="AC659" s="4"/>
      <c r="AD659" s="20"/>
    </row>
    <row r="660" spans="14:30" x14ac:dyDescent="0.3">
      <c r="N660" s="8"/>
      <c r="P660" s="34"/>
      <c r="Q660" s="4"/>
      <c r="R660" s="4"/>
      <c r="S660" s="4"/>
      <c r="T660" s="4"/>
      <c r="U660" s="4"/>
      <c r="V660" s="4"/>
      <c r="X660" s="4"/>
      <c r="Y660" s="4"/>
      <c r="AA660" s="4"/>
      <c r="AB660" s="4"/>
      <c r="AC660" s="4"/>
      <c r="AD660" s="20"/>
    </row>
    <row r="661" spans="14:30" x14ac:dyDescent="0.3">
      <c r="N661" s="8"/>
      <c r="P661" s="34"/>
      <c r="Q661" s="4"/>
      <c r="R661" s="4"/>
      <c r="S661" s="4"/>
      <c r="T661" s="4"/>
      <c r="U661" s="4"/>
      <c r="V661" s="4"/>
      <c r="X661" s="4"/>
      <c r="Y661" s="4"/>
      <c r="AA661" s="4"/>
      <c r="AB661" s="4"/>
      <c r="AC661" s="4"/>
      <c r="AD661" s="20"/>
    </row>
    <row r="662" spans="14:30" x14ac:dyDescent="0.3">
      <c r="N662" s="8"/>
      <c r="P662" s="34"/>
      <c r="Q662" s="4"/>
      <c r="R662" s="4"/>
      <c r="S662" s="4"/>
      <c r="T662" s="4"/>
      <c r="U662" s="4"/>
      <c r="V662" s="4"/>
      <c r="X662" s="4"/>
      <c r="Y662" s="4"/>
      <c r="AA662" s="4"/>
      <c r="AB662" s="4"/>
      <c r="AC662" s="4"/>
      <c r="AD662" s="20"/>
    </row>
    <row r="663" spans="14:30" x14ac:dyDescent="0.3">
      <c r="N663" s="8"/>
      <c r="P663" s="34"/>
      <c r="Q663" s="4"/>
      <c r="R663" s="4"/>
      <c r="S663" s="4"/>
      <c r="T663" s="4"/>
      <c r="U663" s="4"/>
      <c r="V663" s="4"/>
      <c r="X663" s="4"/>
      <c r="Y663" s="4"/>
      <c r="AA663" s="4"/>
      <c r="AB663" s="4"/>
      <c r="AC663" s="4"/>
      <c r="AD663" s="20"/>
    </row>
    <row r="664" spans="14:30" x14ac:dyDescent="0.3">
      <c r="N664" s="8"/>
      <c r="P664" s="34"/>
      <c r="Q664" s="4"/>
      <c r="R664" s="4"/>
      <c r="S664" s="4"/>
      <c r="T664" s="4"/>
      <c r="U664" s="4"/>
      <c r="V664" s="4"/>
      <c r="X664" s="4"/>
      <c r="Y664" s="4"/>
      <c r="AA664" s="4"/>
      <c r="AB664" s="4"/>
      <c r="AC664" s="4"/>
      <c r="AD664" s="20"/>
    </row>
    <row r="665" spans="14:30" x14ac:dyDescent="0.3">
      <c r="N665" s="8"/>
      <c r="P665" s="34"/>
      <c r="Q665" s="4"/>
      <c r="R665" s="4"/>
      <c r="S665" s="4"/>
      <c r="T665" s="4"/>
      <c r="U665" s="4"/>
      <c r="V665" s="4"/>
      <c r="X665" s="4"/>
      <c r="Y665" s="4"/>
      <c r="AA665" s="4"/>
      <c r="AB665" s="4"/>
      <c r="AC665" s="4"/>
      <c r="AD665" s="20"/>
    </row>
    <row r="666" spans="14:30" x14ac:dyDescent="0.3">
      <c r="N666" s="8"/>
      <c r="P666" s="34"/>
      <c r="Q666" s="4"/>
      <c r="R666" s="4"/>
      <c r="S666" s="4"/>
      <c r="T666" s="4"/>
      <c r="U666" s="4"/>
      <c r="V666" s="4"/>
      <c r="X666" s="4"/>
      <c r="Y666" s="4"/>
      <c r="AA666" s="4"/>
      <c r="AB666" s="4"/>
      <c r="AC666" s="4"/>
      <c r="AD666" s="20"/>
    </row>
    <row r="667" spans="14:30" x14ac:dyDescent="0.3">
      <c r="N667" s="8"/>
      <c r="P667" s="34"/>
      <c r="Q667" s="4"/>
      <c r="R667" s="4"/>
      <c r="S667" s="4"/>
      <c r="T667" s="4"/>
      <c r="U667" s="4"/>
      <c r="V667" s="4"/>
      <c r="X667" s="4"/>
      <c r="Y667" s="4"/>
      <c r="AA667" s="4"/>
      <c r="AB667" s="4"/>
      <c r="AC667" s="4"/>
      <c r="AD667" s="20"/>
    </row>
    <row r="668" spans="14:30" x14ac:dyDescent="0.3">
      <c r="N668" s="8"/>
      <c r="P668" s="34"/>
      <c r="Q668" s="4"/>
      <c r="R668" s="4"/>
      <c r="S668" s="4"/>
      <c r="T668" s="4"/>
      <c r="U668" s="4"/>
      <c r="V668" s="4"/>
      <c r="X668" s="4"/>
      <c r="Y668" s="4"/>
      <c r="AA668" s="4"/>
      <c r="AB668" s="4"/>
      <c r="AC668" s="4"/>
      <c r="AD668" s="20"/>
    </row>
    <row r="669" spans="14:30" x14ac:dyDescent="0.3">
      <c r="N669" s="8"/>
      <c r="P669" s="34"/>
      <c r="Q669" s="4"/>
      <c r="R669" s="4"/>
      <c r="S669" s="4"/>
      <c r="T669" s="4"/>
      <c r="U669" s="4"/>
      <c r="V669" s="4"/>
      <c r="X669" s="4"/>
      <c r="Y669" s="4"/>
      <c r="AA669" s="4"/>
      <c r="AB669" s="4"/>
      <c r="AC669" s="4"/>
      <c r="AD669" s="20"/>
    </row>
    <row r="670" spans="14:30" x14ac:dyDescent="0.3">
      <c r="N670" s="8"/>
      <c r="P670" s="34"/>
      <c r="Q670" s="4"/>
      <c r="R670" s="4"/>
      <c r="S670" s="4"/>
      <c r="T670" s="4"/>
      <c r="U670" s="4"/>
      <c r="V670" s="4"/>
      <c r="X670" s="4"/>
      <c r="Y670" s="4"/>
      <c r="AA670" s="4"/>
      <c r="AB670" s="4"/>
      <c r="AC670" s="4"/>
      <c r="AD670" s="20"/>
    </row>
    <row r="671" spans="14:30" x14ac:dyDescent="0.3">
      <c r="N671" s="8"/>
      <c r="P671" s="34"/>
      <c r="Q671" s="4"/>
      <c r="R671" s="4"/>
      <c r="S671" s="4"/>
      <c r="T671" s="4"/>
      <c r="U671" s="4"/>
      <c r="V671" s="4"/>
      <c r="X671" s="4"/>
      <c r="Y671" s="4"/>
      <c r="AA671" s="4"/>
      <c r="AB671" s="4"/>
      <c r="AC671" s="4"/>
      <c r="AD671" s="20"/>
    </row>
    <row r="672" spans="14:30" x14ac:dyDescent="0.3">
      <c r="N672" s="8"/>
      <c r="P672" s="34"/>
      <c r="Q672" s="4"/>
      <c r="R672" s="4"/>
      <c r="S672" s="4"/>
      <c r="T672" s="4"/>
      <c r="U672" s="4"/>
      <c r="V672" s="4"/>
      <c r="X672" s="4"/>
      <c r="Y672" s="4"/>
      <c r="AA672" s="4"/>
      <c r="AB672" s="4"/>
      <c r="AC672" s="4"/>
      <c r="AD672" s="20"/>
    </row>
    <row r="673" spans="14:30" x14ac:dyDescent="0.3">
      <c r="N673" s="8"/>
      <c r="P673" s="34"/>
      <c r="Q673" s="4"/>
      <c r="R673" s="4"/>
      <c r="S673" s="4"/>
      <c r="T673" s="4"/>
      <c r="U673" s="4"/>
      <c r="V673" s="4"/>
      <c r="X673" s="4"/>
      <c r="Y673" s="4"/>
      <c r="AA673" s="4"/>
      <c r="AB673" s="4"/>
      <c r="AC673" s="4"/>
      <c r="AD673" s="20"/>
    </row>
    <row r="674" spans="14:30" x14ac:dyDescent="0.3">
      <c r="N674" s="8"/>
      <c r="P674" s="34"/>
      <c r="Q674" s="4"/>
      <c r="R674" s="4"/>
      <c r="S674" s="4"/>
      <c r="T674" s="4"/>
      <c r="U674" s="4"/>
      <c r="V674" s="4"/>
      <c r="X674" s="4"/>
      <c r="Y674" s="4"/>
      <c r="AA674" s="4"/>
      <c r="AB674" s="4"/>
      <c r="AC674" s="4"/>
      <c r="AD674" s="20"/>
    </row>
    <row r="675" spans="14:30" x14ac:dyDescent="0.3">
      <c r="N675" s="8"/>
      <c r="P675" s="34"/>
      <c r="Q675" s="4"/>
      <c r="R675" s="4"/>
      <c r="S675" s="4"/>
      <c r="T675" s="4"/>
      <c r="U675" s="4"/>
      <c r="V675" s="4"/>
      <c r="X675" s="4"/>
      <c r="Y675" s="4"/>
      <c r="AA675" s="4"/>
      <c r="AB675" s="4"/>
      <c r="AC675" s="4"/>
      <c r="AD675" s="20"/>
    </row>
    <row r="676" spans="14:30" x14ac:dyDescent="0.3">
      <c r="N676" s="8"/>
      <c r="P676" s="34"/>
      <c r="Q676" s="4"/>
      <c r="R676" s="4"/>
      <c r="S676" s="4"/>
      <c r="T676" s="4"/>
      <c r="U676" s="4"/>
      <c r="V676" s="4"/>
      <c r="X676" s="4"/>
      <c r="Y676" s="4"/>
      <c r="AA676" s="4"/>
      <c r="AB676" s="4"/>
      <c r="AC676" s="4"/>
      <c r="AD676" s="20"/>
    </row>
    <row r="677" spans="14:30" x14ac:dyDescent="0.3">
      <c r="N677" s="8"/>
      <c r="P677" s="34"/>
      <c r="Q677" s="4"/>
      <c r="R677" s="4"/>
      <c r="S677" s="4"/>
      <c r="T677" s="4"/>
      <c r="U677" s="4"/>
      <c r="V677" s="4"/>
      <c r="X677" s="4"/>
      <c r="Y677" s="4"/>
      <c r="AA677" s="4"/>
      <c r="AB677" s="4"/>
      <c r="AC677" s="4"/>
      <c r="AD677" s="20"/>
    </row>
    <row r="678" spans="14:30" x14ac:dyDescent="0.3">
      <c r="N678" s="8"/>
      <c r="P678" s="34"/>
      <c r="Q678" s="4"/>
      <c r="R678" s="4"/>
      <c r="S678" s="4"/>
      <c r="T678" s="4"/>
      <c r="U678" s="4"/>
      <c r="V678" s="4"/>
      <c r="X678" s="4"/>
      <c r="Y678" s="4"/>
      <c r="AA678" s="4"/>
      <c r="AB678" s="4"/>
      <c r="AC678" s="4"/>
      <c r="AD678" s="20"/>
    </row>
    <row r="679" spans="14:30" x14ac:dyDescent="0.3">
      <c r="N679" s="8"/>
      <c r="P679" s="34"/>
      <c r="Q679" s="4"/>
      <c r="R679" s="4"/>
      <c r="S679" s="4"/>
      <c r="T679" s="4"/>
      <c r="U679" s="4"/>
      <c r="V679" s="4"/>
      <c r="X679" s="4"/>
      <c r="Y679" s="4"/>
      <c r="AA679" s="4"/>
      <c r="AB679" s="4"/>
      <c r="AC679" s="4"/>
      <c r="AD679" s="20"/>
    </row>
    <row r="680" spans="14:30" x14ac:dyDescent="0.3">
      <c r="N680" s="8"/>
      <c r="P680" s="34"/>
      <c r="Q680" s="4"/>
      <c r="R680" s="4"/>
      <c r="S680" s="4"/>
      <c r="T680" s="4"/>
      <c r="U680" s="4"/>
      <c r="V680" s="4"/>
      <c r="X680" s="4"/>
      <c r="Y680" s="4"/>
      <c r="AA680" s="4"/>
      <c r="AB680" s="4"/>
      <c r="AC680" s="4"/>
      <c r="AD680" s="20"/>
    </row>
    <row r="681" spans="14:30" x14ac:dyDescent="0.3">
      <c r="N681" s="8"/>
      <c r="P681" s="34"/>
      <c r="Q681" s="4"/>
      <c r="R681" s="4"/>
      <c r="S681" s="4"/>
      <c r="T681" s="4"/>
      <c r="U681" s="4"/>
      <c r="V681" s="4"/>
      <c r="X681" s="4"/>
      <c r="Y681" s="4"/>
      <c r="AA681" s="4"/>
      <c r="AB681" s="4"/>
      <c r="AC681" s="4"/>
      <c r="AD681" s="20"/>
    </row>
    <row r="682" spans="14:30" x14ac:dyDescent="0.3">
      <c r="N682" s="8"/>
      <c r="P682" s="34"/>
      <c r="Q682" s="4"/>
      <c r="R682" s="4"/>
      <c r="S682" s="4"/>
      <c r="T682" s="4"/>
      <c r="U682" s="4"/>
      <c r="V682" s="4"/>
      <c r="X682" s="4"/>
      <c r="Y682" s="4"/>
      <c r="AA682" s="4"/>
      <c r="AB682" s="4"/>
      <c r="AC682" s="4"/>
      <c r="AD682" s="20"/>
    </row>
    <row r="683" spans="14:30" x14ac:dyDescent="0.3">
      <c r="N683" s="8"/>
      <c r="P683" s="34"/>
      <c r="Q683" s="4"/>
      <c r="R683" s="4"/>
      <c r="S683" s="4"/>
      <c r="T683" s="4"/>
      <c r="U683" s="4"/>
      <c r="V683" s="4"/>
      <c r="X683" s="4"/>
      <c r="Y683" s="4"/>
      <c r="AA683" s="4"/>
      <c r="AB683" s="4"/>
      <c r="AC683" s="4"/>
      <c r="AD683" s="20"/>
    </row>
    <row r="684" spans="14:30" x14ac:dyDescent="0.3">
      <c r="N684" s="8"/>
      <c r="P684" s="34"/>
      <c r="Q684" s="4"/>
      <c r="R684" s="4"/>
      <c r="S684" s="4"/>
      <c r="T684" s="4"/>
      <c r="U684" s="4"/>
      <c r="V684" s="4"/>
      <c r="X684" s="4"/>
      <c r="Y684" s="4"/>
      <c r="AA684" s="4"/>
      <c r="AB684" s="4"/>
      <c r="AC684" s="4"/>
      <c r="AD684" s="20"/>
    </row>
    <row r="685" spans="14:30" x14ac:dyDescent="0.3">
      <c r="N685" s="8"/>
      <c r="P685" s="34"/>
      <c r="Q685" s="4"/>
      <c r="R685" s="4"/>
      <c r="S685" s="4"/>
      <c r="T685" s="4"/>
      <c r="U685" s="4"/>
      <c r="V685" s="4"/>
      <c r="X685" s="4"/>
      <c r="Y685" s="4"/>
      <c r="AA685" s="4"/>
      <c r="AB685" s="4"/>
      <c r="AC685" s="4"/>
      <c r="AD685" s="20"/>
    </row>
    <row r="686" spans="14:30" x14ac:dyDescent="0.3">
      <c r="N686" s="8"/>
      <c r="P686" s="34"/>
      <c r="Q686" s="4"/>
      <c r="R686" s="4"/>
      <c r="S686" s="4"/>
      <c r="T686" s="4"/>
      <c r="U686" s="4"/>
      <c r="V686" s="4"/>
      <c r="X686" s="4"/>
      <c r="Y686" s="4"/>
      <c r="AA686" s="4"/>
      <c r="AB686" s="4"/>
      <c r="AC686" s="4"/>
      <c r="AD686" s="20"/>
    </row>
    <row r="687" spans="14:30" x14ac:dyDescent="0.3">
      <c r="N687" s="8"/>
      <c r="P687" s="34"/>
      <c r="Q687" s="4"/>
      <c r="R687" s="4"/>
      <c r="S687" s="4"/>
      <c r="T687" s="4"/>
      <c r="U687" s="4"/>
      <c r="V687" s="4"/>
      <c r="X687" s="4"/>
      <c r="Y687" s="4"/>
      <c r="AA687" s="4"/>
      <c r="AB687" s="4"/>
      <c r="AC687" s="4"/>
      <c r="AD687" s="20"/>
    </row>
    <row r="688" spans="14:30" x14ac:dyDescent="0.3">
      <c r="N688" s="8"/>
      <c r="P688" s="34"/>
      <c r="Q688" s="4"/>
      <c r="R688" s="4"/>
      <c r="S688" s="4"/>
      <c r="T688" s="4"/>
      <c r="U688" s="4"/>
      <c r="V688" s="4"/>
      <c r="X688" s="4"/>
      <c r="Y688" s="4"/>
      <c r="AA688" s="4"/>
      <c r="AB688" s="4"/>
      <c r="AC688" s="4"/>
      <c r="AD688" s="20"/>
    </row>
    <row r="689" spans="14:30" x14ac:dyDescent="0.3">
      <c r="N689" s="8"/>
      <c r="P689" s="34"/>
      <c r="Q689" s="4"/>
      <c r="R689" s="4"/>
      <c r="S689" s="4"/>
      <c r="T689" s="4"/>
      <c r="U689" s="4"/>
      <c r="V689" s="4"/>
      <c r="X689" s="4"/>
      <c r="Y689" s="4"/>
      <c r="AA689" s="4"/>
      <c r="AB689" s="4"/>
      <c r="AC689" s="4"/>
      <c r="AD689" s="20"/>
    </row>
    <row r="690" spans="14:30" x14ac:dyDescent="0.3">
      <c r="N690" s="8"/>
      <c r="P690" s="34"/>
      <c r="Q690" s="4"/>
      <c r="R690" s="4"/>
      <c r="S690" s="4"/>
      <c r="T690" s="4"/>
      <c r="U690" s="4"/>
      <c r="V690" s="4"/>
      <c r="X690" s="4"/>
      <c r="Y690" s="4"/>
      <c r="AA690" s="4"/>
      <c r="AB690" s="4"/>
      <c r="AC690" s="4"/>
      <c r="AD690" s="20"/>
    </row>
    <row r="691" spans="14:30" x14ac:dyDescent="0.3">
      <c r="N691" s="8"/>
      <c r="P691" s="34"/>
      <c r="Q691" s="4"/>
      <c r="R691" s="4"/>
      <c r="S691" s="4"/>
      <c r="T691" s="4"/>
      <c r="U691" s="4"/>
      <c r="V691" s="4"/>
      <c r="X691" s="4"/>
      <c r="Y691" s="4"/>
      <c r="AA691" s="4"/>
      <c r="AB691" s="4"/>
      <c r="AC691" s="4"/>
      <c r="AD691" s="20"/>
    </row>
    <row r="692" spans="14:30" x14ac:dyDescent="0.3">
      <c r="N692" s="8"/>
      <c r="P692" s="34"/>
      <c r="Q692" s="4"/>
      <c r="R692" s="4"/>
      <c r="S692" s="4"/>
      <c r="T692" s="4"/>
      <c r="U692" s="4"/>
      <c r="V692" s="4"/>
      <c r="X692" s="4"/>
      <c r="Y692" s="4"/>
      <c r="AA692" s="4"/>
      <c r="AB692" s="4"/>
      <c r="AC692" s="4"/>
      <c r="AD692" s="20"/>
    </row>
    <row r="693" spans="14:30" x14ac:dyDescent="0.3">
      <c r="N693" s="8"/>
      <c r="P693" s="34"/>
      <c r="Q693" s="4"/>
      <c r="R693" s="4"/>
      <c r="S693" s="4"/>
      <c r="T693" s="4"/>
      <c r="U693" s="4"/>
      <c r="V693" s="4"/>
      <c r="X693" s="4"/>
      <c r="Y693" s="4"/>
      <c r="AA693" s="4"/>
      <c r="AB693" s="4"/>
      <c r="AC693" s="4"/>
      <c r="AD693" s="20"/>
    </row>
    <row r="694" spans="14:30" x14ac:dyDescent="0.3">
      <c r="N694" s="8"/>
      <c r="P694" s="34"/>
      <c r="Q694" s="4"/>
      <c r="R694" s="4"/>
      <c r="S694" s="4"/>
      <c r="T694" s="4"/>
      <c r="U694" s="4"/>
      <c r="V694" s="4"/>
      <c r="X694" s="4"/>
      <c r="Y694" s="4"/>
      <c r="AA694" s="4"/>
      <c r="AB694" s="4"/>
      <c r="AC694" s="4"/>
      <c r="AD694" s="20"/>
    </row>
    <row r="695" spans="14:30" x14ac:dyDescent="0.3">
      <c r="N695" s="8"/>
      <c r="P695" s="34"/>
      <c r="Q695" s="4"/>
      <c r="R695" s="4"/>
      <c r="S695" s="4"/>
      <c r="T695" s="4"/>
      <c r="U695" s="4"/>
      <c r="V695" s="4"/>
      <c r="X695" s="4"/>
      <c r="Y695" s="4"/>
      <c r="AA695" s="4"/>
      <c r="AB695" s="4"/>
      <c r="AC695" s="4"/>
      <c r="AD695" s="20"/>
    </row>
    <row r="696" spans="14:30" x14ac:dyDescent="0.3">
      <c r="N696" s="8"/>
      <c r="P696" s="34"/>
      <c r="Q696" s="4"/>
      <c r="R696" s="4"/>
      <c r="S696" s="4"/>
      <c r="T696" s="4"/>
      <c r="U696" s="4"/>
      <c r="V696" s="4"/>
      <c r="X696" s="4"/>
      <c r="Y696" s="4"/>
      <c r="AA696" s="4"/>
      <c r="AB696" s="4"/>
      <c r="AC696" s="4"/>
      <c r="AD696" s="20"/>
    </row>
    <row r="697" spans="14:30" x14ac:dyDescent="0.3">
      <c r="N697" s="8"/>
      <c r="P697" s="34"/>
      <c r="Q697" s="4"/>
      <c r="R697" s="4"/>
      <c r="S697" s="4"/>
      <c r="T697" s="4"/>
      <c r="U697" s="4"/>
      <c r="V697" s="4"/>
      <c r="X697" s="4"/>
      <c r="Y697" s="4"/>
      <c r="AA697" s="4"/>
      <c r="AB697" s="4"/>
      <c r="AC697" s="4"/>
      <c r="AD697" s="20"/>
    </row>
    <row r="698" spans="14:30" x14ac:dyDescent="0.3">
      <c r="N698" s="8"/>
      <c r="P698" s="34"/>
      <c r="Q698" s="4"/>
      <c r="R698" s="4"/>
      <c r="S698" s="4"/>
      <c r="T698" s="4"/>
      <c r="U698" s="4"/>
      <c r="V698" s="4"/>
      <c r="X698" s="4"/>
      <c r="Y698" s="4"/>
      <c r="AA698" s="4"/>
      <c r="AB698" s="4"/>
      <c r="AC698" s="4"/>
      <c r="AD698" s="20"/>
    </row>
    <row r="699" spans="14:30" x14ac:dyDescent="0.3">
      <c r="N699" s="8"/>
      <c r="P699" s="34"/>
      <c r="Q699" s="4"/>
      <c r="R699" s="4"/>
      <c r="S699" s="4"/>
      <c r="T699" s="4"/>
      <c r="U699" s="4"/>
      <c r="V699" s="4"/>
      <c r="X699" s="4"/>
      <c r="Y699" s="4"/>
      <c r="AA699" s="4"/>
      <c r="AB699" s="4"/>
      <c r="AC699" s="4"/>
      <c r="AD699" s="20"/>
    </row>
    <row r="700" spans="14:30" x14ac:dyDescent="0.3">
      <c r="N700" s="8"/>
      <c r="P700" s="34"/>
      <c r="Q700" s="4"/>
      <c r="R700" s="4"/>
      <c r="S700" s="4"/>
      <c r="T700" s="4"/>
      <c r="U700" s="4"/>
      <c r="V700" s="4"/>
      <c r="X700" s="4"/>
      <c r="Y700" s="4"/>
      <c r="AA700" s="4"/>
      <c r="AB700" s="4"/>
      <c r="AC700" s="4"/>
      <c r="AD700" s="20"/>
    </row>
    <row r="701" spans="14:30" x14ac:dyDescent="0.3">
      <c r="N701" s="8"/>
      <c r="P701" s="34"/>
      <c r="Q701" s="4"/>
      <c r="R701" s="4"/>
      <c r="S701" s="4"/>
      <c r="T701" s="4"/>
      <c r="U701" s="4"/>
      <c r="V701" s="4"/>
      <c r="X701" s="4"/>
      <c r="Y701" s="4"/>
      <c r="AA701" s="4"/>
      <c r="AB701" s="4"/>
      <c r="AC701" s="4"/>
      <c r="AD701" s="20"/>
    </row>
    <row r="702" spans="14:30" x14ac:dyDescent="0.3">
      <c r="N702" s="8"/>
      <c r="P702" s="34"/>
      <c r="Q702" s="4"/>
      <c r="R702" s="4"/>
      <c r="S702" s="4"/>
      <c r="T702" s="4"/>
      <c r="U702" s="4"/>
      <c r="V702" s="4"/>
      <c r="X702" s="4"/>
      <c r="Y702" s="4"/>
      <c r="AA702" s="4"/>
      <c r="AB702" s="4"/>
      <c r="AC702" s="4"/>
      <c r="AD702" s="20"/>
    </row>
    <row r="703" spans="14:30" x14ac:dyDescent="0.3">
      <c r="N703" s="8"/>
      <c r="P703" s="34"/>
      <c r="Q703" s="4"/>
      <c r="R703" s="4"/>
      <c r="S703" s="4"/>
      <c r="T703" s="4"/>
      <c r="U703" s="4"/>
      <c r="V703" s="4"/>
      <c r="X703" s="4"/>
      <c r="Y703" s="4"/>
      <c r="AA703" s="4"/>
      <c r="AB703" s="4"/>
      <c r="AC703" s="4"/>
      <c r="AD703" s="20"/>
    </row>
    <row r="704" spans="14:30" x14ac:dyDescent="0.3">
      <c r="N704" s="8"/>
      <c r="P704" s="34"/>
      <c r="Q704" s="4"/>
      <c r="R704" s="4"/>
      <c r="S704" s="4"/>
      <c r="T704" s="4"/>
      <c r="U704" s="4"/>
      <c r="V704" s="4"/>
      <c r="X704" s="4"/>
      <c r="Y704" s="4"/>
      <c r="AA704" s="4"/>
      <c r="AB704" s="4"/>
      <c r="AC704" s="4"/>
      <c r="AD704" s="20"/>
    </row>
    <row r="705" spans="14:30" x14ac:dyDescent="0.3">
      <c r="N705" s="8"/>
      <c r="P705" s="34"/>
      <c r="Q705" s="4"/>
      <c r="R705" s="4"/>
      <c r="S705" s="4"/>
      <c r="T705" s="4"/>
      <c r="U705" s="4"/>
      <c r="V705" s="4"/>
      <c r="X705" s="4"/>
      <c r="Y705" s="4"/>
      <c r="AA705" s="4"/>
      <c r="AB705" s="4"/>
      <c r="AC705" s="4"/>
      <c r="AD705" s="20"/>
    </row>
    <row r="706" spans="14:30" x14ac:dyDescent="0.3">
      <c r="N706" s="8"/>
      <c r="P706" s="34"/>
      <c r="Q706" s="4"/>
      <c r="R706" s="4"/>
      <c r="S706" s="4"/>
      <c r="T706" s="4"/>
      <c r="U706" s="4"/>
      <c r="V706" s="4"/>
      <c r="X706" s="4"/>
      <c r="Y706" s="4"/>
      <c r="AA706" s="4"/>
      <c r="AB706" s="4"/>
      <c r="AC706" s="4"/>
      <c r="AD706" s="20"/>
    </row>
    <row r="707" spans="14:30" x14ac:dyDescent="0.3">
      <c r="N707" s="8"/>
      <c r="P707" s="34"/>
      <c r="Q707" s="4"/>
      <c r="R707" s="4"/>
      <c r="S707" s="4"/>
      <c r="T707" s="4"/>
      <c r="U707" s="4"/>
      <c r="V707" s="4"/>
      <c r="X707" s="4"/>
      <c r="Y707" s="4"/>
      <c r="AA707" s="4"/>
      <c r="AB707" s="4"/>
      <c r="AC707" s="4"/>
      <c r="AD707" s="20"/>
    </row>
    <row r="708" spans="14:30" x14ac:dyDescent="0.3">
      <c r="N708" s="8"/>
      <c r="P708" s="34"/>
      <c r="Q708" s="4"/>
      <c r="R708" s="4"/>
      <c r="S708" s="4"/>
      <c r="T708" s="4"/>
      <c r="U708" s="4"/>
      <c r="V708" s="4"/>
      <c r="X708" s="4"/>
      <c r="Y708" s="4"/>
      <c r="AA708" s="4"/>
      <c r="AB708" s="4"/>
      <c r="AC708" s="4"/>
      <c r="AD708" s="20"/>
    </row>
  </sheetData>
  <mergeCells count="29">
    <mergeCell ref="A1:M1"/>
    <mergeCell ref="E6:K6"/>
    <mergeCell ref="Q17:S17"/>
    <mergeCell ref="T17:V17"/>
    <mergeCell ref="W17:Y17"/>
    <mergeCell ref="P16:AE16"/>
    <mergeCell ref="Z17:AB17"/>
    <mergeCell ref="N1:X1"/>
    <mergeCell ref="P4:AE4"/>
    <mergeCell ref="AF4:AR4"/>
    <mergeCell ref="AS4:AU4"/>
    <mergeCell ref="Q5:S5"/>
    <mergeCell ref="T5:V5"/>
    <mergeCell ref="W5:Y5"/>
    <mergeCell ref="Z5:AB5"/>
    <mergeCell ref="AC5:AE5"/>
    <mergeCell ref="AG5:AI5"/>
    <mergeCell ref="AJ5:AL5"/>
    <mergeCell ref="AM5:AO5"/>
    <mergeCell ref="AP5:AR5"/>
    <mergeCell ref="AS5:AU5"/>
    <mergeCell ref="AP17:AR17"/>
    <mergeCell ref="AC17:AE17"/>
    <mergeCell ref="AS16:AU16"/>
    <mergeCell ref="AS17:AU17"/>
    <mergeCell ref="AG17:AI17"/>
    <mergeCell ref="AJ17:AL17"/>
    <mergeCell ref="AM17:AO17"/>
    <mergeCell ref="AF16:AR16"/>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157"/>
  <sheetViews>
    <sheetView zoomScale="85" zoomScaleNormal="85" workbookViewId="0">
      <pane ySplit="6" topLeftCell="A7" activePane="bottomLeft" state="frozen"/>
      <selection activeCell="R1" sqref="R1"/>
      <selection pane="bottomLeft" activeCell="H9" sqref="H9"/>
    </sheetView>
  </sheetViews>
  <sheetFormatPr defaultColWidth="8.88671875" defaultRowHeight="14.4" x14ac:dyDescent="0.3"/>
  <cols>
    <col min="1" max="1" width="25.44140625" customWidth="1"/>
    <col min="2" max="2" width="14.6640625" customWidth="1"/>
    <col min="10" max="10" width="10" bestFit="1" customWidth="1"/>
    <col min="21" max="21" width="7.88671875" customWidth="1"/>
    <col min="26" max="26" width="12" bestFit="1" customWidth="1"/>
    <col min="47" max="47" width="11.88671875" bestFit="1" customWidth="1"/>
    <col min="57" max="58" width="14.6640625" bestFit="1" customWidth="1"/>
    <col min="59" max="59" width="9.6640625" customWidth="1"/>
    <col min="60" max="60" width="9.44140625" customWidth="1"/>
    <col min="61" max="62" width="11.88671875" customWidth="1"/>
    <col min="66" max="67" width="8.5546875" bestFit="1" customWidth="1"/>
    <col min="68" max="68" width="10.6640625" bestFit="1" customWidth="1"/>
    <col min="69" max="69" width="9.6640625" bestFit="1" customWidth="1"/>
    <col min="70" max="70" width="8.44140625" bestFit="1" customWidth="1"/>
    <col min="71" max="71" width="9.33203125" bestFit="1" customWidth="1"/>
    <col min="72" max="72" width="11.33203125" bestFit="1" customWidth="1"/>
    <col min="73" max="73" width="12.44140625" bestFit="1" customWidth="1"/>
    <col min="76" max="76" width="14.6640625" bestFit="1" customWidth="1"/>
  </cols>
  <sheetData>
    <row r="1" spans="1:78" ht="28.2" x14ac:dyDescent="0.5">
      <c r="A1" s="225" t="s">
        <v>16</v>
      </c>
      <c r="B1" s="225"/>
      <c r="C1" s="225"/>
      <c r="D1" s="225"/>
      <c r="E1" s="225"/>
      <c r="F1" s="225"/>
      <c r="G1" s="225"/>
      <c r="H1" s="225"/>
      <c r="I1" s="225"/>
      <c r="J1" s="225"/>
      <c r="K1" s="225"/>
      <c r="L1" s="225"/>
      <c r="M1" s="225"/>
    </row>
    <row r="2" spans="1:78" x14ac:dyDescent="0.3">
      <c r="AN2" t="s">
        <v>602</v>
      </c>
      <c r="AO2">
        <f>((NS1_/Np)^2)*Lm</f>
        <v>2.735096E-4</v>
      </c>
    </row>
    <row r="3" spans="1:78" ht="15" thickBot="1" x14ac:dyDescent="0.35">
      <c r="AX3" t="s">
        <v>668</v>
      </c>
    </row>
    <row r="4" spans="1:78" ht="15" thickBot="1" x14ac:dyDescent="0.35">
      <c r="R4" s="236" t="s">
        <v>325</v>
      </c>
      <c r="S4" s="234"/>
      <c r="T4" s="235"/>
      <c r="U4" s="237" t="s">
        <v>599</v>
      </c>
      <c r="V4" s="238"/>
      <c r="W4" s="238"/>
      <c r="X4" s="238"/>
      <c r="Y4" s="238"/>
      <c r="Z4" s="238"/>
      <c r="AA4" s="238"/>
      <c r="AB4" s="238"/>
      <c r="AC4" s="238"/>
      <c r="AD4" s="238"/>
      <c r="AE4" s="239"/>
      <c r="AF4" s="171"/>
      <c r="AG4" s="171"/>
      <c r="AH4" s="56"/>
      <c r="AI4" s="56"/>
      <c r="AJ4" s="59"/>
      <c r="AK4" s="237" t="s">
        <v>614</v>
      </c>
      <c r="AL4" s="238"/>
      <c r="AM4" s="238"/>
      <c r="AN4" s="238"/>
      <c r="AO4" s="238"/>
      <c r="AP4" s="238"/>
      <c r="AQ4" s="238"/>
      <c r="AR4" s="238"/>
      <c r="AS4" s="238"/>
      <c r="AT4" s="238"/>
      <c r="AU4" s="238"/>
      <c r="AV4" s="238"/>
      <c r="AW4" s="238"/>
      <c r="AX4" s="238"/>
      <c r="AY4" s="239"/>
      <c r="AZ4" s="236" t="s">
        <v>487</v>
      </c>
      <c r="BA4" s="234"/>
      <c r="BB4" s="234"/>
      <c r="BC4" s="234"/>
      <c r="BD4" s="234"/>
      <c r="BE4" s="234"/>
      <c r="BF4" s="234"/>
      <c r="BG4" s="234"/>
      <c r="BH4" s="234"/>
      <c r="BI4" s="235"/>
      <c r="BJ4" s="171"/>
      <c r="BK4" s="236" t="s">
        <v>627</v>
      </c>
      <c r="BL4" s="234"/>
      <c r="BM4" s="234"/>
      <c r="BN4" s="234"/>
      <c r="BO4" s="234"/>
      <c r="BP4" s="234"/>
      <c r="BQ4" s="234"/>
      <c r="BR4" s="234"/>
      <c r="BS4" s="234"/>
      <c r="BT4" s="234"/>
      <c r="BU4" s="53"/>
      <c r="BV4" s="56"/>
      <c r="BW4" s="59"/>
      <c r="BY4" t="s">
        <v>632</v>
      </c>
    </row>
    <row r="5" spans="1:78" x14ac:dyDescent="0.3">
      <c r="R5" s="232"/>
      <c r="S5" s="231"/>
      <c r="T5" s="233"/>
      <c r="U5" s="42" t="s">
        <v>326</v>
      </c>
      <c r="W5" s="170"/>
      <c r="X5" s="170"/>
      <c r="Y5" s="42" t="s">
        <v>596</v>
      </c>
      <c r="AB5" s="44"/>
      <c r="AC5" s="42"/>
      <c r="AE5" s="44"/>
      <c r="AF5" s="236" t="s">
        <v>629</v>
      </c>
      <c r="AG5" s="235"/>
      <c r="AH5" s="236" t="s">
        <v>628</v>
      </c>
      <c r="AI5" s="234"/>
      <c r="AJ5" s="235"/>
      <c r="AK5" s="236"/>
      <c r="AL5" s="234"/>
      <c r="AM5" s="235"/>
      <c r="AN5" s="236"/>
      <c r="AO5" s="234"/>
      <c r="AP5" s="234"/>
      <c r="AQ5" s="234"/>
      <c r="AR5" s="234"/>
      <c r="AS5" s="235"/>
      <c r="AT5" s="236" t="s">
        <v>615</v>
      </c>
      <c r="AU5" s="234"/>
      <c r="AV5" s="235"/>
      <c r="AW5" s="236" t="s">
        <v>616</v>
      </c>
      <c r="AX5" s="234"/>
      <c r="AY5" s="235"/>
      <c r="AZ5" s="236"/>
      <c r="BA5" s="234"/>
      <c r="BB5" s="234"/>
      <c r="BC5" s="235"/>
      <c r="BD5" s="236" t="s">
        <v>615</v>
      </c>
      <c r="BE5" s="234"/>
      <c r="BF5" s="235"/>
      <c r="BG5" s="236" t="s">
        <v>616</v>
      </c>
      <c r="BH5" s="234"/>
      <c r="BI5" s="235"/>
      <c r="BJ5" s="171"/>
      <c r="BK5" s="236"/>
      <c r="BL5" s="234"/>
      <c r="BM5" s="234"/>
      <c r="BN5" s="235"/>
      <c r="BO5" s="236" t="s">
        <v>615</v>
      </c>
      <c r="BP5" s="234"/>
      <c r="BQ5" s="235"/>
      <c r="BR5" s="236" t="s">
        <v>616</v>
      </c>
      <c r="BS5" s="234"/>
      <c r="BT5" s="235"/>
      <c r="BU5" s="240" t="s">
        <v>378</v>
      </c>
      <c r="BV5" s="241"/>
      <c r="BW5" s="242"/>
      <c r="BX5" s="173"/>
    </row>
    <row r="6" spans="1:78" ht="15.6" x14ac:dyDescent="0.35">
      <c r="R6" s="42" t="s">
        <v>597</v>
      </c>
      <c r="S6" t="s">
        <v>280</v>
      </c>
      <c r="T6" s="44" t="s">
        <v>283</v>
      </c>
      <c r="U6" s="42" t="s">
        <v>281</v>
      </c>
      <c r="V6" t="s">
        <v>282</v>
      </c>
      <c r="W6" t="s">
        <v>600</v>
      </c>
      <c r="X6" t="s">
        <v>601</v>
      </c>
      <c r="Y6" s="42" t="s">
        <v>598</v>
      </c>
      <c r="Z6" t="s">
        <v>327</v>
      </c>
      <c r="AA6" t="s">
        <v>329</v>
      </c>
      <c r="AB6" s="44" t="s">
        <v>328</v>
      </c>
      <c r="AC6" s="176" t="s">
        <v>331</v>
      </c>
      <c r="AD6" s="72" t="s">
        <v>332</v>
      </c>
      <c r="AE6" s="175" t="s">
        <v>371</v>
      </c>
      <c r="AF6" s="176" t="s">
        <v>630</v>
      </c>
      <c r="AG6" s="175" t="s">
        <v>631</v>
      </c>
      <c r="AH6" s="176" t="s">
        <v>369</v>
      </c>
      <c r="AI6" s="72" t="s">
        <v>368</v>
      </c>
      <c r="AJ6" s="175" t="s">
        <v>370</v>
      </c>
      <c r="AK6" s="42" t="s">
        <v>422</v>
      </c>
      <c r="AL6" t="s">
        <v>419</v>
      </c>
      <c r="AM6" s="44" t="s">
        <v>420</v>
      </c>
      <c r="AN6" s="176" t="s">
        <v>281</v>
      </c>
      <c r="AO6" s="72" t="s">
        <v>610</v>
      </c>
      <c r="AP6" s="72" t="s">
        <v>609</v>
      </c>
      <c r="AQ6" s="72" t="s">
        <v>611</v>
      </c>
      <c r="AR6" s="72" t="s">
        <v>612</v>
      </c>
      <c r="AS6" s="175" t="s">
        <v>613</v>
      </c>
      <c r="AT6" s="176" t="s">
        <v>331</v>
      </c>
      <c r="AU6" s="72" t="s">
        <v>332</v>
      </c>
      <c r="AV6" s="175" t="s">
        <v>371</v>
      </c>
      <c r="AW6" s="176" t="s">
        <v>617</v>
      </c>
      <c r="AX6" s="72" t="s">
        <v>618</v>
      </c>
      <c r="AY6" s="175" t="s">
        <v>619</v>
      </c>
      <c r="AZ6" s="42" t="s">
        <v>426</v>
      </c>
      <c r="BA6" t="s">
        <v>423</v>
      </c>
      <c r="BB6" t="s">
        <v>424</v>
      </c>
      <c r="BC6" s="175" t="s">
        <v>608</v>
      </c>
      <c r="BD6" s="176" t="s">
        <v>331</v>
      </c>
      <c r="BE6" s="72" t="s">
        <v>332</v>
      </c>
      <c r="BF6" s="175" t="s">
        <v>371</v>
      </c>
      <c r="BG6" s="176" t="s">
        <v>617</v>
      </c>
      <c r="BH6" s="72" t="s">
        <v>618</v>
      </c>
      <c r="BI6" s="175" t="s">
        <v>619</v>
      </c>
      <c r="BJ6" s="72"/>
      <c r="BK6" s="42" t="s">
        <v>430</v>
      </c>
      <c r="BL6" t="s">
        <v>427</v>
      </c>
      <c r="BM6" t="s">
        <v>428</v>
      </c>
      <c r="BN6" s="175" t="s">
        <v>626</v>
      </c>
      <c r="BO6" s="176" t="s">
        <v>331</v>
      </c>
      <c r="BP6" s="72" t="s">
        <v>332</v>
      </c>
      <c r="BQ6" s="175" t="s">
        <v>371</v>
      </c>
      <c r="BR6" s="176" t="s">
        <v>617</v>
      </c>
      <c r="BS6" s="72" t="s">
        <v>618</v>
      </c>
      <c r="BT6" s="175" t="s">
        <v>619</v>
      </c>
      <c r="BU6" s="42" t="s">
        <v>372</v>
      </c>
      <c r="BV6" t="s">
        <v>373</v>
      </c>
      <c r="BW6" s="44" t="s">
        <v>374</v>
      </c>
      <c r="BX6" t="s">
        <v>633</v>
      </c>
    </row>
    <row r="7" spans="1:78" x14ac:dyDescent="0.3">
      <c r="Q7">
        <v>0</v>
      </c>
      <c r="R7" s="42">
        <f t="shared" ref="R7:R38" si="0">AK7+AZ7+BK7</f>
        <v>0</v>
      </c>
      <c r="S7">
        <f t="shared" ref="S7:S70" si="1">VIN_var</f>
        <v>50</v>
      </c>
      <c r="T7" s="44">
        <f t="shared" ref="T7:T38" si="2">(R7)/(S7*EFF_est)</f>
        <v>0</v>
      </c>
      <c r="U7" s="42">
        <f t="shared" ref="U7:U38" si="3">IF(R7&lt;((((Np/NS1_)*(AL7)/((S7+((Np/NS1_)*(AL7)))))^2)*(S7^2))/(2*Lm*Fsw),1,2)</f>
        <v>1</v>
      </c>
      <c r="V7">
        <f t="shared" ref="V7:V38" si="4">CHOOSE(U7,SQRT((2*Lm*R7*Fsw)/((S7^2)*EFF_est)),(((Np/NS1_)*(AL7))/(S7+((Np/NS1_)*(AL7)))))</f>
        <v>0</v>
      </c>
      <c r="W7">
        <f t="shared" ref="W7:W38" si="5">CHOOSE(U7,(NS1_*S7*V7)/(Np*AL7),1-V7)</f>
        <v>0</v>
      </c>
      <c r="X7">
        <f>CHOOSE(U7,1-V7-W7,0)</f>
        <v>1</v>
      </c>
      <c r="Y7" s="42">
        <v>0</v>
      </c>
      <c r="Z7">
        <f t="shared" ref="Z7:Z38" si="6">(S7*V7)/(Lm*Fsw)</f>
        <v>0</v>
      </c>
      <c r="AA7">
        <f>Y7+(Z7/2)</f>
        <v>0</v>
      </c>
      <c r="AB7" s="44">
        <f t="shared" ref="AB7:AB38" si="7">CHOOSE(U7,AA7*SQRT(V7/3),SQRT(V7*((AA7^2)+((Z7^2)/(3))-(AA7*Z7))))</f>
        <v>0</v>
      </c>
      <c r="AC7" s="42">
        <v>0</v>
      </c>
      <c r="AD7">
        <f>(AB7^2)*Rdcr</f>
        <v>0</v>
      </c>
      <c r="AE7" s="44">
        <f>AC7+AD7</f>
        <v>0</v>
      </c>
      <c r="AF7" s="42">
        <f t="shared" ref="AF7:AF38" si="8">R7*0.02</f>
        <v>0</v>
      </c>
      <c r="AG7" s="44">
        <f t="shared" ref="AG7:AG38" si="9">R7*0.02</f>
        <v>0</v>
      </c>
      <c r="AH7" s="42">
        <f t="shared" ref="AH7:AH38" si="10">(AB7^2)*RDS_on</f>
        <v>0</v>
      </c>
      <c r="AI7">
        <f t="shared" ref="AI7:AI38" si="11">((Y7*(S7+((Np/NS1_)*VOUT1)))/2)*Fsw*(tr_sw+tf_sw)</f>
        <v>0</v>
      </c>
      <c r="AJ7" s="44">
        <f>AH7+AI7</f>
        <v>0</v>
      </c>
      <c r="AK7" s="42">
        <f t="shared" ref="AK7:AK38" si="12">Q7*$B$11</f>
        <v>0</v>
      </c>
      <c r="AL7">
        <f t="shared" ref="AL7:AL70" si="13">VOUT1</f>
        <v>150</v>
      </c>
      <c r="AM7" s="44">
        <f>AK7/AL7</f>
        <v>0</v>
      </c>
      <c r="AN7" s="42"/>
      <c r="AS7" s="44"/>
      <c r="AT7" s="42"/>
      <c r="AV7" s="44"/>
      <c r="AW7" s="42"/>
      <c r="AY7" s="44"/>
      <c r="AZ7" s="42">
        <f t="shared" ref="AZ7:AZ38" si="14">IF(EN_OUT_2=1,Q7*$B$15,0)</f>
        <v>0</v>
      </c>
      <c r="BA7">
        <f t="shared" ref="BA7:BA38" si="15">IF(EN_OUT_2=1,VOUT2,0)</f>
        <v>0</v>
      </c>
      <c r="BB7">
        <f t="shared" ref="BB7:BB8" si="16">IF(EN_OUT_2=1,AZ7/BA7,0)</f>
        <v>0</v>
      </c>
      <c r="BC7" s="44"/>
      <c r="BD7" s="42"/>
      <c r="BF7" s="44"/>
      <c r="BG7" s="42"/>
      <c r="BI7" s="44"/>
      <c r="BK7" s="42">
        <f t="shared" ref="BK7:BK38" si="17">IF(EN_OUT_3=1,Q7*$B$19,0)</f>
        <v>0</v>
      </c>
      <c r="BL7">
        <f t="shared" ref="BL7:BL70" si="18">IF(EN_OUT_3=1,VOUT3,0)</f>
        <v>0</v>
      </c>
      <c r="BM7">
        <f t="shared" ref="BM7:BM38" si="19">IF(EN_OUT_3=1,BK7/BL7,0)</f>
        <v>0</v>
      </c>
      <c r="BN7" s="44"/>
      <c r="BO7" s="42"/>
      <c r="BQ7" s="44"/>
      <c r="BR7" s="42"/>
      <c r="BT7" s="44"/>
      <c r="BU7" s="42">
        <f t="shared" ref="BU7:BU38" si="20">(AB7^2)*R_cs</f>
        <v>0</v>
      </c>
      <c r="BV7">
        <f t="shared" ref="BV7:BV70" si="21">Qg_tot*Vcc*Fsw</f>
        <v>4.3874999999999997E-2</v>
      </c>
      <c r="BW7" s="44">
        <f t="shared" ref="BW7:BW38" si="22">IQ*S7</f>
        <v>2.2499999999999999E-2</v>
      </c>
      <c r="BX7">
        <f>BF7+BQ7+AE7+AG7</f>
        <v>0</v>
      </c>
      <c r="BY7">
        <f>BW7+BV7+BU7+BT7+BQ7+BI7+BF7++AY7+AV7+AJ7+AF7+AE7+AG7</f>
        <v>6.637499999999999E-2</v>
      </c>
      <c r="BZ7">
        <f>R7/(R7+BY7)</f>
        <v>0</v>
      </c>
    </row>
    <row r="8" spans="1:78" x14ac:dyDescent="0.3">
      <c r="M8">
        <f>Fsw</f>
        <v>250000</v>
      </c>
      <c r="Q8">
        <v>1</v>
      </c>
      <c r="R8" s="42">
        <f t="shared" si="0"/>
        <v>0.25</v>
      </c>
      <c r="S8">
        <f t="shared" si="1"/>
        <v>50</v>
      </c>
      <c r="T8" s="44">
        <f t="shared" si="2"/>
        <v>5.0000000000000001E-3</v>
      </c>
      <c r="U8" s="42">
        <f t="shared" si="3"/>
        <v>1</v>
      </c>
      <c r="V8">
        <f t="shared" si="4"/>
        <v>2.6457513110645904E-2</v>
      </c>
      <c r="W8">
        <f t="shared" si="5"/>
        <v>3.8980735983018301E-2</v>
      </c>
      <c r="X8">
        <f t="shared" ref="X8:X71" si="23">CHOOSE(U8,1-V8-W8,0)</f>
        <v>0.93456175090633575</v>
      </c>
      <c r="Y8" s="42">
        <f t="shared" ref="Y8:Y39" si="24">R8/(S8*EFF_est*V8)</f>
        <v>0.18898223650461363</v>
      </c>
      <c r="Z8">
        <f t="shared" si="6"/>
        <v>0.3779644730092272</v>
      </c>
      <c r="AA8">
        <f t="shared" ref="AA8:AA71" si="25">Y8+(Z8/2)</f>
        <v>0.3779644730092272</v>
      </c>
      <c r="AB8" s="44">
        <f>CHOOSE(U8,AA8*SQRT(V8/3),SQRT(V8*((AA8^2)+((Z8^2)/(3))-(AA8*Z8))))</f>
        <v>3.549481056010053E-2</v>
      </c>
      <c r="AC8" s="42">
        <v>0</v>
      </c>
      <c r="AD8">
        <f t="shared" ref="AD8:AD38" si="26">(AB8^2)*Rdcr</f>
        <v>2.5197631533948485E-5</v>
      </c>
      <c r="AE8" s="44">
        <f t="shared" ref="AE8:AE71" si="27">AC8+AD8</f>
        <v>2.5197631533948485E-5</v>
      </c>
      <c r="AF8" s="42">
        <f t="shared" si="8"/>
        <v>5.0000000000000001E-3</v>
      </c>
      <c r="AG8" s="44">
        <f t="shared" si="9"/>
        <v>5.0000000000000001E-3</v>
      </c>
      <c r="AH8" s="42">
        <f>(AB8^2)*RDS_on</f>
        <v>4.2835973607712428E-5</v>
      </c>
      <c r="AI8">
        <f>((Y8*(S8+((Np/NS1_)*VOUT1)))/2)*Fsw*(tr_sw+tf_sw)</f>
        <v>6.8097152466598018E-2</v>
      </c>
      <c r="AJ8" s="44">
        <f>AH8+AI8</f>
        <v>6.8139988440205732E-2</v>
      </c>
      <c r="AK8" s="42">
        <f t="shared" si="12"/>
        <v>0.25</v>
      </c>
      <c r="AL8">
        <f t="shared" si="13"/>
        <v>150</v>
      </c>
      <c r="AM8" s="44">
        <f t="shared" ref="AM8:AM71" si="28">AK8/AL8</f>
        <v>1.6666666666666668E-3</v>
      </c>
      <c r="AN8" s="42">
        <f t="shared" ref="AN8:AN39" si="29">IF(((AL8*AO8)/(Fsw*$AO$2))/2&gt;AP8,1,2)</f>
        <v>2</v>
      </c>
      <c r="AO8">
        <f t="shared" ref="AO8:AO39" si="30">AM8/AP8</f>
        <v>3.8980735983018301E-2</v>
      </c>
      <c r="AP8">
        <f t="shared" ref="AP8:AP39" si="31">Np*$Y8*AK8/(R8*NS1_)</f>
        <v>4.2756162105116208E-2</v>
      </c>
      <c r="AQ8">
        <f t="shared" ref="AQ8:AQ39" si="32">(AL8*AO8)/(Fsw*$AO$2)</f>
        <v>8.5512324210232415E-2</v>
      </c>
      <c r="AR8">
        <f>AP8+(AQ8/2)</f>
        <v>8.5512324210232415E-2</v>
      </c>
      <c r="AS8" s="44">
        <f>CHOOSE(AN8,AR8*SQRT(AO8/3),SQRT(AO8*((AR8^2)+((AQ8^2)/(3))-(AQ8*AR8))))</f>
        <v>9.7474967846583518E-3</v>
      </c>
      <c r="AT8" s="42"/>
      <c r="AU8">
        <f t="shared" ref="AU8:AU39" si="33">(AM8^2)*Rdcr1</f>
        <v>1.4444444444444449E-9</v>
      </c>
      <c r="AV8" s="44">
        <f>AT8+AU8</f>
        <v>1.4444444444444449E-9</v>
      </c>
      <c r="AW8" s="42">
        <f t="shared" ref="AW8:AW39" si="34">(VOUT1+((NS1_/Np)*S8))*QRR1_*Fsw</f>
        <v>0.92749999999999999</v>
      </c>
      <c r="AX8">
        <f t="shared" ref="AX8:AX39" si="35">AM8*VD1_</f>
        <v>2.3333333333333335E-3</v>
      </c>
      <c r="AY8" s="44">
        <f>AW8+AX8</f>
        <v>0.92983333333333329</v>
      </c>
      <c r="AZ8" s="42">
        <f t="shared" si="14"/>
        <v>0</v>
      </c>
      <c r="BA8">
        <f t="shared" si="15"/>
        <v>0</v>
      </c>
      <c r="BB8">
        <f t="shared" si="16"/>
        <v>0</v>
      </c>
      <c r="BC8" s="44">
        <f t="shared" ref="BC8:BC39" si="36">IF(EN_OUT_2=1,AZ8/BA8,0)</f>
        <v>0</v>
      </c>
      <c r="BD8" s="42">
        <v>0</v>
      </c>
      <c r="BE8">
        <f>(BB8^2)*Rdcr2</f>
        <v>0</v>
      </c>
      <c r="BF8" s="44">
        <f>BD8+BE8</f>
        <v>0</v>
      </c>
      <c r="BG8" s="42">
        <f t="shared" ref="BG8:BG39" si="37">(VOUT2+((NS2_/Np)*S8))*QRR2_*Fsw</f>
        <v>0</v>
      </c>
      <c r="BH8">
        <f t="shared" ref="BH8:BH39" si="38">BB8*VD2_</f>
        <v>0</v>
      </c>
      <c r="BI8" s="44">
        <f t="shared" ref="BI8:BI39" si="39">BH8+BG8</f>
        <v>0</v>
      </c>
      <c r="BK8" s="42">
        <f t="shared" si="17"/>
        <v>0</v>
      </c>
      <c r="BL8">
        <f t="shared" si="18"/>
        <v>0</v>
      </c>
      <c r="BM8">
        <f t="shared" si="19"/>
        <v>0</v>
      </c>
      <c r="BN8" s="44">
        <f t="shared" ref="BN8:BN39" si="40">Y8*(Np/NS3_)*(BK8/R8)</f>
        <v>0</v>
      </c>
      <c r="BO8" s="42">
        <v>0</v>
      </c>
      <c r="BP8">
        <f t="shared" ref="BP8:BP39" si="41">(BM8^2)*Rdcr3</f>
        <v>0</v>
      </c>
      <c r="BQ8" s="44">
        <f>BO8+BP8</f>
        <v>0</v>
      </c>
      <c r="BR8" s="42">
        <f t="shared" ref="BR8:BR39" si="42">(VOUT3+((NS3_/Np)*S8))*QRR3_*Fsw</f>
        <v>0</v>
      </c>
      <c r="BS8">
        <f>BM8*VD3_</f>
        <v>0</v>
      </c>
      <c r="BT8" s="44">
        <f>BS8+BR8</f>
        <v>0</v>
      </c>
      <c r="BU8" s="42">
        <f>(AB8^2)*R_cs</f>
        <v>1.8898223650461362E-5</v>
      </c>
      <c r="BV8">
        <f t="shared" si="21"/>
        <v>4.3874999999999997E-2</v>
      </c>
      <c r="BW8" s="44">
        <f t="shared" si="22"/>
        <v>2.2499999999999999E-2</v>
      </c>
      <c r="BX8">
        <f>BF8+BQ8+AE8</f>
        <v>2.5197631533948485E-5</v>
      </c>
      <c r="BY8">
        <f t="shared" ref="BY8:BY71" si="43">BW8+BV8+BU8+BT8+BQ8+BI8+BF8++AY8+AV8+AJ8+AF8+AE8+AG8</f>
        <v>1.0743924190731677</v>
      </c>
      <c r="BZ8">
        <f t="shared" ref="BZ8:BZ39" si="44">(R8/(R8+BY8))*100</f>
        <v>18.876580415263494</v>
      </c>
    </row>
    <row r="9" spans="1:78" x14ac:dyDescent="0.3">
      <c r="N9" t="s">
        <v>187</v>
      </c>
      <c r="O9">
        <f>VIN_var</f>
        <v>50</v>
      </c>
      <c r="P9" t="s">
        <v>11</v>
      </c>
      <c r="Q9">
        <v>2</v>
      </c>
      <c r="R9" s="42">
        <f t="shared" si="0"/>
        <v>0.5</v>
      </c>
      <c r="S9">
        <f t="shared" si="1"/>
        <v>50</v>
      </c>
      <c r="T9" s="44">
        <f t="shared" si="2"/>
        <v>0.01</v>
      </c>
      <c r="U9" s="42">
        <f t="shared" si="3"/>
        <v>1</v>
      </c>
      <c r="V9">
        <f t="shared" si="4"/>
        <v>3.7416573867739417E-2</v>
      </c>
      <c r="W9">
        <f t="shared" si="5"/>
        <v>5.5127085498469411E-2</v>
      </c>
      <c r="X9">
        <f t="shared" si="23"/>
        <v>0.9074563406337911</v>
      </c>
      <c r="Y9" s="42">
        <f t="shared" si="24"/>
        <v>0.26726124191242434</v>
      </c>
      <c r="Z9">
        <f t="shared" si="6"/>
        <v>0.53452248382484879</v>
      </c>
      <c r="AA9">
        <f t="shared" si="25"/>
        <v>0.53452248382484879</v>
      </c>
      <c r="AB9" s="44">
        <f t="shared" si="7"/>
        <v>5.9694917920196454E-2</v>
      </c>
      <c r="AC9" s="42">
        <v>0</v>
      </c>
      <c r="AD9">
        <f t="shared" si="26"/>
        <v>7.1269664509979836E-5</v>
      </c>
      <c r="AE9" s="44">
        <f t="shared" si="27"/>
        <v>7.1269664509979836E-5</v>
      </c>
      <c r="AF9" s="42">
        <f t="shared" si="8"/>
        <v>0.01</v>
      </c>
      <c r="AG9" s="44">
        <f t="shared" si="9"/>
        <v>0.01</v>
      </c>
      <c r="AH9" s="42">
        <f t="shared" si="10"/>
        <v>1.2115842966696572E-4</v>
      </c>
      <c r="AI9">
        <f t="shared" si="11"/>
        <v>9.6303916577251347E-2</v>
      </c>
      <c r="AJ9" s="44">
        <f t="shared" ref="AJ9:AJ71" si="45">AH9+AI9</f>
        <v>9.6425075006918312E-2</v>
      </c>
      <c r="AK9" s="42">
        <f t="shared" si="12"/>
        <v>0.5</v>
      </c>
      <c r="AL9">
        <f t="shared" si="13"/>
        <v>150</v>
      </c>
      <c r="AM9" s="44">
        <f t="shared" si="28"/>
        <v>3.3333333333333335E-3</v>
      </c>
      <c r="AN9" s="42">
        <f t="shared" si="29"/>
        <v>2</v>
      </c>
      <c r="AO9">
        <f t="shared" si="30"/>
        <v>5.5127085498469411E-2</v>
      </c>
      <c r="AP9">
        <f t="shared" si="31"/>
        <v>6.0466344324077909E-2</v>
      </c>
      <c r="AQ9">
        <f t="shared" si="32"/>
        <v>0.12093268864815586</v>
      </c>
      <c r="AR9">
        <f t="shared" ref="AR9:AR72" si="46">AP9+(AQ9/2)</f>
        <v>0.12093268864815584</v>
      </c>
      <c r="AS9" s="44">
        <f t="shared" ref="AS9:AS72" si="47">CHOOSE(AN9,AR9*SQRT(AO9/3),SQRT(AO9*((AR9^2)+((AQ9^2)/(3))-(AQ9*AR9))))</f>
        <v>1.6393270207832638E-2</v>
      </c>
      <c r="AT9" s="42"/>
      <c r="AU9">
        <f t="shared" si="33"/>
        <v>5.7777777777777796E-9</v>
      </c>
      <c r="AV9" s="44">
        <f t="shared" ref="AV9:AV72" si="48">AT9+AU9</f>
        <v>5.7777777777777796E-9</v>
      </c>
      <c r="AW9" s="42">
        <f t="shared" si="34"/>
        <v>0.92749999999999999</v>
      </c>
      <c r="AX9">
        <f t="shared" si="35"/>
        <v>4.6666666666666671E-3</v>
      </c>
      <c r="AY9" s="44">
        <f t="shared" ref="AY9:AY72" si="49">AW9+AX9</f>
        <v>0.9321666666666667</v>
      </c>
      <c r="AZ9" s="42">
        <f t="shared" si="14"/>
        <v>0</v>
      </c>
      <c r="BA9">
        <f t="shared" si="15"/>
        <v>0</v>
      </c>
      <c r="BB9">
        <f t="shared" ref="BB9:BB72" si="50">IF(EN_OUT_2=1,AZ9/BA9,0)</f>
        <v>0</v>
      </c>
      <c r="BC9" s="44">
        <f t="shared" si="36"/>
        <v>0</v>
      </c>
      <c r="BD9" s="42">
        <v>0</v>
      </c>
      <c r="BE9">
        <f t="shared" ref="BE9:BE39" si="51">(BB9^2)*Rdcr2</f>
        <v>0</v>
      </c>
      <c r="BF9" s="44">
        <f t="shared" ref="BF9:BF72" si="52">BD9+BE9</f>
        <v>0</v>
      </c>
      <c r="BG9" s="42">
        <f t="shared" si="37"/>
        <v>0</v>
      </c>
      <c r="BH9">
        <f t="shared" si="38"/>
        <v>0</v>
      </c>
      <c r="BI9" s="44">
        <f t="shared" si="39"/>
        <v>0</v>
      </c>
      <c r="BK9" s="42">
        <f t="shared" si="17"/>
        <v>0</v>
      </c>
      <c r="BL9">
        <f t="shared" si="18"/>
        <v>0</v>
      </c>
      <c r="BM9">
        <f t="shared" si="19"/>
        <v>0</v>
      </c>
      <c r="BN9" s="44">
        <f t="shared" si="40"/>
        <v>0</v>
      </c>
      <c r="BO9" s="42">
        <v>0</v>
      </c>
      <c r="BP9">
        <f t="shared" si="41"/>
        <v>0</v>
      </c>
      <c r="BQ9" s="44">
        <f t="shared" ref="BQ9:BQ72" si="53">BO9+BP9</f>
        <v>0</v>
      </c>
      <c r="BR9" s="42">
        <f t="shared" si="42"/>
        <v>0</v>
      </c>
      <c r="BS9">
        <f t="shared" ref="BS9:BS39" si="54">BM9*VD3_</f>
        <v>0</v>
      </c>
      <c r="BT9" s="44">
        <f t="shared" ref="BT9:BT72" si="55">BS9+BR9</f>
        <v>0</v>
      </c>
      <c r="BU9" s="42">
        <f t="shared" si="20"/>
        <v>5.345224838248487E-5</v>
      </c>
      <c r="BV9">
        <f t="shared" si="21"/>
        <v>4.3874999999999997E-2</v>
      </c>
      <c r="BW9" s="44">
        <f t="shared" si="22"/>
        <v>2.2499999999999999E-2</v>
      </c>
      <c r="BX9">
        <f t="shared" ref="BX9:BX71" si="56">BF9+BQ9+AE9+AG9</f>
        <v>1.0071269664509981E-2</v>
      </c>
      <c r="BY9">
        <f t="shared" si="43"/>
        <v>1.1150914693642553</v>
      </c>
      <c r="BZ9">
        <f t="shared" si="44"/>
        <v>30.9579989421165</v>
      </c>
    </row>
    <row r="10" spans="1:78" x14ac:dyDescent="0.3">
      <c r="A10" t="s">
        <v>422</v>
      </c>
      <c r="B10" s="35">
        <f>VOUT1*IOUT1</f>
        <v>37.5</v>
      </c>
      <c r="Q10">
        <v>3</v>
      </c>
      <c r="R10" s="42">
        <f t="shared" si="0"/>
        <v>0.75</v>
      </c>
      <c r="S10">
        <f t="shared" si="1"/>
        <v>50</v>
      </c>
      <c r="T10" s="44">
        <f t="shared" si="2"/>
        <v>1.4999999999999999E-2</v>
      </c>
      <c r="U10" s="42">
        <f t="shared" si="3"/>
        <v>1</v>
      </c>
      <c r="V10">
        <f t="shared" si="4"/>
        <v>4.5825756949558399E-2</v>
      </c>
      <c r="W10">
        <f t="shared" si="5"/>
        <v>6.7516615239016045E-2</v>
      </c>
      <c r="X10">
        <f t="shared" si="23"/>
        <v>0.88665762781142554</v>
      </c>
      <c r="Y10" s="42">
        <f t="shared" si="24"/>
        <v>0.3273268353539886</v>
      </c>
      <c r="Z10">
        <f t="shared" si="6"/>
        <v>0.65465367070797709</v>
      </c>
      <c r="AA10">
        <f t="shared" si="25"/>
        <v>0.65465367070797709</v>
      </c>
      <c r="AB10" s="44">
        <f t="shared" si="7"/>
        <v>8.0910671157022107E-2</v>
      </c>
      <c r="AC10" s="42">
        <v>0</v>
      </c>
      <c r="AD10">
        <f t="shared" si="26"/>
        <v>1.3093073414159538E-4</v>
      </c>
      <c r="AE10" s="44">
        <f t="shared" si="27"/>
        <v>1.3093073414159538E-4</v>
      </c>
      <c r="AF10" s="42">
        <f t="shared" si="8"/>
        <v>1.4999999999999999E-2</v>
      </c>
      <c r="AG10" s="44">
        <f t="shared" si="9"/>
        <v>1.4999999999999999E-2</v>
      </c>
      <c r="AH10" s="42">
        <f t="shared" si="10"/>
        <v>2.2258224804071216E-4</v>
      </c>
      <c r="AI10">
        <f t="shared" si="11"/>
        <v>0.11794772792291204</v>
      </c>
      <c r="AJ10" s="44">
        <f t="shared" si="45"/>
        <v>0.11817031017095275</v>
      </c>
      <c r="AK10" s="42">
        <f t="shared" si="12"/>
        <v>0.75</v>
      </c>
      <c r="AL10">
        <f t="shared" si="13"/>
        <v>150</v>
      </c>
      <c r="AM10" s="44">
        <f t="shared" si="28"/>
        <v>5.0000000000000001E-3</v>
      </c>
      <c r="AN10" s="42">
        <f t="shared" si="29"/>
        <v>1</v>
      </c>
      <c r="AO10">
        <f t="shared" si="30"/>
        <v>6.7516615239016045E-2</v>
      </c>
      <c r="AP10">
        <f t="shared" si="31"/>
        <v>7.4055845102712348E-2</v>
      </c>
      <c r="AQ10">
        <f t="shared" si="32"/>
        <v>0.14811169020542472</v>
      </c>
      <c r="AR10">
        <f t="shared" si="46"/>
        <v>0.1481116902054247</v>
      </c>
      <c r="AS10" s="44">
        <f t="shared" si="47"/>
        <v>2.2219487708272714E-2</v>
      </c>
      <c r="AT10" s="42"/>
      <c r="AU10">
        <f t="shared" si="33"/>
        <v>1.3000000000000002E-8</v>
      </c>
      <c r="AV10" s="44">
        <f t="shared" si="48"/>
        <v>1.3000000000000002E-8</v>
      </c>
      <c r="AW10" s="42">
        <f t="shared" si="34"/>
        <v>0.92749999999999999</v>
      </c>
      <c r="AX10">
        <f t="shared" si="35"/>
        <v>6.9999999999999993E-3</v>
      </c>
      <c r="AY10" s="44">
        <f t="shared" si="49"/>
        <v>0.9345</v>
      </c>
      <c r="AZ10" s="42">
        <f t="shared" si="14"/>
        <v>0</v>
      </c>
      <c r="BA10">
        <f t="shared" si="15"/>
        <v>0</v>
      </c>
      <c r="BB10">
        <f t="shared" si="50"/>
        <v>0</v>
      </c>
      <c r="BC10" s="44">
        <f t="shared" si="36"/>
        <v>0</v>
      </c>
      <c r="BD10" s="42">
        <v>0</v>
      </c>
      <c r="BE10">
        <f t="shared" si="51"/>
        <v>0</v>
      </c>
      <c r="BF10" s="44">
        <f t="shared" si="52"/>
        <v>0</v>
      </c>
      <c r="BG10" s="42">
        <f t="shared" si="37"/>
        <v>0</v>
      </c>
      <c r="BH10">
        <f t="shared" si="38"/>
        <v>0</v>
      </c>
      <c r="BI10" s="44">
        <f t="shared" si="39"/>
        <v>0</v>
      </c>
      <c r="BK10" s="42">
        <f t="shared" si="17"/>
        <v>0</v>
      </c>
      <c r="BL10">
        <f t="shared" si="18"/>
        <v>0</v>
      </c>
      <c r="BM10">
        <f t="shared" si="19"/>
        <v>0</v>
      </c>
      <c r="BN10" s="44">
        <f t="shared" si="40"/>
        <v>0</v>
      </c>
      <c r="BO10" s="42">
        <v>0</v>
      </c>
      <c r="BP10">
        <f t="shared" si="41"/>
        <v>0</v>
      </c>
      <c r="BQ10" s="44">
        <f t="shared" si="53"/>
        <v>0</v>
      </c>
      <c r="BR10" s="42">
        <f t="shared" si="42"/>
        <v>0</v>
      </c>
      <c r="BS10">
        <f t="shared" si="54"/>
        <v>0</v>
      </c>
      <c r="BT10" s="44">
        <f t="shared" si="55"/>
        <v>0</v>
      </c>
      <c r="BU10" s="42">
        <f t="shared" si="20"/>
        <v>9.8198050606196531E-5</v>
      </c>
      <c r="BV10">
        <f t="shared" si="21"/>
        <v>4.3874999999999997E-2</v>
      </c>
      <c r="BW10" s="44">
        <f t="shared" si="22"/>
        <v>2.2499999999999999E-2</v>
      </c>
      <c r="BX10">
        <f t="shared" si="56"/>
        <v>1.5130930734141596E-2</v>
      </c>
      <c r="BY10">
        <f t="shared" si="43"/>
        <v>1.1492744519557003</v>
      </c>
      <c r="BZ10">
        <f t="shared" si="44"/>
        <v>39.488763681716357</v>
      </c>
    </row>
    <row r="11" spans="1:78" x14ac:dyDescent="0.3">
      <c r="A11" t="s">
        <v>593</v>
      </c>
      <c r="B11">
        <f>B10/(O11)</f>
        <v>0.25</v>
      </c>
      <c r="N11" t="s">
        <v>278</v>
      </c>
      <c r="O11">
        <v>150</v>
      </c>
      <c r="Q11">
        <v>4</v>
      </c>
      <c r="R11" s="42">
        <f t="shared" si="0"/>
        <v>1</v>
      </c>
      <c r="S11">
        <f t="shared" si="1"/>
        <v>50</v>
      </c>
      <c r="T11" s="44">
        <f t="shared" si="2"/>
        <v>0.02</v>
      </c>
      <c r="U11" s="42">
        <f t="shared" si="3"/>
        <v>1</v>
      </c>
      <c r="V11">
        <f t="shared" si="4"/>
        <v>5.2915026221291808E-2</v>
      </c>
      <c r="W11">
        <f t="shared" si="5"/>
        <v>7.7961471966036602E-2</v>
      </c>
      <c r="X11">
        <f t="shared" si="23"/>
        <v>0.86912350181267151</v>
      </c>
      <c r="Y11" s="42">
        <f t="shared" si="24"/>
        <v>0.37796447300922725</v>
      </c>
      <c r="Z11">
        <f t="shared" si="6"/>
        <v>0.7559289460184544</v>
      </c>
      <c r="AA11">
        <f t="shared" si="25"/>
        <v>0.7559289460184544</v>
      </c>
      <c r="AB11" s="44">
        <f t="shared" si="7"/>
        <v>0.10039448497591584</v>
      </c>
      <c r="AC11" s="42">
        <v>0</v>
      </c>
      <c r="AD11">
        <f t="shared" si="26"/>
        <v>2.0158105227158785E-4</v>
      </c>
      <c r="AE11" s="44">
        <f t="shared" si="27"/>
        <v>2.0158105227158785E-4</v>
      </c>
      <c r="AF11" s="42">
        <f t="shared" si="8"/>
        <v>0.02</v>
      </c>
      <c r="AG11" s="44">
        <f t="shared" si="9"/>
        <v>0.02</v>
      </c>
      <c r="AH11" s="42">
        <f t="shared" si="10"/>
        <v>3.4268778886169937E-4</v>
      </c>
      <c r="AI11">
        <f t="shared" si="11"/>
        <v>0.13619430493319604</v>
      </c>
      <c r="AJ11" s="44">
        <f t="shared" si="45"/>
        <v>0.13653699272205774</v>
      </c>
      <c r="AK11" s="42">
        <f t="shared" si="12"/>
        <v>1</v>
      </c>
      <c r="AL11">
        <f t="shared" si="13"/>
        <v>150</v>
      </c>
      <c r="AM11" s="44">
        <f t="shared" si="28"/>
        <v>6.6666666666666671E-3</v>
      </c>
      <c r="AN11" s="42">
        <f t="shared" si="29"/>
        <v>2</v>
      </c>
      <c r="AO11">
        <f t="shared" si="30"/>
        <v>7.7961471966036602E-2</v>
      </c>
      <c r="AP11">
        <f t="shared" si="31"/>
        <v>8.5512324210232415E-2</v>
      </c>
      <c r="AQ11">
        <f t="shared" si="32"/>
        <v>0.17102464842046483</v>
      </c>
      <c r="AR11">
        <f t="shared" si="46"/>
        <v>0.17102464842046483</v>
      </c>
      <c r="AS11" s="44">
        <f t="shared" si="47"/>
        <v>2.7570084304103955E-2</v>
      </c>
      <c r="AT11" s="42"/>
      <c r="AU11">
        <f t="shared" si="33"/>
        <v>2.3111111111111118E-8</v>
      </c>
      <c r="AV11" s="44">
        <f t="shared" si="48"/>
        <v>2.3111111111111118E-8</v>
      </c>
      <c r="AW11" s="42">
        <f t="shared" si="34"/>
        <v>0.92749999999999999</v>
      </c>
      <c r="AX11">
        <f t="shared" si="35"/>
        <v>9.3333333333333341E-3</v>
      </c>
      <c r="AY11" s="44">
        <f t="shared" si="49"/>
        <v>0.9368333333333333</v>
      </c>
      <c r="AZ11" s="42">
        <f t="shared" si="14"/>
        <v>0</v>
      </c>
      <c r="BA11">
        <f t="shared" si="15"/>
        <v>0</v>
      </c>
      <c r="BB11">
        <f t="shared" si="50"/>
        <v>0</v>
      </c>
      <c r="BC11" s="44">
        <f t="shared" si="36"/>
        <v>0</v>
      </c>
      <c r="BD11" s="42">
        <v>0</v>
      </c>
      <c r="BE11">
        <f t="shared" si="51"/>
        <v>0</v>
      </c>
      <c r="BF11" s="44">
        <f t="shared" si="52"/>
        <v>0</v>
      </c>
      <c r="BG11" s="42">
        <f t="shared" si="37"/>
        <v>0</v>
      </c>
      <c r="BH11">
        <f t="shared" si="38"/>
        <v>0</v>
      </c>
      <c r="BI11" s="44">
        <f t="shared" si="39"/>
        <v>0</v>
      </c>
      <c r="BK11" s="42">
        <f t="shared" si="17"/>
        <v>0</v>
      </c>
      <c r="BL11">
        <f t="shared" si="18"/>
        <v>0</v>
      </c>
      <c r="BM11">
        <f t="shared" si="19"/>
        <v>0</v>
      </c>
      <c r="BN11" s="44">
        <f t="shared" si="40"/>
        <v>0</v>
      </c>
      <c r="BO11" s="42">
        <v>0</v>
      </c>
      <c r="BP11">
        <f t="shared" si="41"/>
        <v>0</v>
      </c>
      <c r="BQ11" s="44">
        <f t="shared" si="53"/>
        <v>0</v>
      </c>
      <c r="BR11" s="42">
        <f t="shared" si="42"/>
        <v>0</v>
      </c>
      <c r="BS11">
        <f t="shared" si="54"/>
        <v>0</v>
      </c>
      <c r="BT11" s="44">
        <f t="shared" si="55"/>
        <v>0</v>
      </c>
      <c r="BU11" s="42">
        <f t="shared" si="20"/>
        <v>1.5118578920369087E-4</v>
      </c>
      <c r="BV11">
        <f t="shared" si="21"/>
        <v>4.3874999999999997E-2</v>
      </c>
      <c r="BW11" s="44">
        <f t="shared" si="22"/>
        <v>2.2499999999999999E-2</v>
      </c>
      <c r="BX11">
        <f t="shared" si="56"/>
        <v>2.020158105227159E-2</v>
      </c>
      <c r="BY11">
        <f t="shared" si="43"/>
        <v>1.1800981160079773</v>
      </c>
      <c r="BZ11">
        <f t="shared" si="44"/>
        <v>45.869495168920224</v>
      </c>
    </row>
    <row r="12" spans="1:78" x14ac:dyDescent="0.3">
      <c r="N12" t="s">
        <v>279</v>
      </c>
      <c r="O12">
        <f>IOUT1/(O11)</f>
        <v>1.6666666666666668E-3</v>
      </c>
      <c r="Q12">
        <v>5</v>
      </c>
      <c r="R12" s="42">
        <f t="shared" si="0"/>
        <v>1.25</v>
      </c>
      <c r="S12">
        <f t="shared" si="1"/>
        <v>50</v>
      </c>
      <c r="T12" s="44">
        <f t="shared" si="2"/>
        <v>2.5000000000000001E-2</v>
      </c>
      <c r="U12" s="42">
        <f t="shared" si="3"/>
        <v>1</v>
      </c>
      <c r="V12">
        <f t="shared" si="4"/>
        <v>5.9160797830996162E-2</v>
      </c>
      <c r="W12">
        <f t="shared" si="5"/>
        <v>8.7163575471001009E-2</v>
      </c>
      <c r="X12">
        <f t="shared" si="23"/>
        <v>0.85367562669800279</v>
      </c>
      <c r="Y12" s="42">
        <f t="shared" si="24"/>
        <v>0.42257712736425829</v>
      </c>
      <c r="Z12">
        <f t="shared" si="6"/>
        <v>0.84515425472851657</v>
      </c>
      <c r="AA12">
        <f t="shared" si="25"/>
        <v>0.84515425472851657</v>
      </c>
      <c r="AB12" s="44">
        <f t="shared" si="7"/>
        <v>0.11868405219520976</v>
      </c>
      <c r="AC12" s="42">
        <v>0</v>
      </c>
      <c r="AD12">
        <f t="shared" si="26"/>
        <v>2.8171808490950551E-4</v>
      </c>
      <c r="AE12" s="44">
        <f t="shared" si="27"/>
        <v>2.8171808490950551E-4</v>
      </c>
      <c r="AF12" s="42">
        <f t="shared" si="8"/>
        <v>2.5000000000000001E-2</v>
      </c>
      <c r="AG12" s="44">
        <f t="shared" si="9"/>
        <v>2.5000000000000001E-2</v>
      </c>
      <c r="AH12" s="42">
        <f t="shared" si="10"/>
        <v>4.7892074434615939E-4</v>
      </c>
      <c r="AI12">
        <f t="shared" si="11"/>
        <v>0.15226986198948061</v>
      </c>
      <c r="AJ12" s="44">
        <f t="shared" si="45"/>
        <v>0.15274878273382678</v>
      </c>
      <c r="AK12" s="42">
        <f t="shared" si="12"/>
        <v>1.25</v>
      </c>
      <c r="AL12">
        <f t="shared" si="13"/>
        <v>150</v>
      </c>
      <c r="AM12" s="44">
        <f t="shared" si="28"/>
        <v>8.3333333333333332E-3</v>
      </c>
      <c r="AN12" s="42">
        <f t="shared" si="29"/>
        <v>1</v>
      </c>
      <c r="AO12">
        <f t="shared" si="30"/>
        <v>8.7163575471001009E-2</v>
      </c>
      <c r="AP12">
        <f t="shared" si="31"/>
        <v>9.5605684924040341E-2</v>
      </c>
      <c r="AQ12">
        <f t="shared" si="32"/>
        <v>0.19121136984808071</v>
      </c>
      <c r="AR12">
        <f t="shared" si="46"/>
        <v>0.19121136984808068</v>
      </c>
      <c r="AS12" s="44">
        <f t="shared" si="47"/>
        <v>3.2592719862645593E-2</v>
      </c>
      <c r="AT12" s="42"/>
      <c r="AU12">
        <f t="shared" si="33"/>
        <v>3.6111111111111112E-8</v>
      </c>
      <c r="AV12" s="44">
        <f t="shared" si="48"/>
        <v>3.6111111111111112E-8</v>
      </c>
      <c r="AW12" s="42">
        <f t="shared" si="34"/>
        <v>0.92749999999999999</v>
      </c>
      <c r="AX12">
        <f t="shared" si="35"/>
        <v>1.1666666666666665E-2</v>
      </c>
      <c r="AY12" s="44">
        <f t="shared" si="49"/>
        <v>0.93916666666666671</v>
      </c>
      <c r="AZ12" s="42">
        <f t="shared" si="14"/>
        <v>0</v>
      </c>
      <c r="BA12">
        <f t="shared" si="15"/>
        <v>0</v>
      </c>
      <c r="BB12">
        <f t="shared" si="50"/>
        <v>0</v>
      </c>
      <c r="BC12" s="44">
        <f t="shared" si="36"/>
        <v>0</v>
      </c>
      <c r="BD12" s="42">
        <v>0</v>
      </c>
      <c r="BE12">
        <f t="shared" si="51"/>
        <v>0</v>
      </c>
      <c r="BF12" s="44">
        <f t="shared" si="52"/>
        <v>0</v>
      </c>
      <c r="BG12" s="42">
        <f t="shared" si="37"/>
        <v>0</v>
      </c>
      <c r="BH12">
        <f t="shared" si="38"/>
        <v>0</v>
      </c>
      <c r="BI12" s="44">
        <f t="shared" si="39"/>
        <v>0</v>
      </c>
      <c r="BK12" s="42">
        <f t="shared" si="17"/>
        <v>0</v>
      </c>
      <c r="BL12">
        <f t="shared" si="18"/>
        <v>0</v>
      </c>
      <c r="BM12">
        <f t="shared" si="19"/>
        <v>0</v>
      </c>
      <c r="BN12" s="44">
        <f t="shared" si="40"/>
        <v>0</v>
      </c>
      <c r="BO12" s="42">
        <v>0</v>
      </c>
      <c r="BP12">
        <f t="shared" si="41"/>
        <v>0</v>
      </c>
      <c r="BQ12" s="44">
        <f t="shared" si="53"/>
        <v>0</v>
      </c>
      <c r="BR12" s="42">
        <f t="shared" si="42"/>
        <v>0</v>
      </c>
      <c r="BS12">
        <f t="shared" si="54"/>
        <v>0</v>
      </c>
      <c r="BT12" s="44">
        <f t="shared" si="55"/>
        <v>0</v>
      </c>
      <c r="BU12" s="42">
        <f t="shared" si="20"/>
        <v>2.1128856368212912E-4</v>
      </c>
      <c r="BV12">
        <f t="shared" si="21"/>
        <v>4.3874999999999997E-2</v>
      </c>
      <c r="BW12" s="44">
        <f t="shared" si="22"/>
        <v>2.2499999999999999E-2</v>
      </c>
      <c r="BX12">
        <f t="shared" si="56"/>
        <v>2.5281718084909508E-2</v>
      </c>
      <c r="BY12">
        <f t="shared" si="43"/>
        <v>1.2087834921601961</v>
      </c>
      <c r="BZ12">
        <f t="shared" si="44"/>
        <v>50.838148376447592</v>
      </c>
    </row>
    <row r="13" spans="1:78" x14ac:dyDescent="0.3">
      <c r="Q13">
        <v>6</v>
      </c>
      <c r="R13" s="42">
        <f t="shared" si="0"/>
        <v>1.5</v>
      </c>
      <c r="S13">
        <f t="shared" si="1"/>
        <v>50</v>
      </c>
      <c r="T13" s="44">
        <f t="shared" si="2"/>
        <v>0.03</v>
      </c>
      <c r="U13" s="42">
        <f t="shared" si="3"/>
        <v>1</v>
      </c>
      <c r="V13">
        <f t="shared" si="4"/>
        <v>6.4807406984078594E-2</v>
      </c>
      <c r="W13">
        <f t="shared" si="5"/>
        <v>9.5482912956542459E-2</v>
      </c>
      <c r="X13">
        <f t="shared" si="23"/>
        <v>0.83970968005937896</v>
      </c>
      <c r="Y13" s="42">
        <f t="shared" si="24"/>
        <v>0.46291004988627577</v>
      </c>
      <c r="Z13">
        <f t="shared" si="6"/>
        <v>0.92582009977255131</v>
      </c>
      <c r="AA13">
        <f t="shared" si="25"/>
        <v>0.92582009977255142</v>
      </c>
      <c r="AB13" s="44">
        <f t="shared" si="7"/>
        <v>0.13607498666342402</v>
      </c>
      <c r="AC13" s="42">
        <v>0</v>
      </c>
      <c r="AD13">
        <f t="shared" si="26"/>
        <v>3.7032803990902054E-4</v>
      </c>
      <c r="AE13" s="44">
        <f t="shared" si="27"/>
        <v>3.7032803990902054E-4</v>
      </c>
      <c r="AF13" s="42">
        <f t="shared" si="8"/>
        <v>0.03</v>
      </c>
      <c r="AG13" s="44">
        <f t="shared" si="9"/>
        <v>0.03</v>
      </c>
      <c r="AH13" s="42">
        <f t="shared" si="10"/>
        <v>6.295576678453349E-4</v>
      </c>
      <c r="AI13">
        <f t="shared" si="11"/>
        <v>0.16680327647967402</v>
      </c>
      <c r="AJ13" s="44">
        <f t="shared" si="45"/>
        <v>0.16743283414751936</v>
      </c>
      <c r="AK13" s="42">
        <f t="shared" si="12"/>
        <v>1.5</v>
      </c>
      <c r="AL13">
        <f t="shared" si="13"/>
        <v>150</v>
      </c>
      <c r="AM13" s="44">
        <f t="shared" si="28"/>
        <v>0.01</v>
      </c>
      <c r="AN13" s="42">
        <f t="shared" si="29"/>
        <v>2</v>
      </c>
      <c r="AO13">
        <f t="shared" si="30"/>
        <v>9.5482912956542459E-2</v>
      </c>
      <c r="AP13">
        <f t="shared" si="31"/>
        <v>0.10473078051725697</v>
      </c>
      <c r="AQ13">
        <f t="shared" si="32"/>
        <v>0.20946156103451388</v>
      </c>
      <c r="AR13">
        <f t="shared" si="46"/>
        <v>0.20946156103451391</v>
      </c>
      <c r="AS13" s="44">
        <f t="shared" si="47"/>
        <v>3.7368575125321005E-2</v>
      </c>
      <c r="AT13" s="42"/>
      <c r="AU13">
        <f t="shared" si="33"/>
        <v>5.2000000000000009E-8</v>
      </c>
      <c r="AV13" s="44">
        <f t="shared" si="48"/>
        <v>5.2000000000000009E-8</v>
      </c>
      <c r="AW13" s="42">
        <f t="shared" si="34"/>
        <v>0.92749999999999999</v>
      </c>
      <c r="AX13">
        <f t="shared" si="35"/>
        <v>1.3999999999999999E-2</v>
      </c>
      <c r="AY13" s="44">
        <f t="shared" si="49"/>
        <v>0.9415</v>
      </c>
      <c r="AZ13" s="42">
        <f t="shared" si="14"/>
        <v>0</v>
      </c>
      <c r="BA13">
        <f t="shared" si="15"/>
        <v>0</v>
      </c>
      <c r="BB13">
        <f t="shared" si="50"/>
        <v>0</v>
      </c>
      <c r="BC13" s="44">
        <f t="shared" si="36"/>
        <v>0</v>
      </c>
      <c r="BD13" s="42">
        <v>0</v>
      </c>
      <c r="BE13">
        <f t="shared" si="51"/>
        <v>0</v>
      </c>
      <c r="BF13" s="44">
        <f t="shared" si="52"/>
        <v>0</v>
      </c>
      <c r="BG13" s="42">
        <f t="shared" si="37"/>
        <v>0</v>
      </c>
      <c r="BH13">
        <f t="shared" si="38"/>
        <v>0</v>
      </c>
      <c r="BI13" s="44">
        <f t="shared" si="39"/>
        <v>0</v>
      </c>
      <c r="BK13" s="42">
        <f t="shared" si="17"/>
        <v>0</v>
      </c>
      <c r="BL13">
        <f t="shared" si="18"/>
        <v>0</v>
      </c>
      <c r="BM13">
        <f t="shared" si="19"/>
        <v>0</v>
      </c>
      <c r="BN13" s="44">
        <f t="shared" si="40"/>
        <v>0</v>
      </c>
      <c r="BO13" s="42">
        <v>0</v>
      </c>
      <c r="BP13">
        <f t="shared" si="41"/>
        <v>0</v>
      </c>
      <c r="BQ13" s="44">
        <f t="shared" si="53"/>
        <v>0</v>
      </c>
      <c r="BR13" s="42">
        <f t="shared" si="42"/>
        <v>0</v>
      </c>
      <c r="BS13">
        <f t="shared" si="54"/>
        <v>0</v>
      </c>
      <c r="BT13" s="44">
        <f t="shared" si="55"/>
        <v>0</v>
      </c>
      <c r="BU13" s="42">
        <f t="shared" si="20"/>
        <v>2.7774602993176539E-4</v>
      </c>
      <c r="BV13">
        <f t="shared" si="21"/>
        <v>4.3874999999999997E-2</v>
      </c>
      <c r="BW13" s="44">
        <f t="shared" si="22"/>
        <v>2.2499999999999999E-2</v>
      </c>
      <c r="BX13">
        <f t="shared" si="56"/>
        <v>3.0370328039909019E-2</v>
      </c>
      <c r="BY13">
        <f t="shared" si="43"/>
        <v>1.2359559602173602</v>
      </c>
      <c r="BZ13">
        <f t="shared" si="44"/>
        <v>54.825443896429938</v>
      </c>
    </row>
    <row r="14" spans="1:78" x14ac:dyDescent="0.3">
      <c r="A14" t="s">
        <v>426</v>
      </c>
      <c r="B14" s="20">
        <f>VOUT2*IOUT2</f>
        <v>0</v>
      </c>
      <c r="Q14">
        <v>7</v>
      </c>
      <c r="R14" s="42">
        <f t="shared" si="0"/>
        <v>1.75</v>
      </c>
      <c r="S14">
        <f t="shared" si="1"/>
        <v>50</v>
      </c>
      <c r="T14" s="44">
        <f t="shared" si="2"/>
        <v>3.5000000000000003E-2</v>
      </c>
      <c r="U14" s="42">
        <f t="shared" si="3"/>
        <v>1</v>
      </c>
      <c r="V14">
        <f t="shared" si="4"/>
        <v>6.9999999999999993E-2</v>
      </c>
      <c r="W14">
        <f t="shared" si="5"/>
        <v>0.10313333333333333</v>
      </c>
      <c r="X14">
        <f t="shared" si="23"/>
        <v>0.82686666666666675</v>
      </c>
      <c r="Y14" s="42">
        <f t="shared" si="24"/>
        <v>0.50000000000000011</v>
      </c>
      <c r="Z14">
        <f t="shared" si="6"/>
        <v>0.99999999999999989</v>
      </c>
      <c r="AA14">
        <f t="shared" si="25"/>
        <v>1</v>
      </c>
      <c r="AB14" s="44">
        <f t="shared" si="7"/>
        <v>0.15275252316519466</v>
      </c>
      <c r="AC14" s="42">
        <v>0</v>
      </c>
      <c r="AD14">
        <f t="shared" si="26"/>
        <v>4.6666666666666661E-4</v>
      </c>
      <c r="AE14" s="44">
        <f t="shared" si="27"/>
        <v>4.6666666666666661E-4</v>
      </c>
      <c r="AF14" s="42">
        <f t="shared" si="8"/>
        <v>3.5000000000000003E-2</v>
      </c>
      <c r="AG14" s="44">
        <f t="shared" si="9"/>
        <v>3.5000000000000003E-2</v>
      </c>
      <c r="AH14" s="42">
        <f t="shared" si="10"/>
        <v>7.9333333333333328E-4</v>
      </c>
      <c r="AI14">
        <f t="shared" si="11"/>
        <v>0.18016813041826704</v>
      </c>
      <c r="AJ14" s="44">
        <f t="shared" si="45"/>
        <v>0.18096146375160038</v>
      </c>
      <c r="AK14" s="42">
        <f t="shared" si="12"/>
        <v>1.75</v>
      </c>
      <c r="AL14">
        <f t="shared" si="13"/>
        <v>150</v>
      </c>
      <c r="AM14" s="44">
        <f t="shared" si="28"/>
        <v>1.1666666666666667E-2</v>
      </c>
      <c r="AN14" s="42">
        <f t="shared" si="29"/>
        <v>2</v>
      </c>
      <c r="AO14">
        <f t="shared" si="30"/>
        <v>0.1031333333333333</v>
      </c>
      <c r="AP14">
        <f t="shared" si="31"/>
        <v>0.1131221719457014</v>
      </c>
      <c r="AQ14">
        <f t="shared" si="32"/>
        <v>0.22624434389140266</v>
      </c>
      <c r="AR14">
        <f t="shared" si="46"/>
        <v>0.22624434389140274</v>
      </c>
      <c r="AS14" s="44">
        <f t="shared" si="47"/>
        <v>4.1948518808969486E-2</v>
      </c>
      <c r="AT14" s="42"/>
      <c r="AU14">
        <f t="shared" si="33"/>
        <v>7.0777777777777798E-8</v>
      </c>
      <c r="AV14" s="44">
        <f t="shared" si="48"/>
        <v>7.0777777777777798E-8</v>
      </c>
      <c r="AW14" s="42">
        <f t="shared" si="34"/>
        <v>0.92749999999999999</v>
      </c>
      <c r="AX14">
        <f t="shared" si="35"/>
        <v>1.6333333333333332E-2</v>
      </c>
      <c r="AY14" s="44">
        <f t="shared" si="49"/>
        <v>0.9438333333333333</v>
      </c>
      <c r="AZ14" s="42">
        <f t="shared" si="14"/>
        <v>0</v>
      </c>
      <c r="BA14">
        <f t="shared" si="15"/>
        <v>0</v>
      </c>
      <c r="BB14">
        <f t="shared" si="50"/>
        <v>0</v>
      </c>
      <c r="BC14" s="44">
        <f t="shared" si="36"/>
        <v>0</v>
      </c>
      <c r="BD14" s="42">
        <v>0</v>
      </c>
      <c r="BE14">
        <f t="shared" si="51"/>
        <v>0</v>
      </c>
      <c r="BF14" s="44">
        <f t="shared" si="52"/>
        <v>0</v>
      </c>
      <c r="BG14" s="42">
        <f t="shared" si="37"/>
        <v>0</v>
      </c>
      <c r="BH14">
        <f t="shared" si="38"/>
        <v>0</v>
      </c>
      <c r="BI14" s="44">
        <f t="shared" si="39"/>
        <v>0</v>
      </c>
      <c r="BK14" s="42">
        <f t="shared" si="17"/>
        <v>0</v>
      </c>
      <c r="BL14">
        <f t="shared" si="18"/>
        <v>0</v>
      </c>
      <c r="BM14">
        <f t="shared" si="19"/>
        <v>0</v>
      </c>
      <c r="BN14" s="44">
        <f t="shared" si="40"/>
        <v>0</v>
      </c>
      <c r="BO14" s="42">
        <v>0</v>
      </c>
      <c r="BP14">
        <f t="shared" si="41"/>
        <v>0</v>
      </c>
      <c r="BQ14" s="44">
        <f t="shared" si="53"/>
        <v>0</v>
      </c>
      <c r="BR14" s="42">
        <f t="shared" si="42"/>
        <v>0</v>
      </c>
      <c r="BS14">
        <f t="shared" si="54"/>
        <v>0</v>
      </c>
      <c r="BT14" s="44">
        <f t="shared" si="55"/>
        <v>0</v>
      </c>
      <c r="BU14" s="42">
        <f t="shared" si="20"/>
        <v>3.4999999999999994E-4</v>
      </c>
      <c r="BV14">
        <f t="shared" si="21"/>
        <v>4.3874999999999997E-2</v>
      </c>
      <c r="BW14" s="44">
        <f t="shared" si="22"/>
        <v>2.2499999999999999E-2</v>
      </c>
      <c r="BX14">
        <f t="shared" si="56"/>
        <v>3.5466666666666667E-2</v>
      </c>
      <c r="BY14">
        <f t="shared" si="43"/>
        <v>1.2619865345293779</v>
      </c>
      <c r="BZ14">
        <f t="shared" si="44"/>
        <v>58.101189362502815</v>
      </c>
    </row>
    <row r="15" spans="1:78" x14ac:dyDescent="0.3">
      <c r="A15" t="s">
        <v>594</v>
      </c>
      <c r="B15">
        <f>POUT2/O11</f>
        <v>0</v>
      </c>
      <c r="O15">
        <f>0.205*2.5/(Lm*Fsw)</f>
        <v>0.14642857142857141</v>
      </c>
      <c r="Q15">
        <v>8</v>
      </c>
      <c r="R15" s="42">
        <f t="shared" si="0"/>
        <v>2</v>
      </c>
      <c r="S15">
        <f t="shared" si="1"/>
        <v>50</v>
      </c>
      <c r="T15" s="44">
        <f t="shared" si="2"/>
        <v>0.04</v>
      </c>
      <c r="U15" s="42">
        <f t="shared" si="3"/>
        <v>1</v>
      </c>
      <c r="V15">
        <f t="shared" si="4"/>
        <v>7.4833147735478833E-2</v>
      </c>
      <c r="W15">
        <f t="shared" si="5"/>
        <v>0.11025417099693882</v>
      </c>
      <c r="X15">
        <f t="shared" si="23"/>
        <v>0.81491268126758232</v>
      </c>
      <c r="Y15" s="42">
        <f t="shared" si="24"/>
        <v>0.53452248382484868</v>
      </c>
      <c r="Z15">
        <f t="shared" si="6"/>
        <v>1.0690449676496976</v>
      </c>
      <c r="AA15">
        <f t="shared" si="25"/>
        <v>1.0690449676496976</v>
      </c>
      <c r="AB15" s="44">
        <f t="shared" si="7"/>
        <v>0.1688427250549811</v>
      </c>
      <c r="AC15" s="42">
        <v>0</v>
      </c>
      <c r="AD15">
        <f t="shared" si="26"/>
        <v>5.7015731607983891E-4</v>
      </c>
      <c r="AE15" s="44">
        <f t="shared" si="27"/>
        <v>5.7015731607983891E-4</v>
      </c>
      <c r="AF15" s="42">
        <f t="shared" si="8"/>
        <v>0.04</v>
      </c>
      <c r="AG15" s="44">
        <f t="shared" si="9"/>
        <v>0.04</v>
      </c>
      <c r="AH15" s="42">
        <f t="shared" si="10"/>
        <v>9.6926743733572612E-4</v>
      </c>
      <c r="AI15">
        <f t="shared" si="11"/>
        <v>0.19260783315450269</v>
      </c>
      <c r="AJ15" s="44">
        <f t="shared" si="45"/>
        <v>0.19357710059183841</v>
      </c>
      <c r="AK15" s="42">
        <f t="shared" si="12"/>
        <v>2</v>
      </c>
      <c r="AL15">
        <f t="shared" si="13"/>
        <v>150</v>
      </c>
      <c r="AM15" s="44">
        <f t="shared" si="28"/>
        <v>1.3333333333333334E-2</v>
      </c>
      <c r="AN15" s="42">
        <f t="shared" si="29"/>
        <v>2</v>
      </c>
      <c r="AO15">
        <f t="shared" si="30"/>
        <v>0.11025417099693882</v>
      </c>
      <c r="AP15">
        <f t="shared" si="31"/>
        <v>0.12093268864815582</v>
      </c>
      <c r="AQ15">
        <f t="shared" si="32"/>
        <v>0.24186537729631172</v>
      </c>
      <c r="AR15">
        <f t="shared" si="46"/>
        <v>0.24186537729631169</v>
      </c>
      <c r="AS15" s="44">
        <f t="shared" si="47"/>
        <v>4.6367170119127443E-2</v>
      </c>
      <c r="AT15" s="42"/>
      <c r="AU15">
        <f t="shared" si="33"/>
        <v>9.2444444444444474E-8</v>
      </c>
      <c r="AV15" s="44">
        <f t="shared" si="48"/>
        <v>9.2444444444444474E-8</v>
      </c>
      <c r="AW15" s="42">
        <f t="shared" si="34"/>
        <v>0.92749999999999999</v>
      </c>
      <c r="AX15">
        <f t="shared" si="35"/>
        <v>1.8666666666666668E-2</v>
      </c>
      <c r="AY15" s="44">
        <f t="shared" si="49"/>
        <v>0.94616666666666671</v>
      </c>
      <c r="AZ15" s="42">
        <f t="shared" si="14"/>
        <v>0</v>
      </c>
      <c r="BA15">
        <f t="shared" si="15"/>
        <v>0</v>
      </c>
      <c r="BB15">
        <f t="shared" si="50"/>
        <v>0</v>
      </c>
      <c r="BC15" s="44">
        <f t="shared" si="36"/>
        <v>0</v>
      </c>
      <c r="BD15" s="42">
        <v>0</v>
      </c>
      <c r="BE15">
        <f t="shared" si="51"/>
        <v>0</v>
      </c>
      <c r="BF15" s="44">
        <f t="shared" si="52"/>
        <v>0</v>
      </c>
      <c r="BG15" s="42">
        <f t="shared" si="37"/>
        <v>0</v>
      </c>
      <c r="BH15">
        <f t="shared" si="38"/>
        <v>0</v>
      </c>
      <c r="BI15" s="44">
        <f t="shared" si="39"/>
        <v>0</v>
      </c>
      <c r="BK15" s="42">
        <f t="shared" si="17"/>
        <v>0</v>
      </c>
      <c r="BL15">
        <f t="shared" si="18"/>
        <v>0</v>
      </c>
      <c r="BM15">
        <f t="shared" si="19"/>
        <v>0</v>
      </c>
      <c r="BN15" s="44">
        <f t="shared" si="40"/>
        <v>0</v>
      </c>
      <c r="BO15" s="42">
        <v>0</v>
      </c>
      <c r="BP15">
        <f t="shared" si="41"/>
        <v>0</v>
      </c>
      <c r="BQ15" s="44">
        <f t="shared" si="53"/>
        <v>0</v>
      </c>
      <c r="BR15" s="42">
        <f t="shared" si="42"/>
        <v>0</v>
      </c>
      <c r="BS15">
        <f t="shared" si="54"/>
        <v>0</v>
      </c>
      <c r="BT15" s="44">
        <f t="shared" si="55"/>
        <v>0</v>
      </c>
      <c r="BU15" s="42">
        <f t="shared" si="20"/>
        <v>4.2761798705987913E-4</v>
      </c>
      <c r="BV15">
        <f t="shared" si="21"/>
        <v>4.3874999999999997E-2</v>
      </c>
      <c r="BW15" s="44">
        <f t="shared" si="22"/>
        <v>2.2499999999999999E-2</v>
      </c>
      <c r="BX15">
        <f t="shared" si="56"/>
        <v>4.0570157316079838E-2</v>
      </c>
      <c r="BY15">
        <f t="shared" si="43"/>
        <v>1.2871166350060896</v>
      </c>
      <c r="BZ15">
        <f t="shared" si="44"/>
        <v>60.843597051015344</v>
      </c>
    </row>
    <row r="16" spans="1:78" x14ac:dyDescent="0.3">
      <c r="Q16">
        <v>9</v>
      </c>
      <c r="R16" s="42">
        <f t="shared" si="0"/>
        <v>2.25</v>
      </c>
      <c r="S16">
        <f t="shared" si="1"/>
        <v>50</v>
      </c>
      <c r="T16" s="44">
        <f t="shared" si="2"/>
        <v>4.4999999999999998E-2</v>
      </c>
      <c r="U16" s="42">
        <f t="shared" si="3"/>
        <v>1</v>
      </c>
      <c r="V16">
        <f t="shared" si="4"/>
        <v>7.9372539331937719E-2</v>
      </c>
      <c r="W16">
        <f t="shared" si="5"/>
        <v>0.11694220794905491</v>
      </c>
      <c r="X16">
        <f t="shared" si="23"/>
        <v>0.80368525271900726</v>
      </c>
      <c r="Y16" s="42">
        <f t="shared" si="24"/>
        <v>0.56694670951384085</v>
      </c>
      <c r="Z16">
        <f t="shared" si="6"/>
        <v>1.1338934190276817</v>
      </c>
      <c r="AA16">
        <f t="shared" si="25"/>
        <v>1.1338934190276817</v>
      </c>
      <c r="AB16" s="44">
        <f t="shared" si="7"/>
        <v>0.18443644588537933</v>
      </c>
      <c r="AC16" s="42">
        <v>0</v>
      </c>
      <c r="AD16">
        <f t="shared" si="26"/>
        <v>6.8033605141660917E-4</v>
      </c>
      <c r="AE16" s="44">
        <f t="shared" si="27"/>
        <v>6.8033605141660917E-4</v>
      </c>
      <c r="AF16" s="42">
        <f t="shared" si="8"/>
        <v>4.4999999999999998E-2</v>
      </c>
      <c r="AG16" s="44">
        <f t="shared" si="9"/>
        <v>4.4999999999999998E-2</v>
      </c>
      <c r="AH16" s="42">
        <f t="shared" si="10"/>
        <v>1.1565712874082356E-3</v>
      </c>
      <c r="AI16">
        <f t="shared" si="11"/>
        <v>0.20429145739979401</v>
      </c>
      <c r="AJ16" s="44">
        <f t="shared" si="45"/>
        <v>0.20544802868720224</v>
      </c>
      <c r="AK16" s="42">
        <f t="shared" si="12"/>
        <v>2.25</v>
      </c>
      <c r="AL16">
        <f t="shared" si="13"/>
        <v>150</v>
      </c>
      <c r="AM16" s="44">
        <f t="shared" si="28"/>
        <v>1.4999999999999999E-2</v>
      </c>
      <c r="AN16" s="42">
        <f t="shared" si="29"/>
        <v>2</v>
      </c>
      <c r="AO16">
        <f t="shared" si="30"/>
        <v>0.11694220794905488</v>
      </c>
      <c r="AP16">
        <f t="shared" si="31"/>
        <v>0.12826848631534862</v>
      </c>
      <c r="AQ16">
        <f t="shared" si="32"/>
        <v>0.25653697263069719</v>
      </c>
      <c r="AR16">
        <f t="shared" si="46"/>
        <v>0.25653697263069719</v>
      </c>
      <c r="AS16" s="44">
        <f t="shared" si="47"/>
        <v>5.0649479032927582E-2</v>
      </c>
      <c r="AT16" s="42"/>
      <c r="AU16">
        <f t="shared" si="33"/>
        <v>1.1700000000000002E-7</v>
      </c>
      <c r="AV16" s="44">
        <f t="shared" si="48"/>
        <v>1.1700000000000002E-7</v>
      </c>
      <c r="AW16" s="42">
        <f t="shared" si="34"/>
        <v>0.92749999999999999</v>
      </c>
      <c r="AX16">
        <f t="shared" si="35"/>
        <v>2.0999999999999998E-2</v>
      </c>
      <c r="AY16" s="44">
        <f t="shared" si="49"/>
        <v>0.94850000000000001</v>
      </c>
      <c r="AZ16" s="42">
        <f t="shared" si="14"/>
        <v>0</v>
      </c>
      <c r="BA16">
        <f t="shared" si="15"/>
        <v>0</v>
      </c>
      <c r="BB16">
        <f t="shared" si="50"/>
        <v>0</v>
      </c>
      <c r="BC16" s="44">
        <f t="shared" si="36"/>
        <v>0</v>
      </c>
      <c r="BD16" s="42">
        <v>0</v>
      </c>
      <c r="BE16">
        <f t="shared" si="51"/>
        <v>0</v>
      </c>
      <c r="BF16" s="44">
        <f t="shared" si="52"/>
        <v>0</v>
      </c>
      <c r="BG16" s="42">
        <f t="shared" si="37"/>
        <v>0</v>
      </c>
      <c r="BH16">
        <f t="shared" si="38"/>
        <v>0</v>
      </c>
      <c r="BI16" s="44">
        <f t="shared" si="39"/>
        <v>0</v>
      </c>
      <c r="BK16" s="42">
        <f t="shared" si="17"/>
        <v>0</v>
      </c>
      <c r="BL16">
        <f t="shared" si="18"/>
        <v>0</v>
      </c>
      <c r="BM16">
        <f t="shared" si="19"/>
        <v>0</v>
      </c>
      <c r="BN16" s="44">
        <f t="shared" si="40"/>
        <v>0</v>
      </c>
      <c r="BO16" s="42">
        <v>0</v>
      </c>
      <c r="BP16">
        <f t="shared" si="41"/>
        <v>0</v>
      </c>
      <c r="BQ16" s="44">
        <f t="shared" si="53"/>
        <v>0</v>
      </c>
      <c r="BR16" s="42">
        <f t="shared" si="42"/>
        <v>0</v>
      </c>
      <c r="BS16">
        <f t="shared" si="54"/>
        <v>0</v>
      </c>
      <c r="BT16" s="44">
        <f t="shared" si="55"/>
        <v>0</v>
      </c>
      <c r="BU16" s="42">
        <f t="shared" si="20"/>
        <v>5.1025203856245682E-4</v>
      </c>
      <c r="BV16">
        <f t="shared" si="21"/>
        <v>4.3874999999999997E-2</v>
      </c>
      <c r="BW16" s="44">
        <f t="shared" si="22"/>
        <v>2.2499999999999999E-2</v>
      </c>
      <c r="BX16">
        <f t="shared" si="56"/>
        <v>4.5680336051416609E-2</v>
      </c>
      <c r="BY16">
        <f t="shared" si="43"/>
        <v>1.3115137337771812</v>
      </c>
      <c r="BZ16">
        <f t="shared" si="44"/>
        <v>63.17538463101058</v>
      </c>
    </row>
    <row r="17" spans="1:78" x14ac:dyDescent="0.3">
      <c r="Q17">
        <v>10</v>
      </c>
      <c r="R17" s="42">
        <f t="shared" si="0"/>
        <v>2.5</v>
      </c>
      <c r="S17">
        <f t="shared" si="1"/>
        <v>50</v>
      </c>
      <c r="T17" s="44">
        <f t="shared" si="2"/>
        <v>0.05</v>
      </c>
      <c r="U17" s="42">
        <f t="shared" si="3"/>
        <v>1</v>
      </c>
      <c r="V17">
        <f t="shared" si="4"/>
        <v>8.3666002653407553E-2</v>
      </c>
      <c r="W17">
        <f t="shared" si="5"/>
        <v>0.12326791057602046</v>
      </c>
      <c r="X17">
        <f t="shared" si="23"/>
        <v>0.793066086770572</v>
      </c>
      <c r="Y17" s="42">
        <f t="shared" si="24"/>
        <v>0.59761430466719678</v>
      </c>
      <c r="Z17">
        <f t="shared" si="6"/>
        <v>1.1952286093343936</v>
      </c>
      <c r="AA17">
        <f t="shared" si="25"/>
        <v>1.1952286093343936</v>
      </c>
      <c r="AB17" s="44">
        <f t="shared" si="7"/>
        <v>0.19960198807747326</v>
      </c>
      <c r="AC17" s="42">
        <v>0</v>
      </c>
      <c r="AD17">
        <f t="shared" si="26"/>
        <v>7.9681907288959544E-4</v>
      </c>
      <c r="AE17" s="44">
        <f t="shared" si="27"/>
        <v>7.9681907288959544E-4</v>
      </c>
      <c r="AF17" s="42">
        <f t="shared" si="8"/>
        <v>0.05</v>
      </c>
      <c r="AG17" s="44">
        <f t="shared" si="9"/>
        <v>0.05</v>
      </c>
      <c r="AH17" s="42">
        <f t="shared" si="10"/>
        <v>1.3545924239123123E-3</v>
      </c>
      <c r="AI17">
        <f t="shared" si="11"/>
        <v>0.2153421039662029</v>
      </c>
      <c r="AJ17" s="44">
        <f t="shared" si="45"/>
        <v>0.21669669639011521</v>
      </c>
      <c r="AK17" s="42">
        <f t="shared" si="12"/>
        <v>2.5</v>
      </c>
      <c r="AL17">
        <f t="shared" si="13"/>
        <v>150</v>
      </c>
      <c r="AM17" s="44">
        <f t="shared" si="28"/>
        <v>1.6666666666666666E-2</v>
      </c>
      <c r="AN17" s="42">
        <f t="shared" si="29"/>
        <v>2</v>
      </c>
      <c r="AO17">
        <f t="shared" si="30"/>
        <v>0.12326791057602046</v>
      </c>
      <c r="AP17">
        <f t="shared" si="31"/>
        <v>0.13520685625954679</v>
      </c>
      <c r="AQ17">
        <f t="shared" si="32"/>
        <v>0.27041371251909363</v>
      </c>
      <c r="AR17">
        <f t="shared" si="46"/>
        <v>0.27041371251909363</v>
      </c>
      <c r="AS17" s="44">
        <f t="shared" si="47"/>
        <v>5.4814202591734446E-2</v>
      </c>
      <c r="AT17" s="42"/>
      <c r="AU17">
        <f t="shared" si="33"/>
        <v>1.4444444444444445E-7</v>
      </c>
      <c r="AV17" s="44">
        <f t="shared" si="48"/>
        <v>1.4444444444444445E-7</v>
      </c>
      <c r="AW17" s="42">
        <f t="shared" si="34"/>
        <v>0.92749999999999999</v>
      </c>
      <c r="AX17">
        <f t="shared" si="35"/>
        <v>2.3333333333333331E-2</v>
      </c>
      <c r="AY17" s="44">
        <f t="shared" si="49"/>
        <v>0.95083333333333331</v>
      </c>
      <c r="AZ17" s="42">
        <f t="shared" si="14"/>
        <v>0</v>
      </c>
      <c r="BA17">
        <f t="shared" si="15"/>
        <v>0</v>
      </c>
      <c r="BB17">
        <f t="shared" si="50"/>
        <v>0</v>
      </c>
      <c r="BC17" s="44">
        <f t="shared" si="36"/>
        <v>0</v>
      </c>
      <c r="BD17" s="42">
        <v>0</v>
      </c>
      <c r="BE17">
        <f t="shared" si="51"/>
        <v>0</v>
      </c>
      <c r="BF17" s="44">
        <f t="shared" si="52"/>
        <v>0</v>
      </c>
      <c r="BG17" s="42">
        <f t="shared" si="37"/>
        <v>0</v>
      </c>
      <c r="BH17">
        <f t="shared" si="38"/>
        <v>0</v>
      </c>
      <c r="BI17" s="44">
        <f t="shared" si="39"/>
        <v>0</v>
      </c>
      <c r="BK17" s="42">
        <f t="shared" si="17"/>
        <v>0</v>
      </c>
      <c r="BL17">
        <f t="shared" si="18"/>
        <v>0</v>
      </c>
      <c r="BM17">
        <f t="shared" si="19"/>
        <v>0</v>
      </c>
      <c r="BN17" s="44">
        <f t="shared" si="40"/>
        <v>0</v>
      </c>
      <c r="BO17" s="42">
        <v>0</v>
      </c>
      <c r="BP17">
        <f t="shared" si="41"/>
        <v>0</v>
      </c>
      <c r="BQ17" s="44">
        <f t="shared" si="53"/>
        <v>0</v>
      </c>
      <c r="BR17" s="42">
        <f t="shared" si="42"/>
        <v>0</v>
      </c>
      <c r="BS17">
        <f t="shared" si="54"/>
        <v>0</v>
      </c>
      <c r="BT17" s="44">
        <f t="shared" si="55"/>
        <v>0</v>
      </c>
      <c r="BU17" s="42">
        <f t="shared" si="20"/>
        <v>5.9761430466719653E-4</v>
      </c>
      <c r="BV17">
        <f t="shared" si="21"/>
        <v>4.3874999999999997E-2</v>
      </c>
      <c r="BW17" s="44">
        <f t="shared" si="22"/>
        <v>2.2499999999999999E-2</v>
      </c>
      <c r="BX17">
        <f t="shared" si="56"/>
        <v>5.0796819072889597E-2</v>
      </c>
      <c r="BY17">
        <f t="shared" si="43"/>
        <v>1.3352996075454497</v>
      </c>
      <c r="BZ17">
        <f t="shared" si="44"/>
        <v>65.183955774447909</v>
      </c>
    </row>
    <row r="18" spans="1:78" x14ac:dyDescent="0.3">
      <c r="A18" t="s">
        <v>592</v>
      </c>
      <c r="B18" s="20">
        <f>VOUT3*IOUT3</f>
        <v>0</v>
      </c>
      <c r="Q18">
        <v>11</v>
      </c>
      <c r="R18" s="42">
        <f t="shared" si="0"/>
        <v>2.75</v>
      </c>
      <c r="S18">
        <f t="shared" si="1"/>
        <v>50</v>
      </c>
      <c r="T18" s="44">
        <f t="shared" si="2"/>
        <v>5.5E-2</v>
      </c>
      <c r="U18" s="42">
        <f t="shared" si="3"/>
        <v>1</v>
      </c>
      <c r="V18">
        <f t="shared" si="4"/>
        <v>8.7749643873921215E-2</v>
      </c>
      <c r="W18">
        <f t="shared" si="5"/>
        <v>0.12928447530757725</v>
      </c>
      <c r="X18">
        <f t="shared" si="23"/>
        <v>0.78296588081850149</v>
      </c>
      <c r="Y18" s="42">
        <f t="shared" si="24"/>
        <v>0.6267831705280088</v>
      </c>
      <c r="Z18">
        <f t="shared" si="6"/>
        <v>1.2535663410560172</v>
      </c>
      <c r="AA18">
        <f t="shared" si="25"/>
        <v>1.2535663410560174</v>
      </c>
      <c r="AB18" s="44">
        <f t="shared" si="7"/>
        <v>0.21439239532234805</v>
      </c>
      <c r="AC18" s="42">
        <v>0</v>
      </c>
      <c r="AD18">
        <f t="shared" si="26"/>
        <v>9.1928198344107942E-4</v>
      </c>
      <c r="AE18" s="44">
        <f t="shared" si="27"/>
        <v>9.1928198344107942E-4</v>
      </c>
      <c r="AF18" s="42">
        <f t="shared" si="8"/>
        <v>5.5E-2</v>
      </c>
      <c r="AG18" s="44">
        <f t="shared" si="9"/>
        <v>5.5E-2</v>
      </c>
      <c r="AH18" s="42">
        <f t="shared" si="10"/>
        <v>1.562779371849835E-3</v>
      </c>
      <c r="AI18">
        <f t="shared" si="11"/>
        <v>0.22585270402333035</v>
      </c>
      <c r="AJ18" s="44">
        <f t="shared" si="45"/>
        <v>0.2274154833951802</v>
      </c>
      <c r="AK18" s="42">
        <f t="shared" si="12"/>
        <v>2.75</v>
      </c>
      <c r="AL18">
        <f t="shared" si="13"/>
        <v>150</v>
      </c>
      <c r="AM18" s="44">
        <f t="shared" si="28"/>
        <v>1.8333333333333333E-2</v>
      </c>
      <c r="AN18" s="42">
        <f t="shared" si="29"/>
        <v>2</v>
      </c>
      <c r="AO18">
        <f t="shared" si="30"/>
        <v>0.12928447530757722</v>
      </c>
      <c r="AP18">
        <f t="shared" si="31"/>
        <v>0.14180614717828255</v>
      </c>
      <c r="AQ18">
        <f t="shared" si="32"/>
        <v>0.28361229435656499</v>
      </c>
      <c r="AR18">
        <f t="shared" si="46"/>
        <v>0.28361229435656504</v>
      </c>
      <c r="AS18" s="44">
        <f t="shared" si="47"/>
        <v>5.8875907522349412E-2</v>
      </c>
      <c r="AT18" s="42"/>
      <c r="AU18">
        <f t="shared" si="33"/>
        <v>1.747777777777778E-7</v>
      </c>
      <c r="AV18" s="44">
        <f t="shared" si="48"/>
        <v>1.747777777777778E-7</v>
      </c>
      <c r="AW18" s="42">
        <f t="shared" si="34"/>
        <v>0.92749999999999999</v>
      </c>
      <c r="AX18">
        <f t="shared" si="35"/>
        <v>2.5666666666666664E-2</v>
      </c>
      <c r="AY18" s="44">
        <f t="shared" si="49"/>
        <v>0.95316666666666661</v>
      </c>
      <c r="AZ18" s="42">
        <f t="shared" si="14"/>
        <v>0</v>
      </c>
      <c r="BA18">
        <f t="shared" si="15"/>
        <v>0</v>
      </c>
      <c r="BB18">
        <f t="shared" si="50"/>
        <v>0</v>
      </c>
      <c r="BC18" s="44">
        <f t="shared" si="36"/>
        <v>0</v>
      </c>
      <c r="BD18" s="42">
        <v>0</v>
      </c>
      <c r="BE18">
        <f t="shared" si="51"/>
        <v>0</v>
      </c>
      <c r="BF18" s="44">
        <f t="shared" si="52"/>
        <v>0</v>
      </c>
      <c r="BG18" s="42">
        <f t="shared" si="37"/>
        <v>0</v>
      </c>
      <c r="BH18">
        <f t="shared" si="38"/>
        <v>0</v>
      </c>
      <c r="BI18" s="44">
        <f t="shared" si="39"/>
        <v>0</v>
      </c>
      <c r="BK18" s="42">
        <f t="shared" si="17"/>
        <v>0</v>
      </c>
      <c r="BL18">
        <f t="shared" si="18"/>
        <v>0</v>
      </c>
      <c r="BM18">
        <f t="shared" si="19"/>
        <v>0</v>
      </c>
      <c r="BN18" s="44">
        <f t="shared" si="40"/>
        <v>0</v>
      </c>
      <c r="BO18" s="42">
        <v>0</v>
      </c>
      <c r="BP18">
        <f t="shared" si="41"/>
        <v>0</v>
      </c>
      <c r="BQ18" s="44">
        <f t="shared" si="53"/>
        <v>0</v>
      </c>
      <c r="BR18" s="42">
        <f t="shared" si="42"/>
        <v>0</v>
      </c>
      <c r="BS18">
        <f t="shared" si="54"/>
        <v>0</v>
      </c>
      <c r="BT18" s="44">
        <f t="shared" si="55"/>
        <v>0</v>
      </c>
      <c r="BU18" s="42">
        <f t="shared" si="20"/>
        <v>6.8946148758080954E-4</v>
      </c>
      <c r="BV18">
        <f t="shared" si="21"/>
        <v>4.3874999999999997E-2</v>
      </c>
      <c r="BW18" s="44">
        <f t="shared" si="22"/>
        <v>2.2499999999999999E-2</v>
      </c>
      <c r="BX18">
        <f t="shared" si="56"/>
        <v>5.591928198344108E-2</v>
      </c>
      <c r="BY18">
        <f t="shared" si="43"/>
        <v>1.3585660683106464</v>
      </c>
      <c r="BZ18">
        <f t="shared" si="44"/>
        <v>66.933327936740241</v>
      </c>
    </row>
    <row r="19" spans="1:78" x14ac:dyDescent="0.3">
      <c r="A19" t="s">
        <v>595</v>
      </c>
      <c r="B19">
        <f>POUT3/O11</f>
        <v>0</v>
      </c>
      <c r="Q19">
        <v>12</v>
      </c>
      <c r="R19" s="42">
        <f t="shared" si="0"/>
        <v>3</v>
      </c>
      <c r="S19">
        <f t="shared" si="1"/>
        <v>50</v>
      </c>
      <c r="T19" s="44">
        <f t="shared" si="2"/>
        <v>0.06</v>
      </c>
      <c r="U19" s="42">
        <f t="shared" si="3"/>
        <v>1</v>
      </c>
      <c r="V19">
        <f t="shared" si="4"/>
        <v>9.1651513899116799E-2</v>
      </c>
      <c r="W19">
        <f t="shared" si="5"/>
        <v>0.13503323047803209</v>
      </c>
      <c r="X19">
        <f t="shared" si="23"/>
        <v>0.77331525562285119</v>
      </c>
      <c r="Y19" s="42">
        <f t="shared" si="24"/>
        <v>0.6546536707079772</v>
      </c>
      <c r="Z19">
        <f t="shared" si="6"/>
        <v>1.3093073414159542</v>
      </c>
      <c r="AA19">
        <f t="shared" si="25"/>
        <v>1.3093073414159542</v>
      </c>
      <c r="AB19" s="44">
        <f t="shared" si="7"/>
        <v>0.22884993698194056</v>
      </c>
      <c r="AC19" s="42">
        <v>0</v>
      </c>
      <c r="AD19">
        <f t="shared" si="26"/>
        <v>1.0474458731327633E-3</v>
      </c>
      <c r="AE19" s="44">
        <f t="shared" si="27"/>
        <v>1.0474458731327633E-3</v>
      </c>
      <c r="AF19" s="42">
        <f t="shared" si="8"/>
        <v>0.06</v>
      </c>
      <c r="AG19" s="44">
        <f t="shared" si="9"/>
        <v>0.06</v>
      </c>
      <c r="AH19" s="42">
        <f t="shared" si="10"/>
        <v>1.7806579843256979E-3</v>
      </c>
      <c r="AI19">
        <f t="shared" si="11"/>
        <v>0.23589545584582408</v>
      </c>
      <c r="AJ19" s="44">
        <f t="shared" si="45"/>
        <v>0.23767611383014978</v>
      </c>
      <c r="AK19" s="42">
        <f t="shared" si="12"/>
        <v>3</v>
      </c>
      <c r="AL19">
        <f t="shared" si="13"/>
        <v>150</v>
      </c>
      <c r="AM19" s="44">
        <f t="shared" si="28"/>
        <v>0.02</v>
      </c>
      <c r="AN19" s="42">
        <f t="shared" si="29"/>
        <v>2</v>
      </c>
      <c r="AO19">
        <f t="shared" si="30"/>
        <v>0.13503323047803209</v>
      </c>
      <c r="AP19">
        <f t="shared" si="31"/>
        <v>0.1481116902054247</v>
      </c>
      <c r="AQ19">
        <f t="shared" si="32"/>
        <v>0.29622338041084945</v>
      </c>
      <c r="AR19">
        <f t="shared" si="46"/>
        <v>0.29622338041084939</v>
      </c>
      <c r="AS19" s="44">
        <f t="shared" si="47"/>
        <v>6.2846201732043111E-2</v>
      </c>
      <c r="AT19" s="42"/>
      <c r="AU19">
        <f t="shared" si="33"/>
        <v>2.0800000000000004E-7</v>
      </c>
      <c r="AV19" s="44">
        <f t="shared" si="48"/>
        <v>2.0800000000000004E-7</v>
      </c>
      <c r="AW19" s="42">
        <f t="shared" si="34"/>
        <v>0.92749999999999999</v>
      </c>
      <c r="AX19">
        <f t="shared" si="35"/>
        <v>2.7999999999999997E-2</v>
      </c>
      <c r="AY19" s="44">
        <f t="shared" si="49"/>
        <v>0.95550000000000002</v>
      </c>
      <c r="AZ19" s="42">
        <f t="shared" si="14"/>
        <v>0</v>
      </c>
      <c r="BA19">
        <f t="shared" si="15"/>
        <v>0</v>
      </c>
      <c r="BB19">
        <f t="shared" si="50"/>
        <v>0</v>
      </c>
      <c r="BC19" s="44">
        <f t="shared" si="36"/>
        <v>0</v>
      </c>
      <c r="BD19" s="42">
        <v>0</v>
      </c>
      <c r="BE19">
        <f t="shared" si="51"/>
        <v>0</v>
      </c>
      <c r="BF19" s="44">
        <f t="shared" si="52"/>
        <v>0</v>
      </c>
      <c r="BG19" s="42">
        <f t="shared" si="37"/>
        <v>0</v>
      </c>
      <c r="BH19">
        <f t="shared" si="38"/>
        <v>0</v>
      </c>
      <c r="BI19" s="44">
        <f t="shared" si="39"/>
        <v>0</v>
      </c>
      <c r="BK19" s="42">
        <f t="shared" si="17"/>
        <v>0</v>
      </c>
      <c r="BL19">
        <f t="shared" si="18"/>
        <v>0</v>
      </c>
      <c r="BM19">
        <f t="shared" si="19"/>
        <v>0</v>
      </c>
      <c r="BN19" s="44">
        <f t="shared" si="40"/>
        <v>0</v>
      </c>
      <c r="BO19" s="42">
        <v>0</v>
      </c>
      <c r="BP19">
        <f t="shared" si="41"/>
        <v>0</v>
      </c>
      <c r="BQ19" s="44">
        <f t="shared" si="53"/>
        <v>0</v>
      </c>
      <c r="BR19" s="42">
        <f t="shared" si="42"/>
        <v>0</v>
      </c>
      <c r="BS19">
        <f t="shared" si="54"/>
        <v>0</v>
      </c>
      <c r="BT19" s="44">
        <f t="shared" si="55"/>
        <v>0</v>
      </c>
      <c r="BU19" s="42">
        <f t="shared" si="20"/>
        <v>7.8558440484957246E-4</v>
      </c>
      <c r="BV19">
        <f t="shared" si="21"/>
        <v>4.3874999999999997E-2</v>
      </c>
      <c r="BW19" s="44">
        <f t="shared" si="22"/>
        <v>2.2499999999999999E-2</v>
      </c>
      <c r="BX19">
        <f t="shared" si="56"/>
        <v>6.1047445873132759E-2</v>
      </c>
      <c r="BY19">
        <f t="shared" si="43"/>
        <v>1.3813843521081319</v>
      </c>
      <c r="BZ19">
        <f t="shared" si="44"/>
        <v>68.471509434147919</v>
      </c>
    </row>
    <row r="20" spans="1:78" x14ac:dyDescent="0.3">
      <c r="Q20">
        <v>13</v>
      </c>
      <c r="R20" s="42">
        <f t="shared" si="0"/>
        <v>3.25</v>
      </c>
      <c r="S20">
        <f t="shared" si="1"/>
        <v>50</v>
      </c>
      <c r="T20" s="44">
        <f t="shared" si="2"/>
        <v>6.5000000000000002E-2</v>
      </c>
      <c r="U20" s="42">
        <f t="shared" si="3"/>
        <v>1</v>
      </c>
      <c r="V20">
        <f t="shared" si="4"/>
        <v>9.5393920141694566E-2</v>
      </c>
      <c r="W20">
        <f t="shared" si="5"/>
        <v>0.14054704234209667</v>
      </c>
      <c r="X20">
        <f t="shared" si="23"/>
        <v>0.76405903751620874</v>
      </c>
      <c r="Y20" s="42">
        <f t="shared" si="24"/>
        <v>0.68138514386924687</v>
      </c>
      <c r="Z20">
        <f t="shared" si="6"/>
        <v>1.3627702877384937</v>
      </c>
      <c r="AA20">
        <f t="shared" si="25"/>
        <v>1.3627702877384937</v>
      </c>
      <c r="AB20" s="44">
        <f t="shared" si="7"/>
        <v>0.24300901039948031</v>
      </c>
      <c r="AC20" s="42">
        <v>0</v>
      </c>
      <c r="AD20">
        <f t="shared" si="26"/>
        <v>1.1810675827066946E-3</v>
      </c>
      <c r="AE20" s="44">
        <f t="shared" si="27"/>
        <v>1.1810675827066946E-3</v>
      </c>
      <c r="AF20" s="42">
        <f t="shared" si="8"/>
        <v>6.5000000000000002E-2</v>
      </c>
      <c r="AG20" s="44">
        <f t="shared" si="9"/>
        <v>6.5000000000000002E-2</v>
      </c>
      <c r="AH20" s="42">
        <f t="shared" si="10"/>
        <v>2.007814890601381E-3</v>
      </c>
      <c r="AI20">
        <f t="shared" si="11"/>
        <v>0.24552777493140818</v>
      </c>
      <c r="AJ20" s="44">
        <f t="shared" si="45"/>
        <v>0.24753558982200957</v>
      </c>
      <c r="AK20" s="42">
        <f t="shared" si="12"/>
        <v>3.25</v>
      </c>
      <c r="AL20">
        <f t="shared" si="13"/>
        <v>150</v>
      </c>
      <c r="AM20" s="44">
        <f t="shared" si="28"/>
        <v>2.1666666666666667E-2</v>
      </c>
      <c r="AN20" s="42">
        <f t="shared" si="29"/>
        <v>2</v>
      </c>
      <c r="AO20">
        <f t="shared" si="30"/>
        <v>0.1405470423420967</v>
      </c>
      <c r="AP20">
        <f t="shared" si="31"/>
        <v>0.15415953481204678</v>
      </c>
      <c r="AQ20">
        <f t="shared" si="32"/>
        <v>0.30831906962409372</v>
      </c>
      <c r="AR20">
        <f t="shared" si="46"/>
        <v>0.30831906962409361</v>
      </c>
      <c r="AS20" s="44">
        <f t="shared" si="47"/>
        <v>6.6734531333845604E-2</v>
      </c>
      <c r="AT20" s="42"/>
      <c r="AU20">
        <f t="shared" si="33"/>
        <v>2.4411111111111118E-7</v>
      </c>
      <c r="AV20" s="44">
        <f t="shared" si="48"/>
        <v>2.4411111111111118E-7</v>
      </c>
      <c r="AW20" s="42">
        <f t="shared" si="34"/>
        <v>0.92749999999999999</v>
      </c>
      <c r="AX20">
        <f t="shared" si="35"/>
        <v>3.0333333333333334E-2</v>
      </c>
      <c r="AY20" s="44">
        <f t="shared" si="49"/>
        <v>0.95783333333333331</v>
      </c>
      <c r="AZ20" s="42">
        <f t="shared" si="14"/>
        <v>0</v>
      </c>
      <c r="BA20">
        <f t="shared" si="15"/>
        <v>0</v>
      </c>
      <c r="BB20">
        <f t="shared" si="50"/>
        <v>0</v>
      </c>
      <c r="BC20" s="44">
        <f t="shared" si="36"/>
        <v>0</v>
      </c>
      <c r="BD20" s="42">
        <v>0</v>
      </c>
      <c r="BE20">
        <f t="shared" si="51"/>
        <v>0</v>
      </c>
      <c r="BF20" s="44">
        <f t="shared" si="52"/>
        <v>0</v>
      </c>
      <c r="BG20" s="42">
        <f t="shared" si="37"/>
        <v>0</v>
      </c>
      <c r="BH20">
        <f t="shared" si="38"/>
        <v>0</v>
      </c>
      <c r="BI20" s="44">
        <f t="shared" si="39"/>
        <v>0</v>
      </c>
      <c r="BK20" s="42">
        <f t="shared" si="17"/>
        <v>0</v>
      </c>
      <c r="BL20">
        <f t="shared" si="18"/>
        <v>0</v>
      </c>
      <c r="BM20">
        <f t="shared" si="19"/>
        <v>0</v>
      </c>
      <c r="BN20" s="44">
        <f t="shared" si="40"/>
        <v>0</v>
      </c>
      <c r="BO20" s="42">
        <v>0</v>
      </c>
      <c r="BP20">
        <f t="shared" si="41"/>
        <v>0</v>
      </c>
      <c r="BQ20" s="44">
        <f t="shared" si="53"/>
        <v>0</v>
      </c>
      <c r="BR20" s="42">
        <f t="shared" si="42"/>
        <v>0</v>
      </c>
      <c r="BS20">
        <f t="shared" si="54"/>
        <v>0</v>
      </c>
      <c r="BT20" s="44">
        <f t="shared" si="55"/>
        <v>0</v>
      </c>
      <c r="BU20" s="42">
        <f t="shared" si="20"/>
        <v>8.8580068703002083E-4</v>
      </c>
      <c r="BV20">
        <f t="shared" si="21"/>
        <v>4.3874999999999997E-2</v>
      </c>
      <c r="BW20" s="44">
        <f t="shared" si="22"/>
        <v>2.2499999999999999E-2</v>
      </c>
      <c r="BX20">
        <f t="shared" si="56"/>
        <v>6.6181067582706699E-2</v>
      </c>
      <c r="BY20">
        <f t="shared" si="43"/>
        <v>1.4038110355361906</v>
      </c>
      <c r="BZ20">
        <f t="shared" si="44"/>
        <v>69.835237726311135</v>
      </c>
    </row>
    <row r="21" spans="1:78" x14ac:dyDescent="0.3">
      <c r="Q21">
        <v>14</v>
      </c>
      <c r="R21" s="42">
        <f t="shared" si="0"/>
        <v>3.5</v>
      </c>
      <c r="S21">
        <f t="shared" si="1"/>
        <v>50</v>
      </c>
      <c r="T21" s="44">
        <f t="shared" si="2"/>
        <v>7.0000000000000007E-2</v>
      </c>
      <c r="U21" s="42">
        <f t="shared" si="3"/>
        <v>1</v>
      </c>
      <c r="V21">
        <f t="shared" si="4"/>
        <v>9.899494936611665E-2</v>
      </c>
      <c r="W21">
        <f t="shared" si="5"/>
        <v>0.14585255873274519</v>
      </c>
      <c r="X21">
        <f t="shared" si="23"/>
        <v>0.7551524919011382</v>
      </c>
      <c r="Y21" s="42">
        <f t="shared" si="24"/>
        <v>0.70710678118654757</v>
      </c>
      <c r="Z21">
        <f t="shared" si="6"/>
        <v>1.4142135623730951</v>
      </c>
      <c r="AA21">
        <f t="shared" si="25"/>
        <v>1.4142135623730951</v>
      </c>
      <c r="AB21" s="44">
        <f t="shared" si="7"/>
        <v>0.25689809830114441</v>
      </c>
      <c r="AC21" s="42">
        <v>0</v>
      </c>
      <c r="AD21">
        <f t="shared" si="26"/>
        <v>1.3199326582148891E-3</v>
      </c>
      <c r="AE21" s="44">
        <f t="shared" si="27"/>
        <v>1.3199326582148891E-3</v>
      </c>
      <c r="AF21" s="42">
        <f t="shared" si="8"/>
        <v>7.0000000000000007E-2</v>
      </c>
      <c r="AG21" s="44">
        <f t="shared" si="9"/>
        <v>7.0000000000000007E-2</v>
      </c>
      <c r="AH21" s="42">
        <f t="shared" si="10"/>
        <v>2.2438855189653114E-3</v>
      </c>
      <c r="AI21">
        <f t="shared" si="11"/>
        <v>0.25479621354491777</v>
      </c>
      <c r="AJ21" s="44">
        <f t="shared" si="45"/>
        <v>0.25704009906388309</v>
      </c>
      <c r="AK21" s="42">
        <f t="shared" si="12"/>
        <v>3.5</v>
      </c>
      <c r="AL21">
        <f t="shared" si="13"/>
        <v>150</v>
      </c>
      <c r="AM21" s="44">
        <f t="shared" si="28"/>
        <v>2.3333333333333334E-2</v>
      </c>
      <c r="AN21" s="42">
        <f t="shared" si="29"/>
        <v>2</v>
      </c>
      <c r="AO21">
        <f t="shared" si="30"/>
        <v>0.14585255873274522</v>
      </c>
      <c r="AP21">
        <f t="shared" si="31"/>
        <v>0.15997890977071211</v>
      </c>
      <c r="AQ21">
        <f t="shared" si="32"/>
        <v>0.31995781954142427</v>
      </c>
      <c r="AR21">
        <f t="shared" si="46"/>
        <v>0.31995781954142422</v>
      </c>
      <c r="AS21" s="44">
        <f t="shared" si="47"/>
        <v>7.0548718183330902E-2</v>
      </c>
      <c r="AT21" s="42"/>
      <c r="AU21">
        <f t="shared" si="33"/>
        <v>2.8311111111111119E-7</v>
      </c>
      <c r="AV21" s="44">
        <f t="shared" si="48"/>
        <v>2.8311111111111119E-7</v>
      </c>
      <c r="AW21" s="42">
        <f t="shared" si="34"/>
        <v>0.92749999999999999</v>
      </c>
      <c r="AX21">
        <f t="shared" si="35"/>
        <v>3.2666666666666663E-2</v>
      </c>
      <c r="AY21" s="44">
        <f t="shared" si="49"/>
        <v>0.96016666666666661</v>
      </c>
      <c r="AZ21" s="42">
        <f t="shared" si="14"/>
        <v>0</v>
      </c>
      <c r="BA21">
        <f t="shared" si="15"/>
        <v>0</v>
      </c>
      <c r="BB21">
        <f t="shared" si="50"/>
        <v>0</v>
      </c>
      <c r="BC21" s="44">
        <f t="shared" si="36"/>
        <v>0</v>
      </c>
      <c r="BD21" s="42">
        <v>0</v>
      </c>
      <c r="BE21">
        <f t="shared" si="51"/>
        <v>0</v>
      </c>
      <c r="BF21" s="44">
        <f t="shared" si="52"/>
        <v>0</v>
      </c>
      <c r="BG21" s="42">
        <f t="shared" si="37"/>
        <v>0</v>
      </c>
      <c r="BH21">
        <f t="shared" si="38"/>
        <v>0</v>
      </c>
      <c r="BI21" s="44">
        <f t="shared" si="39"/>
        <v>0</v>
      </c>
      <c r="BK21" s="42">
        <f t="shared" si="17"/>
        <v>0</v>
      </c>
      <c r="BL21">
        <f t="shared" si="18"/>
        <v>0</v>
      </c>
      <c r="BM21">
        <f t="shared" si="19"/>
        <v>0</v>
      </c>
      <c r="BN21" s="44">
        <f t="shared" si="40"/>
        <v>0</v>
      </c>
      <c r="BO21" s="42">
        <v>0</v>
      </c>
      <c r="BP21">
        <f t="shared" si="41"/>
        <v>0</v>
      </c>
      <c r="BQ21" s="44">
        <f t="shared" si="53"/>
        <v>0</v>
      </c>
      <c r="BR21" s="42">
        <f t="shared" si="42"/>
        <v>0</v>
      </c>
      <c r="BS21">
        <f t="shared" si="54"/>
        <v>0</v>
      </c>
      <c r="BT21" s="44">
        <f t="shared" si="55"/>
        <v>0</v>
      </c>
      <c r="BU21" s="42">
        <f t="shared" si="20"/>
        <v>9.899494936611668E-4</v>
      </c>
      <c r="BV21">
        <f t="shared" si="21"/>
        <v>4.3874999999999997E-2</v>
      </c>
      <c r="BW21" s="44">
        <f t="shared" si="22"/>
        <v>2.2499999999999999E-2</v>
      </c>
      <c r="BX21">
        <f t="shared" si="56"/>
        <v>7.1319932658214902E-2</v>
      </c>
      <c r="BY21">
        <f t="shared" si="43"/>
        <v>1.4258919309935372</v>
      </c>
      <c r="BZ21">
        <f t="shared" si="44"/>
        <v>71.053121932662066</v>
      </c>
    </row>
    <row r="22" spans="1:78" x14ac:dyDescent="0.3">
      <c r="Q22">
        <v>15</v>
      </c>
      <c r="R22" s="42">
        <f t="shared" si="0"/>
        <v>3.75</v>
      </c>
      <c r="S22">
        <f t="shared" si="1"/>
        <v>50</v>
      </c>
      <c r="T22" s="44">
        <f t="shared" si="2"/>
        <v>7.4999999999999997E-2</v>
      </c>
      <c r="U22" s="42">
        <f t="shared" si="3"/>
        <v>1</v>
      </c>
      <c r="V22">
        <f t="shared" si="4"/>
        <v>0.10246950765959599</v>
      </c>
      <c r="W22">
        <f t="shared" si="5"/>
        <v>0.1509717412851381</v>
      </c>
      <c r="X22">
        <f t="shared" si="23"/>
        <v>0.74655875105526592</v>
      </c>
      <c r="Y22" s="42">
        <f t="shared" si="24"/>
        <v>0.73192505471139979</v>
      </c>
      <c r="Z22">
        <f t="shared" si="6"/>
        <v>1.4638501094228</v>
      </c>
      <c r="AA22">
        <f t="shared" si="25"/>
        <v>1.4638501094227998</v>
      </c>
      <c r="AB22" s="44">
        <f t="shared" si="7"/>
        <v>0.27054113452696987</v>
      </c>
      <c r="AC22" s="42">
        <v>0</v>
      </c>
      <c r="AD22">
        <f t="shared" si="26"/>
        <v>1.4638501094228001E-3</v>
      </c>
      <c r="AE22" s="44">
        <f t="shared" si="27"/>
        <v>1.4638501094228001E-3</v>
      </c>
      <c r="AF22" s="42">
        <f t="shared" si="8"/>
        <v>7.4999999999999997E-2</v>
      </c>
      <c r="AG22" s="44">
        <f t="shared" si="9"/>
        <v>7.4999999999999997E-2</v>
      </c>
      <c r="AH22" s="42">
        <f t="shared" si="10"/>
        <v>2.4885451860187603E-3</v>
      </c>
      <c r="AI22">
        <f t="shared" si="11"/>
        <v>0.26373913742728139</v>
      </c>
      <c r="AJ22" s="44">
        <f t="shared" si="45"/>
        <v>0.26622768261330015</v>
      </c>
      <c r="AK22" s="42">
        <f t="shared" si="12"/>
        <v>3.75</v>
      </c>
      <c r="AL22">
        <f t="shared" si="13"/>
        <v>150</v>
      </c>
      <c r="AM22" s="44">
        <f t="shared" si="28"/>
        <v>2.5000000000000001E-2</v>
      </c>
      <c r="AN22" s="42">
        <f t="shared" si="29"/>
        <v>2</v>
      </c>
      <c r="AO22">
        <f t="shared" si="30"/>
        <v>0.15097174128513813</v>
      </c>
      <c r="AP22">
        <f t="shared" si="31"/>
        <v>0.16559390378085967</v>
      </c>
      <c r="AQ22">
        <f t="shared" si="32"/>
        <v>0.33118780756171956</v>
      </c>
      <c r="AR22">
        <f t="shared" si="46"/>
        <v>0.33118780756171945</v>
      </c>
      <c r="AS22" s="44">
        <f t="shared" si="47"/>
        <v>7.4295334932250795E-2</v>
      </c>
      <c r="AT22" s="42"/>
      <c r="AU22">
        <f t="shared" si="33"/>
        <v>3.2500000000000012E-7</v>
      </c>
      <c r="AV22" s="44">
        <f t="shared" si="48"/>
        <v>3.2500000000000012E-7</v>
      </c>
      <c r="AW22" s="42">
        <f t="shared" si="34"/>
        <v>0.92749999999999999</v>
      </c>
      <c r="AX22">
        <f t="shared" si="35"/>
        <v>3.4999999999999996E-2</v>
      </c>
      <c r="AY22" s="44">
        <f t="shared" si="49"/>
        <v>0.96250000000000002</v>
      </c>
      <c r="AZ22" s="42">
        <f t="shared" si="14"/>
        <v>0</v>
      </c>
      <c r="BA22">
        <f t="shared" si="15"/>
        <v>0</v>
      </c>
      <c r="BB22">
        <f t="shared" si="50"/>
        <v>0</v>
      </c>
      <c r="BC22" s="44">
        <f t="shared" si="36"/>
        <v>0</v>
      </c>
      <c r="BD22" s="42">
        <v>0</v>
      </c>
      <c r="BE22">
        <f t="shared" si="51"/>
        <v>0</v>
      </c>
      <c r="BF22" s="44">
        <f t="shared" si="52"/>
        <v>0</v>
      </c>
      <c r="BG22" s="42">
        <f t="shared" si="37"/>
        <v>0</v>
      </c>
      <c r="BH22">
        <f t="shared" si="38"/>
        <v>0</v>
      </c>
      <c r="BI22" s="44">
        <f t="shared" si="39"/>
        <v>0</v>
      </c>
      <c r="BK22" s="42">
        <f t="shared" si="17"/>
        <v>0</v>
      </c>
      <c r="BL22">
        <f t="shared" si="18"/>
        <v>0</v>
      </c>
      <c r="BM22">
        <f t="shared" si="19"/>
        <v>0</v>
      </c>
      <c r="BN22" s="44">
        <f t="shared" si="40"/>
        <v>0</v>
      </c>
      <c r="BO22" s="42">
        <v>0</v>
      </c>
      <c r="BP22">
        <f t="shared" si="41"/>
        <v>0</v>
      </c>
      <c r="BQ22" s="44">
        <f t="shared" si="53"/>
        <v>0</v>
      </c>
      <c r="BR22" s="42">
        <f t="shared" si="42"/>
        <v>0</v>
      </c>
      <c r="BS22">
        <f t="shared" si="54"/>
        <v>0</v>
      </c>
      <c r="BT22" s="44">
        <f t="shared" si="55"/>
        <v>0</v>
      </c>
      <c r="BU22" s="42">
        <f t="shared" si="20"/>
        <v>1.0978875820671001E-3</v>
      </c>
      <c r="BV22">
        <f t="shared" si="21"/>
        <v>4.3874999999999997E-2</v>
      </c>
      <c r="BW22" s="44">
        <f t="shared" si="22"/>
        <v>2.2499999999999999E-2</v>
      </c>
      <c r="BX22">
        <f t="shared" si="56"/>
        <v>7.6463850109422804E-2</v>
      </c>
      <c r="BY22">
        <f t="shared" si="43"/>
        <v>1.4476647453047899</v>
      </c>
      <c r="BZ22">
        <f t="shared" si="44"/>
        <v>72.147785279677564</v>
      </c>
    </row>
    <row r="23" spans="1:78" x14ac:dyDescent="0.3">
      <c r="Q23">
        <v>16</v>
      </c>
      <c r="R23" s="42">
        <f t="shared" si="0"/>
        <v>4</v>
      </c>
      <c r="S23">
        <f t="shared" si="1"/>
        <v>50</v>
      </c>
      <c r="T23" s="44">
        <f t="shared" si="2"/>
        <v>0.08</v>
      </c>
      <c r="U23" s="42">
        <f t="shared" si="3"/>
        <v>1</v>
      </c>
      <c r="V23">
        <f t="shared" si="4"/>
        <v>0.10583005244258362</v>
      </c>
      <c r="W23">
        <f t="shared" si="5"/>
        <v>0.1559229439320732</v>
      </c>
      <c r="X23">
        <f t="shared" si="23"/>
        <v>0.73824700362534323</v>
      </c>
      <c r="Y23" s="42">
        <f t="shared" si="24"/>
        <v>0.75592894601845451</v>
      </c>
      <c r="Z23">
        <f t="shared" si="6"/>
        <v>1.5118578920369088</v>
      </c>
      <c r="AA23">
        <f t="shared" si="25"/>
        <v>1.5118578920369088</v>
      </c>
      <c r="AB23" s="44">
        <f t="shared" si="7"/>
        <v>0.28395848448080424</v>
      </c>
      <c r="AC23" s="42">
        <v>0</v>
      </c>
      <c r="AD23">
        <f t="shared" si="26"/>
        <v>1.612648418172703E-3</v>
      </c>
      <c r="AE23" s="44">
        <f t="shared" si="27"/>
        <v>1.612648418172703E-3</v>
      </c>
      <c r="AF23" s="42">
        <f t="shared" si="8"/>
        <v>0.08</v>
      </c>
      <c r="AG23" s="44">
        <f t="shared" si="9"/>
        <v>0.08</v>
      </c>
      <c r="AH23" s="42">
        <f t="shared" si="10"/>
        <v>2.7415023108935954E-3</v>
      </c>
      <c r="AI23">
        <f t="shared" si="11"/>
        <v>0.27238860986639207</v>
      </c>
      <c r="AJ23" s="44">
        <f t="shared" si="45"/>
        <v>0.27513011217728567</v>
      </c>
      <c r="AK23" s="42">
        <f t="shared" si="12"/>
        <v>4</v>
      </c>
      <c r="AL23">
        <f t="shared" si="13"/>
        <v>150</v>
      </c>
      <c r="AM23" s="44">
        <f t="shared" si="28"/>
        <v>2.6666666666666668E-2</v>
      </c>
      <c r="AN23" s="42">
        <f t="shared" si="29"/>
        <v>2</v>
      </c>
      <c r="AO23">
        <f t="shared" si="30"/>
        <v>0.1559229439320732</v>
      </c>
      <c r="AP23">
        <f t="shared" si="31"/>
        <v>0.17102464842046483</v>
      </c>
      <c r="AQ23">
        <f t="shared" si="32"/>
        <v>0.34204929684092966</v>
      </c>
      <c r="AR23">
        <f t="shared" si="46"/>
        <v>0.34204929684092966</v>
      </c>
      <c r="AS23" s="44">
        <f t="shared" si="47"/>
        <v>7.7979974277266814E-2</v>
      </c>
      <c r="AT23" s="42"/>
      <c r="AU23">
        <f t="shared" si="33"/>
        <v>3.6977777777777789E-7</v>
      </c>
      <c r="AV23" s="44">
        <f t="shared" si="48"/>
        <v>3.6977777777777789E-7</v>
      </c>
      <c r="AW23" s="42">
        <f t="shared" si="34"/>
        <v>0.92749999999999999</v>
      </c>
      <c r="AX23">
        <f t="shared" si="35"/>
        <v>3.7333333333333336E-2</v>
      </c>
      <c r="AY23" s="44">
        <f t="shared" si="49"/>
        <v>0.96483333333333332</v>
      </c>
      <c r="AZ23" s="42">
        <f t="shared" si="14"/>
        <v>0</v>
      </c>
      <c r="BA23">
        <f t="shared" si="15"/>
        <v>0</v>
      </c>
      <c r="BB23">
        <f t="shared" si="50"/>
        <v>0</v>
      </c>
      <c r="BC23" s="44">
        <f t="shared" si="36"/>
        <v>0</v>
      </c>
      <c r="BD23" s="42">
        <v>0</v>
      </c>
      <c r="BE23">
        <f t="shared" si="51"/>
        <v>0</v>
      </c>
      <c r="BF23" s="44">
        <f t="shared" si="52"/>
        <v>0</v>
      </c>
      <c r="BG23" s="42">
        <f t="shared" si="37"/>
        <v>0</v>
      </c>
      <c r="BH23">
        <f t="shared" si="38"/>
        <v>0</v>
      </c>
      <c r="BI23" s="44">
        <f t="shared" si="39"/>
        <v>0</v>
      </c>
      <c r="BK23" s="42">
        <f t="shared" si="17"/>
        <v>0</v>
      </c>
      <c r="BL23">
        <f t="shared" si="18"/>
        <v>0</v>
      </c>
      <c r="BM23">
        <f t="shared" si="19"/>
        <v>0</v>
      </c>
      <c r="BN23" s="44">
        <f t="shared" si="40"/>
        <v>0</v>
      </c>
      <c r="BO23" s="42">
        <v>0</v>
      </c>
      <c r="BP23">
        <f t="shared" si="41"/>
        <v>0</v>
      </c>
      <c r="BQ23" s="44">
        <f t="shared" si="53"/>
        <v>0</v>
      </c>
      <c r="BR23" s="42">
        <f t="shared" si="42"/>
        <v>0</v>
      </c>
      <c r="BS23">
        <f t="shared" si="54"/>
        <v>0</v>
      </c>
      <c r="BT23" s="44">
        <f t="shared" si="55"/>
        <v>0</v>
      </c>
      <c r="BU23" s="42">
        <f t="shared" si="20"/>
        <v>1.2094863136295271E-3</v>
      </c>
      <c r="BV23">
        <f t="shared" si="21"/>
        <v>4.3874999999999997E-2</v>
      </c>
      <c r="BW23" s="44">
        <f t="shared" si="22"/>
        <v>2.2499999999999999E-2</v>
      </c>
      <c r="BX23">
        <f t="shared" si="56"/>
        <v>8.1612648418172701E-2</v>
      </c>
      <c r="BY23">
        <f t="shared" si="43"/>
        <v>1.469160950020199</v>
      </c>
      <c r="BZ23">
        <f t="shared" si="44"/>
        <v>73.137361225129553</v>
      </c>
    </row>
    <row r="24" spans="1:78" x14ac:dyDescent="0.3">
      <c r="Q24">
        <v>17</v>
      </c>
      <c r="R24" s="42">
        <f t="shared" si="0"/>
        <v>4.25</v>
      </c>
      <c r="S24">
        <f t="shared" si="1"/>
        <v>50</v>
      </c>
      <c r="T24" s="44">
        <f t="shared" si="2"/>
        <v>8.5000000000000006E-2</v>
      </c>
      <c r="U24" s="42">
        <f t="shared" si="3"/>
        <v>1</v>
      </c>
      <c r="V24">
        <f t="shared" si="4"/>
        <v>0.10908712114635714</v>
      </c>
      <c r="W24">
        <f t="shared" si="5"/>
        <v>0.16072169182229951</v>
      </c>
      <c r="X24">
        <f t="shared" si="23"/>
        <v>0.73019118703134334</v>
      </c>
      <c r="Y24" s="42">
        <f t="shared" si="24"/>
        <v>0.77919372247397967</v>
      </c>
      <c r="Z24">
        <f t="shared" si="6"/>
        <v>1.5583874449479591</v>
      </c>
      <c r="AA24">
        <f t="shared" si="25"/>
        <v>1.5583874449479591</v>
      </c>
      <c r="AB24" s="44">
        <f t="shared" si="7"/>
        <v>0.29716766627677438</v>
      </c>
      <c r="AC24" s="42">
        <v>0</v>
      </c>
      <c r="AD24">
        <f t="shared" si="26"/>
        <v>1.7661724376076872E-3</v>
      </c>
      <c r="AE24" s="44">
        <f t="shared" si="27"/>
        <v>1.7661724376076872E-3</v>
      </c>
      <c r="AF24" s="42">
        <f t="shared" si="8"/>
        <v>8.5000000000000006E-2</v>
      </c>
      <c r="AG24" s="44">
        <f t="shared" si="9"/>
        <v>8.5000000000000006E-2</v>
      </c>
      <c r="AH24" s="42">
        <f t="shared" si="10"/>
        <v>3.0024931439330683E-3</v>
      </c>
      <c r="AI24">
        <f t="shared" si="11"/>
        <v>0.28077175242357383</v>
      </c>
      <c r="AJ24" s="44">
        <f t="shared" si="45"/>
        <v>0.28377424556750691</v>
      </c>
      <c r="AK24" s="42">
        <f t="shared" si="12"/>
        <v>4.25</v>
      </c>
      <c r="AL24">
        <f t="shared" si="13"/>
        <v>150</v>
      </c>
      <c r="AM24" s="44">
        <f t="shared" si="28"/>
        <v>2.8333333333333332E-2</v>
      </c>
      <c r="AN24" s="42">
        <f t="shared" si="29"/>
        <v>2</v>
      </c>
      <c r="AO24">
        <f t="shared" si="30"/>
        <v>0.16072169182229948</v>
      </c>
      <c r="AP24">
        <f t="shared" si="31"/>
        <v>0.17628817250542528</v>
      </c>
      <c r="AQ24">
        <f t="shared" si="32"/>
        <v>0.35257634501085039</v>
      </c>
      <c r="AR24">
        <f t="shared" si="46"/>
        <v>0.35257634501085044</v>
      </c>
      <c r="AS24" s="44">
        <f t="shared" si="47"/>
        <v>8.1607446999403838E-2</v>
      </c>
      <c r="AT24" s="42"/>
      <c r="AU24">
        <f t="shared" si="33"/>
        <v>4.1744444444444447E-7</v>
      </c>
      <c r="AV24" s="44">
        <f t="shared" si="48"/>
        <v>4.1744444444444447E-7</v>
      </c>
      <c r="AW24" s="42">
        <f t="shared" si="34"/>
        <v>0.92749999999999999</v>
      </c>
      <c r="AX24">
        <f t="shared" si="35"/>
        <v>3.9666666666666663E-2</v>
      </c>
      <c r="AY24" s="44">
        <f t="shared" si="49"/>
        <v>0.96716666666666662</v>
      </c>
      <c r="AZ24" s="42">
        <f t="shared" si="14"/>
        <v>0</v>
      </c>
      <c r="BA24">
        <f t="shared" si="15"/>
        <v>0</v>
      </c>
      <c r="BB24">
        <f t="shared" si="50"/>
        <v>0</v>
      </c>
      <c r="BC24" s="44">
        <f t="shared" si="36"/>
        <v>0</v>
      </c>
      <c r="BD24" s="42">
        <v>0</v>
      </c>
      <c r="BE24">
        <f t="shared" si="51"/>
        <v>0</v>
      </c>
      <c r="BF24" s="44">
        <f t="shared" si="52"/>
        <v>0</v>
      </c>
      <c r="BG24" s="42">
        <f t="shared" si="37"/>
        <v>0</v>
      </c>
      <c r="BH24">
        <f t="shared" si="38"/>
        <v>0</v>
      </c>
      <c r="BI24" s="44">
        <f t="shared" si="39"/>
        <v>0</v>
      </c>
      <c r="BK24" s="42">
        <f t="shared" si="17"/>
        <v>0</v>
      </c>
      <c r="BL24">
        <f t="shared" si="18"/>
        <v>0</v>
      </c>
      <c r="BM24">
        <f t="shared" si="19"/>
        <v>0</v>
      </c>
      <c r="BN24" s="44">
        <f t="shared" si="40"/>
        <v>0</v>
      </c>
      <c r="BO24" s="42">
        <v>0</v>
      </c>
      <c r="BP24">
        <f t="shared" si="41"/>
        <v>0</v>
      </c>
      <c r="BQ24" s="44">
        <f t="shared" si="53"/>
        <v>0</v>
      </c>
      <c r="BR24" s="42">
        <f t="shared" si="42"/>
        <v>0</v>
      </c>
      <c r="BS24">
        <f t="shared" si="54"/>
        <v>0</v>
      </c>
      <c r="BT24" s="44">
        <f t="shared" si="55"/>
        <v>0</v>
      </c>
      <c r="BU24" s="42">
        <f t="shared" si="20"/>
        <v>1.3246293282057652E-3</v>
      </c>
      <c r="BV24">
        <f t="shared" si="21"/>
        <v>4.3874999999999997E-2</v>
      </c>
      <c r="BW24" s="44">
        <f t="shared" si="22"/>
        <v>2.2499999999999999E-2</v>
      </c>
      <c r="BX24">
        <f t="shared" si="56"/>
        <v>8.6766172437607689E-2</v>
      </c>
      <c r="BY24">
        <f t="shared" si="43"/>
        <v>1.4904071314444314</v>
      </c>
      <c r="BZ24">
        <f t="shared" si="44"/>
        <v>74.036560520587898</v>
      </c>
    </row>
    <row r="25" spans="1:78" s="174" customFormat="1" x14ac:dyDescent="0.3">
      <c r="Q25" s="174">
        <v>18</v>
      </c>
      <c r="R25" s="42">
        <f t="shared" si="0"/>
        <v>4.5</v>
      </c>
      <c r="S25">
        <f t="shared" si="1"/>
        <v>50</v>
      </c>
      <c r="T25" s="44">
        <f t="shared" si="2"/>
        <v>0.09</v>
      </c>
      <c r="U25" s="42">
        <f t="shared" si="3"/>
        <v>1</v>
      </c>
      <c r="V25">
        <f t="shared" si="4"/>
        <v>0.11224972160321824</v>
      </c>
      <c r="W25">
        <f t="shared" si="5"/>
        <v>0.16538125649540819</v>
      </c>
      <c r="X25">
        <f t="shared" si="23"/>
        <v>0.72236902190137364</v>
      </c>
      <c r="Y25" s="42">
        <f t="shared" si="24"/>
        <v>0.80178372573727319</v>
      </c>
      <c r="Z25">
        <f t="shared" si="6"/>
        <v>1.6035674514745464</v>
      </c>
      <c r="AA25">
        <f t="shared" si="25"/>
        <v>1.6035674514745464</v>
      </c>
      <c r="AB25" s="44">
        <f t="shared" si="7"/>
        <v>0.31018389237430233</v>
      </c>
      <c r="AC25" s="42">
        <v>0</v>
      </c>
      <c r="AD25">
        <f t="shared" si="26"/>
        <v>1.9242809417694554E-3</v>
      </c>
      <c r="AE25" s="44">
        <f t="shared" si="27"/>
        <v>1.9242809417694554E-3</v>
      </c>
      <c r="AF25" s="42">
        <f t="shared" si="8"/>
        <v>0.09</v>
      </c>
      <c r="AG25" s="44">
        <f t="shared" si="9"/>
        <v>0.09</v>
      </c>
      <c r="AH25" s="42">
        <f t="shared" si="10"/>
        <v>3.2712776010080744E-3</v>
      </c>
      <c r="AI25">
        <f t="shared" si="11"/>
        <v>0.2889117497317541</v>
      </c>
      <c r="AJ25" s="177">
        <f t="shared" si="45"/>
        <v>0.29218302733276219</v>
      </c>
      <c r="AK25" s="42">
        <f t="shared" si="12"/>
        <v>4.5</v>
      </c>
      <c r="AL25">
        <f t="shared" si="13"/>
        <v>150</v>
      </c>
      <c r="AM25" s="44">
        <f t="shared" si="28"/>
        <v>0.03</v>
      </c>
      <c r="AN25" s="42">
        <f t="shared" si="29"/>
        <v>2</v>
      </c>
      <c r="AO25">
        <f t="shared" si="30"/>
        <v>0.16538125649540819</v>
      </c>
      <c r="AP25">
        <f t="shared" si="31"/>
        <v>0.18139903297223375</v>
      </c>
      <c r="AQ25">
        <f t="shared" si="32"/>
        <v>0.36279806594446745</v>
      </c>
      <c r="AR25">
        <f t="shared" si="46"/>
        <v>0.36279806594446751</v>
      </c>
      <c r="AS25" s="44">
        <f t="shared" si="47"/>
        <v>8.5181930706513961E-2</v>
      </c>
      <c r="AT25" s="42"/>
      <c r="AU25">
        <f t="shared" si="33"/>
        <v>4.6800000000000006E-7</v>
      </c>
      <c r="AV25" s="44">
        <f t="shared" si="48"/>
        <v>4.6800000000000006E-7</v>
      </c>
      <c r="AW25" s="42">
        <f t="shared" si="34"/>
        <v>0.92749999999999999</v>
      </c>
      <c r="AX25">
        <f t="shared" si="35"/>
        <v>4.1999999999999996E-2</v>
      </c>
      <c r="AY25" s="44">
        <f t="shared" si="49"/>
        <v>0.96950000000000003</v>
      </c>
      <c r="AZ25" s="42">
        <f t="shared" si="14"/>
        <v>0</v>
      </c>
      <c r="BA25">
        <f t="shared" si="15"/>
        <v>0</v>
      </c>
      <c r="BB25">
        <f t="shared" si="50"/>
        <v>0</v>
      </c>
      <c r="BC25" s="44">
        <f t="shared" si="36"/>
        <v>0</v>
      </c>
      <c r="BD25" s="42">
        <v>0</v>
      </c>
      <c r="BE25">
        <f t="shared" si="51"/>
        <v>0</v>
      </c>
      <c r="BF25" s="44">
        <f t="shared" si="52"/>
        <v>0</v>
      </c>
      <c r="BG25" s="42">
        <f t="shared" si="37"/>
        <v>0</v>
      </c>
      <c r="BH25">
        <f t="shared" si="38"/>
        <v>0</v>
      </c>
      <c r="BI25" s="44">
        <f t="shared" si="39"/>
        <v>0</v>
      </c>
      <c r="BJ25"/>
      <c r="BK25" s="42">
        <f t="shared" si="17"/>
        <v>0</v>
      </c>
      <c r="BL25">
        <f t="shared" si="18"/>
        <v>0</v>
      </c>
      <c r="BM25">
        <f t="shared" si="19"/>
        <v>0</v>
      </c>
      <c r="BN25" s="44">
        <f t="shared" si="40"/>
        <v>0</v>
      </c>
      <c r="BO25" s="42">
        <v>0</v>
      </c>
      <c r="BP25">
        <f t="shared" si="41"/>
        <v>0</v>
      </c>
      <c r="BQ25" s="44">
        <f t="shared" si="53"/>
        <v>0</v>
      </c>
      <c r="BR25" s="42">
        <f t="shared" si="42"/>
        <v>0</v>
      </c>
      <c r="BS25">
        <f t="shared" si="54"/>
        <v>0</v>
      </c>
      <c r="BT25" s="44">
        <f t="shared" si="55"/>
        <v>0</v>
      </c>
      <c r="BU25" s="42">
        <f t="shared" si="20"/>
        <v>1.4432107063270915E-3</v>
      </c>
      <c r="BV25">
        <f t="shared" si="21"/>
        <v>4.3874999999999997E-2</v>
      </c>
      <c r="BW25" s="44">
        <f t="shared" si="22"/>
        <v>2.2499999999999999E-2</v>
      </c>
      <c r="BX25">
        <f t="shared" si="56"/>
        <v>9.1924280941769451E-2</v>
      </c>
      <c r="BY25">
        <f t="shared" si="43"/>
        <v>1.5114259869808588</v>
      </c>
      <c r="BZ25">
        <f t="shared" si="44"/>
        <v>74.857446631561245</v>
      </c>
    </row>
    <row r="26" spans="1:78" x14ac:dyDescent="0.3">
      <c r="Q26">
        <v>19</v>
      </c>
      <c r="R26" s="42">
        <f t="shared" si="0"/>
        <v>4.75</v>
      </c>
      <c r="S26">
        <f t="shared" si="1"/>
        <v>50</v>
      </c>
      <c r="T26" s="44">
        <f t="shared" si="2"/>
        <v>9.5000000000000001E-2</v>
      </c>
      <c r="U26" s="42">
        <f t="shared" si="3"/>
        <v>1</v>
      </c>
      <c r="V26">
        <f t="shared" si="4"/>
        <v>0.11532562594670795</v>
      </c>
      <c r="W26">
        <f t="shared" si="5"/>
        <v>0.16991308889481638</v>
      </c>
      <c r="X26">
        <f t="shared" si="23"/>
        <v>0.7147612851584757</v>
      </c>
      <c r="Y26" s="42">
        <f t="shared" si="24"/>
        <v>0.82375447104791411</v>
      </c>
      <c r="Z26">
        <f t="shared" si="6"/>
        <v>1.6475089420958278</v>
      </c>
      <c r="AA26">
        <f t="shared" si="25"/>
        <v>1.647508942095828</v>
      </c>
      <c r="AB26" s="44">
        <f t="shared" si="7"/>
        <v>0.32302048386968035</v>
      </c>
      <c r="AC26" s="42">
        <v>0</v>
      </c>
      <c r="AD26">
        <f t="shared" si="26"/>
        <v>2.0868446599880486E-3</v>
      </c>
      <c r="AE26" s="44">
        <f t="shared" si="27"/>
        <v>2.0868446599880486E-3</v>
      </c>
      <c r="AF26" s="42">
        <f t="shared" si="8"/>
        <v>9.5000000000000001E-2</v>
      </c>
      <c r="AG26" s="44">
        <f t="shared" si="9"/>
        <v>9.5000000000000001E-2</v>
      </c>
      <c r="AH26" s="42">
        <f t="shared" si="10"/>
        <v>3.5476359219796826E-3</v>
      </c>
      <c r="AI26">
        <f t="shared" si="11"/>
        <v>0.29682860594478228</v>
      </c>
      <c r="AJ26" s="44">
        <f t="shared" si="45"/>
        <v>0.30037624186676198</v>
      </c>
      <c r="AK26" s="42">
        <f t="shared" si="12"/>
        <v>4.75</v>
      </c>
      <c r="AL26">
        <f t="shared" si="13"/>
        <v>150</v>
      </c>
      <c r="AM26" s="44">
        <f t="shared" si="28"/>
        <v>3.1666666666666669E-2</v>
      </c>
      <c r="AN26" s="42">
        <f t="shared" si="29"/>
        <v>2</v>
      </c>
      <c r="AO26">
        <f t="shared" si="30"/>
        <v>0.16991308889481638</v>
      </c>
      <c r="AP26">
        <f t="shared" si="31"/>
        <v>0.18636978982984481</v>
      </c>
      <c r="AQ26">
        <f t="shared" si="32"/>
        <v>0.37273957965968957</v>
      </c>
      <c r="AR26">
        <f t="shared" si="46"/>
        <v>0.37273957965968962</v>
      </c>
      <c r="AS26" s="44">
        <f t="shared" si="47"/>
        <v>8.870708360500057E-2</v>
      </c>
      <c r="AT26" s="42"/>
      <c r="AU26">
        <f t="shared" si="33"/>
        <v>5.2144444444444461E-7</v>
      </c>
      <c r="AV26" s="44">
        <f t="shared" si="48"/>
        <v>5.2144444444444461E-7</v>
      </c>
      <c r="AW26" s="42">
        <f t="shared" si="34"/>
        <v>0.92749999999999999</v>
      </c>
      <c r="AX26">
        <f t="shared" si="35"/>
        <v>4.4333333333333336E-2</v>
      </c>
      <c r="AY26" s="44">
        <f t="shared" si="49"/>
        <v>0.97183333333333333</v>
      </c>
      <c r="AZ26" s="42">
        <f t="shared" si="14"/>
        <v>0</v>
      </c>
      <c r="BA26">
        <f t="shared" si="15"/>
        <v>0</v>
      </c>
      <c r="BB26">
        <f t="shared" si="50"/>
        <v>0</v>
      </c>
      <c r="BC26" s="44">
        <f t="shared" si="36"/>
        <v>0</v>
      </c>
      <c r="BD26" s="42">
        <v>0</v>
      </c>
      <c r="BE26">
        <f t="shared" si="51"/>
        <v>0</v>
      </c>
      <c r="BF26" s="44">
        <f t="shared" si="52"/>
        <v>0</v>
      </c>
      <c r="BG26" s="42">
        <f t="shared" si="37"/>
        <v>0</v>
      </c>
      <c r="BH26">
        <f t="shared" si="38"/>
        <v>0</v>
      </c>
      <c r="BI26" s="44">
        <f t="shared" si="39"/>
        <v>0</v>
      </c>
      <c r="BK26" s="42">
        <f t="shared" si="17"/>
        <v>0</v>
      </c>
      <c r="BL26">
        <f t="shared" si="18"/>
        <v>0</v>
      </c>
      <c r="BM26">
        <f t="shared" si="19"/>
        <v>0</v>
      </c>
      <c r="BN26" s="44">
        <f t="shared" si="40"/>
        <v>0</v>
      </c>
      <c r="BO26" s="42">
        <v>0</v>
      </c>
      <c r="BP26">
        <f t="shared" si="41"/>
        <v>0</v>
      </c>
      <c r="BQ26" s="44">
        <f t="shared" si="53"/>
        <v>0</v>
      </c>
      <c r="BR26" s="42">
        <f t="shared" si="42"/>
        <v>0</v>
      </c>
      <c r="BS26">
        <f t="shared" si="54"/>
        <v>0</v>
      </c>
      <c r="BT26" s="44">
        <f t="shared" si="55"/>
        <v>0</v>
      </c>
      <c r="BU26" s="42">
        <f t="shared" si="20"/>
        <v>1.5651334949910365E-3</v>
      </c>
      <c r="BV26">
        <f t="shared" si="21"/>
        <v>4.3874999999999997E-2</v>
      </c>
      <c r="BW26" s="44">
        <f t="shared" si="22"/>
        <v>2.2499999999999999E-2</v>
      </c>
      <c r="BX26">
        <f t="shared" si="56"/>
        <v>9.7086844659988056E-2</v>
      </c>
      <c r="BY26">
        <f t="shared" si="43"/>
        <v>1.5322370747995187</v>
      </c>
      <c r="BZ26">
        <f t="shared" si="44"/>
        <v>75.61000871893367</v>
      </c>
    </row>
    <row r="27" spans="1:78" x14ac:dyDescent="0.3">
      <c r="Q27">
        <v>20</v>
      </c>
      <c r="R27" s="42">
        <f t="shared" si="0"/>
        <v>5</v>
      </c>
      <c r="S27">
        <f t="shared" si="1"/>
        <v>50</v>
      </c>
      <c r="T27" s="44">
        <f t="shared" si="2"/>
        <v>0.1</v>
      </c>
      <c r="U27" s="42">
        <f t="shared" si="3"/>
        <v>1</v>
      </c>
      <c r="V27">
        <f t="shared" si="4"/>
        <v>0.11832159566199232</v>
      </c>
      <c r="W27">
        <f t="shared" si="5"/>
        <v>0.17432715094200202</v>
      </c>
      <c r="X27">
        <f t="shared" si="23"/>
        <v>0.70735125339600569</v>
      </c>
      <c r="Y27" s="42">
        <f t="shared" si="24"/>
        <v>0.84515425472851657</v>
      </c>
      <c r="Z27">
        <f t="shared" si="6"/>
        <v>1.6903085094570331</v>
      </c>
      <c r="AA27">
        <f t="shared" si="25"/>
        <v>1.6903085094570331</v>
      </c>
      <c r="AB27" s="44">
        <f t="shared" si="7"/>
        <v>0.33568919250372387</v>
      </c>
      <c r="AC27" s="42">
        <v>0</v>
      </c>
      <c r="AD27">
        <f t="shared" si="26"/>
        <v>2.2537446792760436E-3</v>
      </c>
      <c r="AE27" s="44">
        <f t="shared" si="27"/>
        <v>2.2537446792760436E-3</v>
      </c>
      <c r="AF27" s="42">
        <f t="shared" si="8"/>
        <v>0.1</v>
      </c>
      <c r="AG27" s="44">
        <f t="shared" si="9"/>
        <v>0.1</v>
      </c>
      <c r="AH27" s="42">
        <f t="shared" si="10"/>
        <v>3.8313659547692743E-3</v>
      </c>
      <c r="AI27">
        <f t="shared" si="11"/>
        <v>0.30453972397896123</v>
      </c>
      <c r="AJ27" s="44">
        <f t="shared" si="45"/>
        <v>0.30837108993373052</v>
      </c>
      <c r="AK27" s="42">
        <f t="shared" si="12"/>
        <v>5</v>
      </c>
      <c r="AL27">
        <f t="shared" si="13"/>
        <v>150</v>
      </c>
      <c r="AM27" s="44">
        <f t="shared" si="28"/>
        <v>3.3333333333333333E-2</v>
      </c>
      <c r="AN27" s="42">
        <f t="shared" si="29"/>
        <v>2</v>
      </c>
      <c r="AO27">
        <f t="shared" si="30"/>
        <v>0.17432715094200202</v>
      </c>
      <c r="AP27">
        <f t="shared" si="31"/>
        <v>0.19121136984808068</v>
      </c>
      <c r="AQ27">
        <f t="shared" si="32"/>
        <v>0.38242273969616142</v>
      </c>
      <c r="AR27">
        <f t="shared" si="46"/>
        <v>0.38242273969616136</v>
      </c>
      <c r="AS27" s="44">
        <f t="shared" si="47"/>
        <v>9.2186132928760697E-2</v>
      </c>
      <c r="AT27" s="42"/>
      <c r="AU27">
        <f t="shared" si="33"/>
        <v>5.777777777777778E-7</v>
      </c>
      <c r="AV27" s="44">
        <f t="shared" si="48"/>
        <v>5.777777777777778E-7</v>
      </c>
      <c r="AW27" s="42">
        <f t="shared" si="34"/>
        <v>0.92749999999999999</v>
      </c>
      <c r="AX27">
        <f t="shared" si="35"/>
        <v>4.6666666666666662E-2</v>
      </c>
      <c r="AY27" s="44">
        <f t="shared" si="49"/>
        <v>0.97416666666666663</v>
      </c>
      <c r="AZ27" s="42">
        <f t="shared" si="14"/>
        <v>0</v>
      </c>
      <c r="BA27">
        <f t="shared" si="15"/>
        <v>0</v>
      </c>
      <c r="BB27">
        <f t="shared" si="50"/>
        <v>0</v>
      </c>
      <c r="BC27" s="44">
        <f t="shared" si="36"/>
        <v>0</v>
      </c>
      <c r="BD27" s="42">
        <v>0</v>
      </c>
      <c r="BE27">
        <f t="shared" si="51"/>
        <v>0</v>
      </c>
      <c r="BF27" s="44">
        <f t="shared" si="52"/>
        <v>0</v>
      </c>
      <c r="BG27" s="42">
        <f t="shared" si="37"/>
        <v>0</v>
      </c>
      <c r="BH27">
        <f t="shared" si="38"/>
        <v>0</v>
      </c>
      <c r="BI27" s="44">
        <f t="shared" si="39"/>
        <v>0</v>
      </c>
      <c r="BK27" s="42">
        <f t="shared" si="17"/>
        <v>0</v>
      </c>
      <c r="BL27">
        <f t="shared" si="18"/>
        <v>0</v>
      </c>
      <c r="BM27">
        <f t="shared" si="19"/>
        <v>0</v>
      </c>
      <c r="BN27" s="44">
        <f t="shared" si="40"/>
        <v>0</v>
      </c>
      <c r="BO27" s="42">
        <v>0</v>
      </c>
      <c r="BP27">
        <f t="shared" si="41"/>
        <v>0</v>
      </c>
      <c r="BQ27" s="44">
        <f t="shared" si="53"/>
        <v>0</v>
      </c>
      <c r="BR27" s="42">
        <f t="shared" si="42"/>
        <v>0</v>
      </c>
      <c r="BS27">
        <f t="shared" si="54"/>
        <v>0</v>
      </c>
      <c r="BT27" s="44">
        <f t="shared" si="55"/>
        <v>0</v>
      </c>
      <c r="BU27" s="42">
        <f t="shared" si="20"/>
        <v>1.6903085094570325E-3</v>
      </c>
      <c r="BV27">
        <f t="shared" si="21"/>
        <v>4.3874999999999997E-2</v>
      </c>
      <c r="BW27" s="44">
        <f t="shared" si="22"/>
        <v>2.2499999999999999E-2</v>
      </c>
      <c r="BX27">
        <f t="shared" si="56"/>
        <v>0.10225374467927605</v>
      </c>
      <c r="BY27">
        <f t="shared" si="43"/>
        <v>1.5528573875669083</v>
      </c>
      <c r="BZ27">
        <f t="shared" si="44"/>
        <v>76.302591438763372</v>
      </c>
    </row>
    <row r="28" spans="1:78" x14ac:dyDescent="0.3">
      <c r="Q28">
        <v>21</v>
      </c>
      <c r="R28" s="42">
        <f t="shared" si="0"/>
        <v>5.25</v>
      </c>
      <c r="S28">
        <f t="shared" si="1"/>
        <v>50</v>
      </c>
      <c r="T28" s="44">
        <f t="shared" si="2"/>
        <v>0.105</v>
      </c>
      <c r="U28" s="42">
        <f t="shared" si="3"/>
        <v>1</v>
      </c>
      <c r="V28">
        <f t="shared" si="4"/>
        <v>0.12124355652982141</v>
      </c>
      <c r="W28">
        <f t="shared" si="5"/>
        <v>0.17863217328727021</v>
      </c>
      <c r="X28">
        <f t="shared" si="23"/>
        <v>0.70012427018290835</v>
      </c>
      <c r="Y28" s="42">
        <f t="shared" si="24"/>
        <v>0.86602540378443871</v>
      </c>
      <c r="Z28">
        <f t="shared" si="6"/>
        <v>1.7320508075688772</v>
      </c>
      <c r="AA28">
        <f t="shared" si="25"/>
        <v>1.7320508075688772</v>
      </c>
      <c r="AB28" s="44">
        <f t="shared" si="7"/>
        <v>0.34820045452270937</v>
      </c>
      <c r="AC28" s="42">
        <v>0</v>
      </c>
      <c r="AD28">
        <f t="shared" si="26"/>
        <v>2.4248711305964281E-3</v>
      </c>
      <c r="AE28" s="44">
        <f t="shared" si="27"/>
        <v>2.4248711305964281E-3</v>
      </c>
      <c r="AF28" s="42">
        <f t="shared" si="8"/>
        <v>0.105</v>
      </c>
      <c r="AG28" s="44">
        <f t="shared" si="9"/>
        <v>0.105</v>
      </c>
      <c r="AH28" s="42">
        <f t="shared" si="10"/>
        <v>4.1222809220139277E-3</v>
      </c>
      <c r="AI28">
        <f t="shared" si="11"/>
        <v>0.31206035578913416</v>
      </c>
      <c r="AJ28" s="44">
        <f t="shared" si="45"/>
        <v>0.3161826367111481</v>
      </c>
      <c r="AK28" s="42">
        <f t="shared" si="12"/>
        <v>5.25</v>
      </c>
      <c r="AL28">
        <f t="shared" si="13"/>
        <v>150</v>
      </c>
      <c r="AM28" s="44">
        <f t="shared" si="28"/>
        <v>3.5000000000000003E-2</v>
      </c>
      <c r="AN28" s="42">
        <f t="shared" si="29"/>
        <v>2</v>
      </c>
      <c r="AO28">
        <f t="shared" si="30"/>
        <v>0.17863217328727021</v>
      </c>
      <c r="AP28">
        <f t="shared" si="31"/>
        <v>0.19593334927249745</v>
      </c>
      <c r="AQ28">
        <f t="shared" si="32"/>
        <v>0.39186669854499495</v>
      </c>
      <c r="AR28">
        <f t="shared" si="46"/>
        <v>0.3918666985449949</v>
      </c>
      <c r="AS28" s="44">
        <f t="shared" si="47"/>
        <v>9.562194465384613E-2</v>
      </c>
      <c r="AT28" s="42"/>
      <c r="AU28">
        <f t="shared" si="33"/>
        <v>6.3700000000000021E-7</v>
      </c>
      <c r="AV28" s="44">
        <f t="shared" si="48"/>
        <v>6.3700000000000021E-7</v>
      </c>
      <c r="AW28" s="42">
        <f t="shared" si="34"/>
        <v>0.92749999999999999</v>
      </c>
      <c r="AX28">
        <f t="shared" si="35"/>
        <v>4.9000000000000002E-2</v>
      </c>
      <c r="AY28" s="44">
        <f t="shared" si="49"/>
        <v>0.97650000000000003</v>
      </c>
      <c r="AZ28" s="42">
        <f t="shared" si="14"/>
        <v>0</v>
      </c>
      <c r="BA28">
        <f t="shared" si="15"/>
        <v>0</v>
      </c>
      <c r="BB28">
        <f t="shared" si="50"/>
        <v>0</v>
      </c>
      <c r="BC28" s="44">
        <f t="shared" si="36"/>
        <v>0</v>
      </c>
      <c r="BD28" s="42">
        <v>0</v>
      </c>
      <c r="BE28">
        <f t="shared" si="51"/>
        <v>0</v>
      </c>
      <c r="BF28" s="44">
        <f t="shared" si="52"/>
        <v>0</v>
      </c>
      <c r="BG28" s="42">
        <f t="shared" si="37"/>
        <v>0</v>
      </c>
      <c r="BH28">
        <f t="shared" si="38"/>
        <v>0</v>
      </c>
      <c r="BI28" s="44">
        <f t="shared" si="39"/>
        <v>0</v>
      </c>
      <c r="BK28" s="42">
        <f t="shared" si="17"/>
        <v>0</v>
      </c>
      <c r="BL28">
        <f t="shared" si="18"/>
        <v>0</v>
      </c>
      <c r="BM28">
        <f t="shared" si="19"/>
        <v>0</v>
      </c>
      <c r="BN28" s="44">
        <f t="shared" si="40"/>
        <v>0</v>
      </c>
      <c r="BO28" s="42">
        <v>0</v>
      </c>
      <c r="BP28">
        <f t="shared" si="41"/>
        <v>0</v>
      </c>
      <c r="BQ28" s="44">
        <f t="shared" si="53"/>
        <v>0</v>
      </c>
      <c r="BR28" s="42">
        <f t="shared" si="42"/>
        <v>0</v>
      </c>
      <c r="BS28">
        <f t="shared" si="54"/>
        <v>0</v>
      </c>
      <c r="BT28" s="44">
        <f t="shared" si="55"/>
        <v>0</v>
      </c>
      <c r="BU28" s="42">
        <f t="shared" si="20"/>
        <v>1.8186533479473208E-3</v>
      </c>
      <c r="BV28">
        <f t="shared" si="21"/>
        <v>4.3874999999999997E-2</v>
      </c>
      <c r="BW28" s="44">
        <f t="shared" si="22"/>
        <v>2.2499999999999999E-2</v>
      </c>
      <c r="BX28">
        <f t="shared" si="56"/>
        <v>0.10742487113059643</v>
      </c>
      <c r="BY28">
        <f t="shared" si="43"/>
        <v>1.573301798189692</v>
      </c>
      <c r="BZ28">
        <f t="shared" si="44"/>
        <v>76.942221746558118</v>
      </c>
    </row>
    <row r="29" spans="1:78" x14ac:dyDescent="0.3">
      <c r="Q29">
        <v>22</v>
      </c>
      <c r="R29" s="42">
        <f t="shared" si="0"/>
        <v>5.5</v>
      </c>
      <c r="S29">
        <f t="shared" si="1"/>
        <v>50</v>
      </c>
      <c r="T29" s="44">
        <f t="shared" si="2"/>
        <v>0.11</v>
      </c>
      <c r="U29" s="42">
        <f t="shared" si="3"/>
        <v>1</v>
      </c>
      <c r="V29">
        <f t="shared" si="4"/>
        <v>0.12409673645990857</v>
      </c>
      <c r="W29">
        <f t="shared" si="5"/>
        <v>0.1828358583842653</v>
      </c>
      <c r="X29">
        <f t="shared" si="23"/>
        <v>0.6930674051558261</v>
      </c>
      <c r="Y29" s="42">
        <f t="shared" si="24"/>
        <v>0.88640526042791834</v>
      </c>
      <c r="Z29">
        <f t="shared" si="6"/>
        <v>1.7728105208558367</v>
      </c>
      <c r="AA29">
        <f t="shared" si="25"/>
        <v>1.7728105208558367</v>
      </c>
      <c r="AB29" s="44">
        <f t="shared" si="7"/>
        <v>0.36056359336843946</v>
      </c>
      <c r="AC29" s="42">
        <v>0</v>
      </c>
      <c r="AD29">
        <f t="shared" si="26"/>
        <v>2.6001220972552276E-3</v>
      </c>
      <c r="AE29" s="44">
        <f t="shared" si="27"/>
        <v>2.6001220972552276E-3</v>
      </c>
      <c r="AF29" s="42">
        <f t="shared" si="8"/>
        <v>0.11</v>
      </c>
      <c r="AG29" s="44">
        <f t="shared" si="9"/>
        <v>0.11</v>
      </c>
      <c r="AH29" s="42">
        <f t="shared" si="10"/>
        <v>4.4202075653338871E-3</v>
      </c>
      <c r="AI29">
        <f t="shared" si="11"/>
        <v>0.31940395712843023</v>
      </c>
      <c r="AJ29" s="44">
        <f t="shared" si="45"/>
        <v>0.32382416469376413</v>
      </c>
      <c r="AK29" s="42">
        <f t="shared" si="12"/>
        <v>5.5</v>
      </c>
      <c r="AL29">
        <f t="shared" si="13"/>
        <v>150</v>
      </c>
      <c r="AM29" s="44">
        <f t="shared" si="28"/>
        <v>3.6666666666666667E-2</v>
      </c>
      <c r="AN29" s="42">
        <f t="shared" si="29"/>
        <v>2</v>
      </c>
      <c r="AO29">
        <f t="shared" si="30"/>
        <v>0.18283585838426528</v>
      </c>
      <c r="AP29">
        <f t="shared" si="31"/>
        <v>0.20054417656740234</v>
      </c>
      <c r="AQ29">
        <f t="shared" si="32"/>
        <v>0.40108835313480468</v>
      </c>
      <c r="AR29">
        <f t="shared" si="46"/>
        <v>0.40108835313480468</v>
      </c>
      <c r="AS29" s="44">
        <f t="shared" si="47"/>
        <v>9.9017079160705637E-2</v>
      </c>
      <c r="AT29" s="42"/>
      <c r="AU29">
        <f t="shared" si="33"/>
        <v>6.9911111111111121E-7</v>
      </c>
      <c r="AV29" s="44">
        <f t="shared" si="48"/>
        <v>6.9911111111111121E-7</v>
      </c>
      <c r="AW29" s="42">
        <f t="shared" si="34"/>
        <v>0.92749999999999999</v>
      </c>
      <c r="AX29">
        <f t="shared" si="35"/>
        <v>5.1333333333333328E-2</v>
      </c>
      <c r="AY29" s="44">
        <f t="shared" si="49"/>
        <v>0.97883333333333333</v>
      </c>
      <c r="AZ29" s="42">
        <f t="shared" si="14"/>
        <v>0</v>
      </c>
      <c r="BA29">
        <f t="shared" si="15"/>
        <v>0</v>
      </c>
      <c r="BB29">
        <f t="shared" si="50"/>
        <v>0</v>
      </c>
      <c r="BC29" s="44">
        <f t="shared" si="36"/>
        <v>0</v>
      </c>
      <c r="BD29" s="42">
        <v>0</v>
      </c>
      <c r="BE29">
        <f t="shared" si="51"/>
        <v>0</v>
      </c>
      <c r="BF29" s="44">
        <f t="shared" si="52"/>
        <v>0</v>
      </c>
      <c r="BG29" s="42">
        <f t="shared" si="37"/>
        <v>0</v>
      </c>
      <c r="BH29">
        <f t="shared" si="38"/>
        <v>0</v>
      </c>
      <c r="BI29" s="44">
        <f t="shared" si="39"/>
        <v>0</v>
      </c>
      <c r="BK29" s="42">
        <f t="shared" si="17"/>
        <v>0</v>
      </c>
      <c r="BL29">
        <f t="shared" si="18"/>
        <v>0</v>
      </c>
      <c r="BM29">
        <f t="shared" si="19"/>
        <v>0</v>
      </c>
      <c r="BN29" s="44">
        <f t="shared" si="40"/>
        <v>0</v>
      </c>
      <c r="BO29" s="42">
        <v>0</v>
      </c>
      <c r="BP29">
        <f t="shared" si="41"/>
        <v>0</v>
      </c>
      <c r="BQ29" s="44">
        <f t="shared" si="53"/>
        <v>0</v>
      </c>
      <c r="BR29" s="42">
        <f t="shared" si="42"/>
        <v>0</v>
      </c>
      <c r="BS29">
        <f t="shared" si="54"/>
        <v>0</v>
      </c>
      <c r="BT29" s="44">
        <f t="shared" si="55"/>
        <v>0</v>
      </c>
      <c r="BU29" s="42">
        <f t="shared" si="20"/>
        <v>1.9500915729414206E-3</v>
      </c>
      <c r="BV29">
        <f t="shared" si="21"/>
        <v>4.3874999999999997E-2</v>
      </c>
      <c r="BW29" s="44">
        <f t="shared" si="22"/>
        <v>2.2499999999999999E-2</v>
      </c>
      <c r="BX29">
        <f t="shared" si="56"/>
        <v>0.11260012209725523</v>
      </c>
      <c r="BY29">
        <f t="shared" si="43"/>
        <v>1.593583410808405</v>
      </c>
      <c r="BZ29">
        <f t="shared" si="44"/>
        <v>77.534860471503279</v>
      </c>
    </row>
    <row r="30" spans="1:78" x14ac:dyDescent="0.3">
      <c r="Q30">
        <v>23</v>
      </c>
      <c r="R30" s="42">
        <f t="shared" si="0"/>
        <v>5.75</v>
      </c>
      <c r="S30">
        <f t="shared" si="1"/>
        <v>50</v>
      </c>
      <c r="T30" s="44">
        <f t="shared" si="2"/>
        <v>0.115</v>
      </c>
      <c r="U30" s="42">
        <f t="shared" si="3"/>
        <v>1</v>
      </c>
      <c r="V30">
        <f t="shared" si="4"/>
        <v>0.12688577540449519</v>
      </c>
      <c r="W30">
        <f t="shared" si="5"/>
        <v>0.18694504242928958</v>
      </c>
      <c r="X30">
        <f t="shared" si="23"/>
        <v>0.68616918216621525</v>
      </c>
      <c r="Y30" s="42">
        <f t="shared" si="24"/>
        <v>0.90632696717496586</v>
      </c>
      <c r="Z30">
        <f t="shared" si="6"/>
        <v>1.8126539343499313</v>
      </c>
      <c r="AA30">
        <f t="shared" si="25"/>
        <v>1.8126539343499315</v>
      </c>
      <c r="AB30" s="44">
        <f t="shared" si="7"/>
        <v>0.37278698336560528</v>
      </c>
      <c r="AC30" s="42">
        <v>0</v>
      </c>
      <c r="AD30">
        <f t="shared" si="26"/>
        <v>2.7794026993365611E-3</v>
      </c>
      <c r="AE30" s="44">
        <f t="shared" si="27"/>
        <v>2.7794026993365611E-3</v>
      </c>
      <c r="AF30" s="42">
        <f t="shared" si="8"/>
        <v>0.115</v>
      </c>
      <c r="AG30" s="44">
        <f t="shared" si="9"/>
        <v>0.115</v>
      </c>
      <c r="AH30" s="42">
        <f t="shared" si="10"/>
        <v>4.7249845888721539E-3</v>
      </c>
      <c r="AI30">
        <f t="shared" si="11"/>
        <v>0.32658247044714328</v>
      </c>
      <c r="AJ30" s="44">
        <f t="shared" si="45"/>
        <v>0.33130745503601544</v>
      </c>
      <c r="AK30" s="42">
        <f t="shared" si="12"/>
        <v>5.75</v>
      </c>
      <c r="AL30">
        <f t="shared" si="13"/>
        <v>150</v>
      </c>
      <c r="AM30" s="44">
        <f t="shared" si="28"/>
        <v>3.833333333333333E-2</v>
      </c>
      <c r="AN30" s="42">
        <f t="shared" si="29"/>
        <v>2</v>
      </c>
      <c r="AO30">
        <f t="shared" si="30"/>
        <v>0.18694504242928955</v>
      </c>
      <c r="AP30">
        <f t="shared" si="31"/>
        <v>0.20505135003958505</v>
      </c>
      <c r="AQ30">
        <f t="shared" si="32"/>
        <v>0.41010270007916994</v>
      </c>
      <c r="AR30">
        <f t="shared" si="46"/>
        <v>0.41010270007917005</v>
      </c>
      <c r="AS30" s="44">
        <f t="shared" si="47"/>
        <v>0.10237383618560249</v>
      </c>
      <c r="AT30" s="42"/>
      <c r="AU30">
        <f t="shared" si="33"/>
        <v>7.6411111111111112E-7</v>
      </c>
      <c r="AV30" s="44">
        <f t="shared" si="48"/>
        <v>7.6411111111111112E-7</v>
      </c>
      <c r="AW30" s="42">
        <f t="shared" si="34"/>
        <v>0.92749999999999999</v>
      </c>
      <c r="AX30">
        <f t="shared" si="35"/>
        <v>5.3666666666666661E-2</v>
      </c>
      <c r="AY30" s="44">
        <f t="shared" si="49"/>
        <v>0.98116666666666663</v>
      </c>
      <c r="AZ30" s="42">
        <f t="shared" si="14"/>
        <v>0</v>
      </c>
      <c r="BA30">
        <f t="shared" si="15"/>
        <v>0</v>
      </c>
      <c r="BB30">
        <f t="shared" si="50"/>
        <v>0</v>
      </c>
      <c r="BC30" s="44">
        <f t="shared" si="36"/>
        <v>0</v>
      </c>
      <c r="BD30" s="42">
        <v>0</v>
      </c>
      <c r="BE30">
        <f t="shared" si="51"/>
        <v>0</v>
      </c>
      <c r="BF30" s="44">
        <f t="shared" si="52"/>
        <v>0</v>
      </c>
      <c r="BG30" s="42">
        <f t="shared" si="37"/>
        <v>0</v>
      </c>
      <c r="BH30">
        <f t="shared" si="38"/>
        <v>0</v>
      </c>
      <c r="BI30" s="44">
        <f t="shared" si="39"/>
        <v>0</v>
      </c>
      <c r="BK30" s="42">
        <f t="shared" si="17"/>
        <v>0</v>
      </c>
      <c r="BL30">
        <f t="shared" si="18"/>
        <v>0</v>
      </c>
      <c r="BM30">
        <f t="shared" si="19"/>
        <v>0</v>
      </c>
      <c r="BN30" s="44">
        <f t="shared" si="40"/>
        <v>0</v>
      </c>
      <c r="BO30" s="42">
        <v>0</v>
      </c>
      <c r="BP30">
        <f t="shared" si="41"/>
        <v>0</v>
      </c>
      <c r="BQ30" s="44">
        <f t="shared" si="53"/>
        <v>0</v>
      </c>
      <c r="BR30" s="42">
        <f t="shared" si="42"/>
        <v>0</v>
      </c>
      <c r="BS30">
        <f t="shared" si="54"/>
        <v>0</v>
      </c>
      <c r="BT30" s="44">
        <f t="shared" si="55"/>
        <v>0</v>
      </c>
      <c r="BU30" s="42">
        <f t="shared" si="20"/>
        <v>2.0845520245024209E-3</v>
      </c>
      <c r="BV30">
        <f t="shared" si="21"/>
        <v>4.3874999999999997E-2</v>
      </c>
      <c r="BW30" s="44">
        <f t="shared" si="22"/>
        <v>2.2499999999999999E-2</v>
      </c>
      <c r="BX30">
        <f t="shared" si="56"/>
        <v>0.11777940269933657</v>
      </c>
      <c r="BY30">
        <f t="shared" si="43"/>
        <v>1.6137138405376323</v>
      </c>
      <c r="BZ30">
        <f t="shared" si="44"/>
        <v>78.085598171210123</v>
      </c>
    </row>
    <row r="31" spans="1:78" x14ac:dyDescent="0.3">
      <c r="Q31">
        <v>24</v>
      </c>
      <c r="R31" s="42">
        <f t="shared" si="0"/>
        <v>6</v>
      </c>
      <c r="S31">
        <f t="shared" si="1"/>
        <v>50</v>
      </c>
      <c r="T31" s="44">
        <f t="shared" si="2"/>
        <v>0.12</v>
      </c>
      <c r="U31" s="42">
        <f t="shared" si="3"/>
        <v>1</v>
      </c>
      <c r="V31">
        <f t="shared" si="4"/>
        <v>0.12961481396815719</v>
      </c>
      <c r="W31">
        <f t="shared" si="5"/>
        <v>0.19096582591308492</v>
      </c>
      <c r="X31">
        <f t="shared" si="23"/>
        <v>0.67941936011875792</v>
      </c>
      <c r="Y31" s="42">
        <f t="shared" si="24"/>
        <v>0.92582009977255153</v>
      </c>
      <c r="Z31">
        <f t="shared" si="6"/>
        <v>1.8516401995451026</v>
      </c>
      <c r="AA31">
        <f t="shared" si="25"/>
        <v>1.8516401995451028</v>
      </c>
      <c r="AB31" s="44">
        <f t="shared" si="7"/>
        <v>0.38487818327830459</v>
      </c>
      <c r="AC31" s="42">
        <v>0</v>
      </c>
      <c r="AD31">
        <f t="shared" si="26"/>
        <v>2.9626243192721643E-3</v>
      </c>
      <c r="AE31" s="44">
        <f t="shared" si="27"/>
        <v>2.9626243192721643E-3</v>
      </c>
      <c r="AF31" s="42">
        <f t="shared" si="8"/>
        <v>0.12</v>
      </c>
      <c r="AG31" s="44">
        <f t="shared" si="9"/>
        <v>0.12</v>
      </c>
      <c r="AH31" s="42">
        <f t="shared" si="10"/>
        <v>5.0364613427626792E-3</v>
      </c>
      <c r="AI31">
        <f t="shared" si="11"/>
        <v>0.33360655295934805</v>
      </c>
      <c r="AJ31" s="44">
        <f t="shared" si="45"/>
        <v>0.33864301430211075</v>
      </c>
      <c r="AK31" s="42">
        <f t="shared" si="12"/>
        <v>6</v>
      </c>
      <c r="AL31">
        <f t="shared" si="13"/>
        <v>150</v>
      </c>
      <c r="AM31" s="44">
        <f t="shared" si="28"/>
        <v>0.04</v>
      </c>
      <c r="AN31" s="42">
        <f t="shared" si="29"/>
        <v>2</v>
      </c>
      <c r="AO31">
        <f t="shared" si="30"/>
        <v>0.19096582591308492</v>
      </c>
      <c r="AP31">
        <f t="shared" si="31"/>
        <v>0.20946156103451394</v>
      </c>
      <c r="AQ31">
        <f t="shared" si="32"/>
        <v>0.41892312206902776</v>
      </c>
      <c r="AR31">
        <f t="shared" si="46"/>
        <v>0.41892312206902782</v>
      </c>
      <c r="AS31" s="44">
        <f t="shared" si="47"/>
        <v>0.10569429149757369</v>
      </c>
      <c r="AT31" s="42"/>
      <c r="AU31">
        <f t="shared" si="33"/>
        <v>8.3200000000000014E-7</v>
      </c>
      <c r="AV31" s="44">
        <f t="shared" si="48"/>
        <v>8.3200000000000014E-7</v>
      </c>
      <c r="AW31" s="42">
        <f t="shared" si="34"/>
        <v>0.92749999999999999</v>
      </c>
      <c r="AX31">
        <f t="shared" si="35"/>
        <v>5.5999999999999994E-2</v>
      </c>
      <c r="AY31" s="44">
        <f t="shared" si="49"/>
        <v>0.98350000000000004</v>
      </c>
      <c r="AZ31" s="42">
        <f t="shared" si="14"/>
        <v>0</v>
      </c>
      <c r="BA31">
        <f t="shared" si="15"/>
        <v>0</v>
      </c>
      <c r="BB31">
        <f t="shared" si="50"/>
        <v>0</v>
      </c>
      <c r="BC31" s="44">
        <f t="shared" si="36"/>
        <v>0</v>
      </c>
      <c r="BD31" s="42">
        <v>0</v>
      </c>
      <c r="BE31">
        <f t="shared" si="51"/>
        <v>0</v>
      </c>
      <c r="BF31" s="44">
        <f t="shared" si="52"/>
        <v>0</v>
      </c>
      <c r="BG31" s="42">
        <f t="shared" si="37"/>
        <v>0</v>
      </c>
      <c r="BH31">
        <f t="shared" si="38"/>
        <v>0</v>
      </c>
      <c r="BI31" s="44">
        <f t="shared" si="39"/>
        <v>0</v>
      </c>
      <c r="BK31" s="42">
        <f t="shared" si="17"/>
        <v>0</v>
      </c>
      <c r="BL31">
        <f t="shared" si="18"/>
        <v>0</v>
      </c>
      <c r="BM31">
        <f t="shared" si="19"/>
        <v>0</v>
      </c>
      <c r="BN31" s="44">
        <f t="shared" si="40"/>
        <v>0</v>
      </c>
      <c r="BO31" s="42">
        <v>0</v>
      </c>
      <c r="BP31">
        <f t="shared" si="41"/>
        <v>0</v>
      </c>
      <c r="BQ31" s="44">
        <f t="shared" si="53"/>
        <v>0</v>
      </c>
      <c r="BR31" s="42">
        <f t="shared" si="42"/>
        <v>0</v>
      </c>
      <c r="BS31">
        <f t="shared" si="54"/>
        <v>0</v>
      </c>
      <c r="BT31" s="44">
        <f t="shared" si="55"/>
        <v>0</v>
      </c>
      <c r="BU31" s="42">
        <f t="shared" si="20"/>
        <v>2.2219682394541231E-3</v>
      </c>
      <c r="BV31">
        <f t="shared" si="21"/>
        <v>4.3874999999999997E-2</v>
      </c>
      <c r="BW31" s="44">
        <f t="shared" si="22"/>
        <v>2.2499999999999999E-2</v>
      </c>
      <c r="BX31">
        <f t="shared" si="56"/>
        <v>0.12296262431927216</v>
      </c>
      <c r="BY31">
        <f t="shared" si="43"/>
        <v>1.6337034388608371</v>
      </c>
      <c r="BZ31">
        <f t="shared" si="44"/>
        <v>78.598809189466863</v>
      </c>
    </row>
    <row r="32" spans="1:78" x14ac:dyDescent="0.3">
      <c r="Q32">
        <v>25</v>
      </c>
      <c r="R32" s="42">
        <f t="shared" si="0"/>
        <v>6.25</v>
      </c>
      <c r="S32">
        <f t="shared" si="1"/>
        <v>50</v>
      </c>
      <c r="T32" s="44">
        <f t="shared" si="2"/>
        <v>0.125</v>
      </c>
      <c r="U32" s="42">
        <f t="shared" si="3"/>
        <v>1</v>
      </c>
      <c r="V32">
        <f t="shared" si="4"/>
        <v>0.13228756555322954</v>
      </c>
      <c r="W32">
        <f t="shared" si="5"/>
        <v>0.19490367991509153</v>
      </c>
      <c r="X32">
        <f t="shared" si="23"/>
        <v>0.67280875453167899</v>
      </c>
      <c r="Y32" s="42">
        <f t="shared" si="24"/>
        <v>0.94491118252306794</v>
      </c>
      <c r="Z32">
        <f t="shared" si="6"/>
        <v>1.8898223650461363</v>
      </c>
      <c r="AA32">
        <f t="shared" si="25"/>
        <v>1.8898223650461361</v>
      </c>
      <c r="AB32" s="44">
        <f t="shared" si="7"/>
        <v>0.3968440463043108</v>
      </c>
      <c r="AC32" s="42">
        <v>0</v>
      </c>
      <c r="AD32">
        <f t="shared" si="26"/>
        <v>3.1497039417435597E-3</v>
      </c>
      <c r="AE32" s="44">
        <f t="shared" si="27"/>
        <v>3.1497039417435597E-3</v>
      </c>
      <c r="AF32" s="42">
        <f t="shared" si="8"/>
        <v>0.125</v>
      </c>
      <c r="AG32" s="44">
        <f t="shared" si="9"/>
        <v>0.125</v>
      </c>
      <c r="AH32" s="42">
        <f t="shared" si="10"/>
        <v>5.3544967009640518E-3</v>
      </c>
      <c r="AI32">
        <f t="shared" si="11"/>
        <v>0.34048576233298999</v>
      </c>
      <c r="AJ32" s="44">
        <f t="shared" si="45"/>
        <v>0.34584025903395404</v>
      </c>
      <c r="AK32" s="42">
        <f t="shared" si="12"/>
        <v>6.25</v>
      </c>
      <c r="AL32">
        <f t="shared" si="13"/>
        <v>150</v>
      </c>
      <c r="AM32" s="44">
        <f t="shared" si="28"/>
        <v>4.1666666666666664E-2</v>
      </c>
      <c r="AN32" s="42">
        <f t="shared" si="29"/>
        <v>2</v>
      </c>
      <c r="AO32">
        <f t="shared" si="30"/>
        <v>0.19490367991509153</v>
      </c>
      <c r="AP32">
        <f t="shared" si="31"/>
        <v>0.21378081052558098</v>
      </c>
      <c r="AQ32">
        <f t="shared" si="32"/>
        <v>0.42756162105116213</v>
      </c>
      <c r="AR32">
        <f t="shared" si="46"/>
        <v>0.42756162105116202</v>
      </c>
      <c r="AS32" s="44">
        <f t="shared" si="47"/>
        <v>0.10898032710478349</v>
      </c>
      <c r="AT32" s="42"/>
      <c r="AU32">
        <f t="shared" si="33"/>
        <v>9.0277777777777786E-7</v>
      </c>
      <c r="AV32" s="44">
        <f t="shared" si="48"/>
        <v>9.0277777777777786E-7</v>
      </c>
      <c r="AW32" s="42">
        <f t="shared" si="34"/>
        <v>0.92749999999999999</v>
      </c>
      <c r="AX32">
        <f t="shared" si="35"/>
        <v>5.8333333333333327E-2</v>
      </c>
      <c r="AY32" s="44">
        <f t="shared" si="49"/>
        <v>0.98583333333333334</v>
      </c>
      <c r="AZ32" s="42">
        <f t="shared" si="14"/>
        <v>0</v>
      </c>
      <c r="BA32">
        <f t="shared" si="15"/>
        <v>0</v>
      </c>
      <c r="BB32">
        <f t="shared" si="50"/>
        <v>0</v>
      </c>
      <c r="BC32" s="44">
        <f t="shared" si="36"/>
        <v>0</v>
      </c>
      <c r="BD32" s="42">
        <v>0</v>
      </c>
      <c r="BE32">
        <f t="shared" si="51"/>
        <v>0</v>
      </c>
      <c r="BF32" s="44">
        <f t="shared" si="52"/>
        <v>0</v>
      </c>
      <c r="BG32" s="42">
        <f t="shared" si="37"/>
        <v>0</v>
      </c>
      <c r="BH32">
        <f t="shared" si="38"/>
        <v>0</v>
      </c>
      <c r="BI32" s="44">
        <f t="shared" si="39"/>
        <v>0</v>
      </c>
      <c r="BK32" s="42">
        <f t="shared" si="17"/>
        <v>0</v>
      </c>
      <c r="BL32">
        <f t="shared" si="18"/>
        <v>0</v>
      </c>
      <c r="BM32">
        <f t="shared" si="19"/>
        <v>0</v>
      </c>
      <c r="BN32" s="44">
        <f t="shared" si="40"/>
        <v>0</v>
      </c>
      <c r="BO32" s="42">
        <v>0</v>
      </c>
      <c r="BP32">
        <f t="shared" si="41"/>
        <v>0</v>
      </c>
      <c r="BQ32" s="44">
        <f t="shared" si="53"/>
        <v>0</v>
      </c>
      <c r="BR32" s="42">
        <f t="shared" si="42"/>
        <v>0</v>
      </c>
      <c r="BS32">
        <f t="shared" si="54"/>
        <v>0</v>
      </c>
      <c r="BT32" s="44">
        <f t="shared" si="55"/>
        <v>0</v>
      </c>
      <c r="BU32" s="42">
        <f t="shared" si="20"/>
        <v>2.3622779563076696E-3</v>
      </c>
      <c r="BV32">
        <f t="shared" si="21"/>
        <v>4.3874999999999997E-2</v>
      </c>
      <c r="BW32" s="44">
        <f t="shared" si="22"/>
        <v>2.2499999999999999E-2</v>
      </c>
      <c r="BX32">
        <f t="shared" si="56"/>
        <v>0.12814970394174355</v>
      </c>
      <c r="BY32">
        <f t="shared" si="43"/>
        <v>1.6535614770431164</v>
      </c>
      <c r="BZ32">
        <f t="shared" si="44"/>
        <v>79.078273992729834</v>
      </c>
    </row>
    <row r="33" spans="17:78" x14ac:dyDescent="0.3">
      <c r="Q33">
        <v>26</v>
      </c>
      <c r="R33" s="42">
        <f t="shared" si="0"/>
        <v>6.5</v>
      </c>
      <c r="S33">
        <f t="shared" si="1"/>
        <v>50</v>
      </c>
      <c r="T33" s="44">
        <f t="shared" si="2"/>
        <v>0.13</v>
      </c>
      <c r="U33" s="42">
        <f t="shared" si="3"/>
        <v>1</v>
      </c>
      <c r="V33">
        <f t="shared" si="4"/>
        <v>0.13490737563232041</v>
      </c>
      <c r="W33">
        <f t="shared" si="5"/>
        <v>0.19876353343161873</v>
      </c>
      <c r="X33">
        <f t="shared" si="23"/>
        <v>0.66632909093606085</v>
      </c>
      <c r="Y33" s="42">
        <f t="shared" si="24"/>
        <v>0.96362411165943151</v>
      </c>
      <c r="Z33">
        <f t="shared" si="6"/>
        <v>1.927248223318863</v>
      </c>
      <c r="AA33">
        <f t="shared" si="25"/>
        <v>1.927248223318863</v>
      </c>
      <c r="AB33" s="44">
        <f t="shared" si="7"/>
        <v>0.40869081143855124</v>
      </c>
      <c r="AC33" s="42">
        <v>0</v>
      </c>
      <c r="AD33">
        <f t="shared" si="26"/>
        <v>3.340563587086029E-3</v>
      </c>
      <c r="AE33" s="44">
        <f t="shared" si="27"/>
        <v>3.340563587086029E-3</v>
      </c>
      <c r="AF33" s="42">
        <f t="shared" si="8"/>
        <v>0.13</v>
      </c>
      <c r="AG33" s="44">
        <f t="shared" si="9"/>
        <v>0.13</v>
      </c>
      <c r="AH33" s="42">
        <f t="shared" si="10"/>
        <v>5.6789580980462495E-3</v>
      </c>
      <c r="AI33">
        <f t="shared" si="11"/>
        <v>0.34722870924728627</v>
      </c>
      <c r="AJ33" s="44">
        <f t="shared" si="45"/>
        <v>0.35290766734533252</v>
      </c>
      <c r="AK33" s="42">
        <f t="shared" si="12"/>
        <v>6.5</v>
      </c>
      <c r="AL33">
        <f t="shared" si="13"/>
        <v>150</v>
      </c>
      <c r="AM33" s="44">
        <f t="shared" si="28"/>
        <v>4.3333333333333335E-2</v>
      </c>
      <c r="AN33" s="42">
        <f t="shared" si="29"/>
        <v>2</v>
      </c>
      <c r="AO33">
        <f t="shared" si="30"/>
        <v>0.19876353343161876</v>
      </c>
      <c r="AP33">
        <f t="shared" si="31"/>
        <v>0.21801450490032387</v>
      </c>
      <c r="AQ33">
        <f t="shared" si="32"/>
        <v>0.43602900980064785</v>
      </c>
      <c r="AR33">
        <f t="shared" si="46"/>
        <v>0.43602900980064779</v>
      </c>
      <c r="AS33" s="44">
        <f t="shared" si="47"/>
        <v>0.1122336563445349</v>
      </c>
      <c r="AT33" s="42"/>
      <c r="AU33">
        <f t="shared" si="33"/>
        <v>9.764444444444447E-7</v>
      </c>
      <c r="AV33" s="44">
        <f t="shared" si="48"/>
        <v>9.764444444444447E-7</v>
      </c>
      <c r="AW33" s="42">
        <f t="shared" si="34"/>
        <v>0.92749999999999999</v>
      </c>
      <c r="AX33">
        <f t="shared" si="35"/>
        <v>6.0666666666666667E-2</v>
      </c>
      <c r="AY33" s="44">
        <f t="shared" si="49"/>
        <v>0.98816666666666664</v>
      </c>
      <c r="AZ33" s="42">
        <f t="shared" si="14"/>
        <v>0</v>
      </c>
      <c r="BA33">
        <f t="shared" si="15"/>
        <v>0</v>
      </c>
      <c r="BB33">
        <f t="shared" si="50"/>
        <v>0</v>
      </c>
      <c r="BC33" s="44">
        <f t="shared" si="36"/>
        <v>0</v>
      </c>
      <c r="BD33" s="42">
        <v>0</v>
      </c>
      <c r="BE33">
        <f t="shared" si="51"/>
        <v>0</v>
      </c>
      <c r="BF33" s="44">
        <f t="shared" si="52"/>
        <v>0</v>
      </c>
      <c r="BG33" s="42">
        <f t="shared" si="37"/>
        <v>0</v>
      </c>
      <c r="BH33">
        <f t="shared" si="38"/>
        <v>0</v>
      </c>
      <c r="BI33" s="44">
        <f t="shared" si="39"/>
        <v>0</v>
      </c>
      <c r="BK33" s="42">
        <f t="shared" si="17"/>
        <v>0</v>
      </c>
      <c r="BL33">
        <f t="shared" si="18"/>
        <v>0</v>
      </c>
      <c r="BM33">
        <f t="shared" si="19"/>
        <v>0</v>
      </c>
      <c r="BN33" s="44">
        <f t="shared" si="40"/>
        <v>0</v>
      </c>
      <c r="BO33" s="42">
        <v>0</v>
      </c>
      <c r="BP33">
        <f t="shared" si="41"/>
        <v>0</v>
      </c>
      <c r="BQ33" s="44">
        <f t="shared" si="53"/>
        <v>0</v>
      </c>
      <c r="BR33" s="42">
        <f t="shared" si="42"/>
        <v>0</v>
      </c>
      <c r="BS33">
        <f t="shared" si="54"/>
        <v>0</v>
      </c>
      <c r="BT33" s="44">
        <f t="shared" si="55"/>
        <v>0</v>
      </c>
      <c r="BU33" s="42">
        <f t="shared" si="20"/>
        <v>2.5054226903145215E-3</v>
      </c>
      <c r="BV33">
        <f t="shared" si="21"/>
        <v>4.3874999999999997E-2</v>
      </c>
      <c r="BW33" s="44">
        <f t="shared" si="22"/>
        <v>2.2499999999999999E-2</v>
      </c>
      <c r="BX33">
        <f t="shared" si="56"/>
        <v>0.13334056358708604</v>
      </c>
      <c r="BY33">
        <f t="shared" si="43"/>
        <v>1.6732962967338438</v>
      </c>
      <c r="BZ33">
        <f t="shared" si="44"/>
        <v>79.527277172093775</v>
      </c>
    </row>
    <row r="34" spans="17:78" x14ac:dyDescent="0.3">
      <c r="Q34">
        <v>27</v>
      </c>
      <c r="R34" s="42">
        <f t="shared" si="0"/>
        <v>6.75</v>
      </c>
      <c r="S34">
        <f t="shared" si="1"/>
        <v>50</v>
      </c>
      <c r="T34" s="44">
        <f t="shared" si="2"/>
        <v>0.13500000000000001</v>
      </c>
      <c r="U34" s="42">
        <f t="shared" si="3"/>
        <v>1</v>
      </c>
      <c r="V34">
        <f t="shared" si="4"/>
        <v>0.1374772708486752</v>
      </c>
      <c r="W34">
        <f t="shared" si="5"/>
        <v>0.20254984571704812</v>
      </c>
      <c r="X34">
        <f t="shared" si="23"/>
        <v>0.65997288343427662</v>
      </c>
      <c r="Y34" s="42">
        <f t="shared" si="24"/>
        <v>0.98198050606196574</v>
      </c>
      <c r="Z34">
        <f t="shared" si="6"/>
        <v>1.9639610121239315</v>
      </c>
      <c r="AA34">
        <f t="shared" si="25"/>
        <v>1.9639610121239315</v>
      </c>
      <c r="AB34" s="44">
        <f t="shared" si="7"/>
        <v>0.42042417995538012</v>
      </c>
      <c r="AC34" s="42">
        <v>0</v>
      </c>
      <c r="AD34">
        <f t="shared" si="26"/>
        <v>3.5351298218230772E-3</v>
      </c>
      <c r="AE34" s="44">
        <f t="shared" si="27"/>
        <v>3.5351298218230772E-3</v>
      </c>
      <c r="AF34" s="42">
        <f t="shared" si="8"/>
        <v>0.13500000000000001</v>
      </c>
      <c r="AG34" s="44">
        <f t="shared" si="9"/>
        <v>0.13500000000000001</v>
      </c>
      <c r="AH34" s="42">
        <f t="shared" si="10"/>
        <v>6.0097206970992313E-3</v>
      </c>
      <c r="AI34">
        <f t="shared" si="11"/>
        <v>0.35384318376873614</v>
      </c>
      <c r="AJ34" s="44">
        <f t="shared" si="45"/>
        <v>0.35985290446583534</v>
      </c>
      <c r="AK34" s="42">
        <f t="shared" si="12"/>
        <v>6.75</v>
      </c>
      <c r="AL34">
        <f t="shared" si="13"/>
        <v>150</v>
      </c>
      <c r="AM34" s="44">
        <f t="shared" si="28"/>
        <v>4.4999999999999998E-2</v>
      </c>
      <c r="AN34" s="42">
        <f t="shared" si="29"/>
        <v>2</v>
      </c>
      <c r="AO34">
        <f t="shared" si="30"/>
        <v>0.20254984571704812</v>
      </c>
      <c r="AP34">
        <f t="shared" si="31"/>
        <v>0.22216753530813704</v>
      </c>
      <c r="AQ34">
        <f t="shared" si="32"/>
        <v>0.44433507061627409</v>
      </c>
      <c r="AR34">
        <f t="shared" si="46"/>
        <v>0.44433507061627409</v>
      </c>
      <c r="AS34" s="44">
        <f t="shared" si="47"/>
        <v>0.1154558448866415</v>
      </c>
      <c r="AT34" s="42"/>
      <c r="AU34">
        <f t="shared" si="33"/>
        <v>1.0530000000000001E-6</v>
      </c>
      <c r="AV34" s="44">
        <f t="shared" si="48"/>
        <v>1.0530000000000001E-6</v>
      </c>
      <c r="AW34" s="42">
        <f t="shared" si="34"/>
        <v>0.92749999999999999</v>
      </c>
      <c r="AX34">
        <f t="shared" si="35"/>
        <v>6.3E-2</v>
      </c>
      <c r="AY34" s="44">
        <f t="shared" si="49"/>
        <v>0.99049999999999994</v>
      </c>
      <c r="AZ34" s="42">
        <f t="shared" si="14"/>
        <v>0</v>
      </c>
      <c r="BA34">
        <f t="shared" si="15"/>
        <v>0</v>
      </c>
      <c r="BB34">
        <f t="shared" si="50"/>
        <v>0</v>
      </c>
      <c r="BC34" s="44">
        <f t="shared" si="36"/>
        <v>0</v>
      </c>
      <c r="BD34" s="42">
        <v>0</v>
      </c>
      <c r="BE34">
        <f t="shared" si="51"/>
        <v>0</v>
      </c>
      <c r="BF34" s="44">
        <f t="shared" si="52"/>
        <v>0</v>
      </c>
      <c r="BG34" s="42">
        <f t="shared" si="37"/>
        <v>0</v>
      </c>
      <c r="BH34">
        <f t="shared" si="38"/>
        <v>0</v>
      </c>
      <c r="BI34" s="44">
        <f t="shared" si="39"/>
        <v>0</v>
      </c>
      <c r="BK34" s="42">
        <f t="shared" si="17"/>
        <v>0</v>
      </c>
      <c r="BL34">
        <f t="shared" si="18"/>
        <v>0</v>
      </c>
      <c r="BM34">
        <f t="shared" si="19"/>
        <v>0</v>
      </c>
      <c r="BN34" s="44">
        <f t="shared" si="40"/>
        <v>0</v>
      </c>
      <c r="BO34" s="42">
        <v>0</v>
      </c>
      <c r="BP34">
        <f t="shared" si="41"/>
        <v>0</v>
      </c>
      <c r="BQ34" s="44">
        <f t="shared" si="53"/>
        <v>0</v>
      </c>
      <c r="BR34" s="42">
        <f t="shared" si="42"/>
        <v>0</v>
      </c>
      <c r="BS34">
        <f t="shared" si="54"/>
        <v>0</v>
      </c>
      <c r="BT34" s="44">
        <f t="shared" si="55"/>
        <v>0</v>
      </c>
      <c r="BU34" s="42">
        <f t="shared" si="20"/>
        <v>2.6513473663673077E-3</v>
      </c>
      <c r="BV34">
        <f t="shared" si="21"/>
        <v>4.3874999999999997E-2</v>
      </c>
      <c r="BW34" s="44">
        <f t="shared" si="22"/>
        <v>2.2499999999999999E-2</v>
      </c>
      <c r="BX34">
        <f t="shared" si="56"/>
        <v>0.13853512982182309</v>
      </c>
      <c r="BY34">
        <f t="shared" si="43"/>
        <v>1.6929154346540258</v>
      </c>
      <c r="BZ34">
        <f t="shared" si="44"/>
        <v>79.948686591062625</v>
      </c>
    </row>
    <row r="35" spans="17:78" x14ac:dyDescent="0.3">
      <c r="Q35">
        <v>28</v>
      </c>
      <c r="R35" s="42">
        <f t="shared" si="0"/>
        <v>7</v>
      </c>
      <c r="S35">
        <f t="shared" si="1"/>
        <v>50</v>
      </c>
      <c r="T35" s="44">
        <f t="shared" si="2"/>
        <v>0.14000000000000001</v>
      </c>
      <c r="U35" s="42">
        <f t="shared" si="3"/>
        <v>1</v>
      </c>
      <c r="V35">
        <f t="shared" si="4"/>
        <v>0.13999999999999999</v>
      </c>
      <c r="W35">
        <f t="shared" si="5"/>
        <v>0.20626666666666665</v>
      </c>
      <c r="X35">
        <f t="shared" si="23"/>
        <v>0.65373333333333328</v>
      </c>
      <c r="Y35" s="42">
        <f t="shared" si="24"/>
        <v>1.0000000000000002</v>
      </c>
      <c r="Z35">
        <f t="shared" si="6"/>
        <v>1.9999999999999998</v>
      </c>
      <c r="AA35">
        <f t="shared" si="25"/>
        <v>2</v>
      </c>
      <c r="AB35" s="44">
        <f t="shared" si="7"/>
        <v>0.43204937989385733</v>
      </c>
      <c r="AC35" s="42">
        <v>0</v>
      </c>
      <c r="AD35">
        <f t="shared" si="26"/>
        <v>3.7333333333333329E-3</v>
      </c>
      <c r="AE35" s="44">
        <f t="shared" si="27"/>
        <v>3.7333333333333329E-3</v>
      </c>
      <c r="AF35" s="42">
        <f t="shared" si="8"/>
        <v>0.14000000000000001</v>
      </c>
      <c r="AG35" s="44">
        <f t="shared" si="9"/>
        <v>0.14000000000000001</v>
      </c>
      <c r="AH35" s="42">
        <f t="shared" si="10"/>
        <v>6.3466666666666663E-3</v>
      </c>
      <c r="AI35">
        <f t="shared" si="11"/>
        <v>0.36033626083653408</v>
      </c>
      <c r="AJ35" s="44">
        <f t="shared" si="45"/>
        <v>0.36668292750320075</v>
      </c>
      <c r="AK35" s="42">
        <f t="shared" si="12"/>
        <v>7</v>
      </c>
      <c r="AL35">
        <f t="shared" si="13"/>
        <v>150</v>
      </c>
      <c r="AM35" s="44">
        <f t="shared" si="28"/>
        <v>4.6666666666666669E-2</v>
      </c>
      <c r="AN35" s="42">
        <f t="shared" si="29"/>
        <v>2</v>
      </c>
      <c r="AO35">
        <f t="shared" si="30"/>
        <v>0.2062666666666666</v>
      </c>
      <c r="AP35">
        <f t="shared" si="31"/>
        <v>0.2262443438914028</v>
      </c>
      <c r="AQ35">
        <f t="shared" si="32"/>
        <v>0.45248868778280532</v>
      </c>
      <c r="AR35">
        <f t="shared" si="46"/>
        <v>0.45248868778280549</v>
      </c>
      <c r="AS35" s="44">
        <f t="shared" si="47"/>
        <v>0.11864832844221504</v>
      </c>
      <c r="AT35" s="42"/>
      <c r="AU35">
        <f t="shared" si="33"/>
        <v>1.1324444444444448E-6</v>
      </c>
      <c r="AV35" s="44">
        <f t="shared" si="48"/>
        <v>1.1324444444444448E-6</v>
      </c>
      <c r="AW35" s="42">
        <f t="shared" si="34"/>
        <v>0.92749999999999999</v>
      </c>
      <c r="AX35">
        <f t="shared" si="35"/>
        <v>6.5333333333333327E-2</v>
      </c>
      <c r="AY35" s="44">
        <f t="shared" si="49"/>
        <v>0.99283333333333335</v>
      </c>
      <c r="AZ35" s="42">
        <f t="shared" si="14"/>
        <v>0</v>
      </c>
      <c r="BA35">
        <f t="shared" si="15"/>
        <v>0</v>
      </c>
      <c r="BB35">
        <f t="shared" si="50"/>
        <v>0</v>
      </c>
      <c r="BC35" s="44">
        <f t="shared" si="36"/>
        <v>0</v>
      </c>
      <c r="BD35" s="42">
        <v>0</v>
      </c>
      <c r="BE35">
        <f t="shared" si="51"/>
        <v>0</v>
      </c>
      <c r="BF35" s="44">
        <f t="shared" si="52"/>
        <v>0</v>
      </c>
      <c r="BG35" s="42">
        <f t="shared" si="37"/>
        <v>0</v>
      </c>
      <c r="BH35">
        <f t="shared" si="38"/>
        <v>0</v>
      </c>
      <c r="BI35" s="44">
        <f t="shared" si="39"/>
        <v>0</v>
      </c>
      <c r="BK35" s="42">
        <f t="shared" si="17"/>
        <v>0</v>
      </c>
      <c r="BL35">
        <f t="shared" si="18"/>
        <v>0</v>
      </c>
      <c r="BM35">
        <f t="shared" si="19"/>
        <v>0</v>
      </c>
      <c r="BN35" s="44">
        <f t="shared" si="40"/>
        <v>0</v>
      </c>
      <c r="BO35" s="42">
        <v>0</v>
      </c>
      <c r="BP35">
        <f t="shared" si="41"/>
        <v>0</v>
      </c>
      <c r="BQ35" s="44">
        <f t="shared" si="53"/>
        <v>0</v>
      </c>
      <c r="BR35" s="42">
        <f t="shared" si="42"/>
        <v>0</v>
      </c>
      <c r="BS35">
        <f t="shared" si="54"/>
        <v>0</v>
      </c>
      <c r="BT35" s="44">
        <f t="shared" si="55"/>
        <v>0</v>
      </c>
      <c r="BU35" s="42">
        <f t="shared" si="20"/>
        <v>2.7999999999999995E-3</v>
      </c>
      <c r="BV35">
        <f t="shared" si="21"/>
        <v>4.3874999999999997E-2</v>
      </c>
      <c r="BW35" s="44">
        <f t="shared" si="22"/>
        <v>2.2499999999999999E-2</v>
      </c>
      <c r="BX35">
        <f t="shared" si="56"/>
        <v>0.14373333333333335</v>
      </c>
      <c r="BY35">
        <f t="shared" si="43"/>
        <v>1.7124257266143124</v>
      </c>
      <c r="BZ35">
        <f t="shared" si="44"/>
        <v>80.345017790128466</v>
      </c>
    </row>
    <row r="36" spans="17:78" s="174" customFormat="1" x14ac:dyDescent="0.3">
      <c r="Q36" s="174">
        <v>29</v>
      </c>
      <c r="R36" s="42">
        <f t="shared" si="0"/>
        <v>7.25</v>
      </c>
      <c r="S36">
        <f t="shared" si="1"/>
        <v>50</v>
      </c>
      <c r="T36" s="44">
        <f t="shared" si="2"/>
        <v>0.14499999999999999</v>
      </c>
      <c r="U36" s="42">
        <f t="shared" si="3"/>
        <v>1</v>
      </c>
      <c r="V36">
        <f t="shared" si="4"/>
        <v>0.14247806848775008</v>
      </c>
      <c r="W36">
        <f t="shared" si="5"/>
        <v>0.20991768757195176</v>
      </c>
      <c r="X36">
        <f t="shared" si="23"/>
        <v>0.64760424394029825</v>
      </c>
      <c r="Y36" s="42">
        <f t="shared" si="24"/>
        <v>1.0177004891982147</v>
      </c>
      <c r="Z36">
        <f t="shared" si="6"/>
        <v>2.0354009783964297</v>
      </c>
      <c r="AA36">
        <f t="shared" si="25"/>
        <v>2.0354009783964297</v>
      </c>
      <c r="AB36" s="44">
        <f t="shared" si="7"/>
        <v>0.44357122078833622</v>
      </c>
      <c r="AC36" s="42">
        <v>0</v>
      </c>
      <c r="AD36">
        <f t="shared" si="26"/>
        <v>3.9351085582330983E-3</v>
      </c>
      <c r="AE36" s="44">
        <f t="shared" si="27"/>
        <v>3.9351085582330983E-3</v>
      </c>
      <c r="AF36" s="42">
        <f t="shared" si="8"/>
        <v>0.14499999999999999</v>
      </c>
      <c r="AG36" s="44">
        <f t="shared" si="9"/>
        <v>0.14499999999999999</v>
      </c>
      <c r="AH36" s="42">
        <f t="shared" si="10"/>
        <v>6.6896845489962681E-3</v>
      </c>
      <c r="AI36">
        <f t="shared" si="11"/>
        <v>0.36671438892919611</v>
      </c>
      <c r="AJ36" s="177">
        <f t="shared" si="45"/>
        <v>0.37340407347819238</v>
      </c>
      <c r="AK36" s="42">
        <f t="shared" si="12"/>
        <v>7.25</v>
      </c>
      <c r="AL36">
        <f t="shared" si="13"/>
        <v>150</v>
      </c>
      <c r="AM36" s="44">
        <f t="shared" si="28"/>
        <v>4.8333333333333332E-2</v>
      </c>
      <c r="AN36" s="42">
        <f t="shared" si="29"/>
        <v>2</v>
      </c>
      <c r="AO36">
        <f t="shared" si="30"/>
        <v>0.20991768757195181</v>
      </c>
      <c r="AP36">
        <f t="shared" si="31"/>
        <v>0.23024897945660963</v>
      </c>
      <c r="AQ36">
        <f t="shared" si="32"/>
        <v>0.46049795891321949</v>
      </c>
      <c r="AR36">
        <f t="shared" si="46"/>
        <v>0.46049795891321937</v>
      </c>
      <c r="AS36" s="44">
        <f t="shared" si="47"/>
        <v>0.12181242779364308</v>
      </c>
      <c r="AT36" s="42"/>
      <c r="AU36">
        <f t="shared" si="33"/>
        <v>1.2147777777777778E-6</v>
      </c>
      <c r="AV36" s="44">
        <f t="shared" si="48"/>
        <v>1.2147777777777778E-6</v>
      </c>
      <c r="AW36" s="42">
        <f t="shared" si="34"/>
        <v>0.92749999999999999</v>
      </c>
      <c r="AX36">
        <f t="shared" si="35"/>
        <v>6.7666666666666667E-2</v>
      </c>
      <c r="AY36" s="44">
        <f t="shared" si="49"/>
        <v>0.99516666666666664</v>
      </c>
      <c r="AZ36" s="42">
        <f t="shared" si="14"/>
        <v>0</v>
      </c>
      <c r="BA36">
        <f t="shared" si="15"/>
        <v>0</v>
      </c>
      <c r="BB36">
        <f t="shared" si="50"/>
        <v>0</v>
      </c>
      <c r="BC36" s="44">
        <f t="shared" si="36"/>
        <v>0</v>
      </c>
      <c r="BD36" s="42">
        <v>0</v>
      </c>
      <c r="BE36">
        <f t="shared" si="51"/>
        <v>0</v>
      </c>
      <c r="BF36" s="44">
        <f t="shared" si="52"/>
        <v>0</v>
      </c>
      <c r="BG36" s="42">
        <f t="shared" si="37"/>
        <v>0</v>
      </c>
      <c r="BH36">
        <f t="shared" si="38"/>
        <v>0</v>
      </c>
      <c r="BI36" s="44">
        <f t="shared" si="39"/>
        <v>0</v>
      </c>
      <c r="BJ36"/>
      <c r="BK36" s="42">
        <f t="shared" si="17"/>
        <v>0</v>
      </c>
      <c r="BL36">
        <f t="shared" si="18"/>
        <v>0</v>
      </c>
      <c r="BM36">
        <f t="shared" si="19"/>
        <v>0</v>
      </c>
      <c r="BN36" s="44">
        <f t="shared" si="40"/>
        <v>0</v>
      </c>
      <c r="BO36" s="42">
        <v>0</v>
      </c>
      <c r="BP36">
        <f t="shared" si="41"/>
        <v>0</v>
      </c>
      <c r="BQ36" s="44">
        <f t="shared" si="53"/>
        <v>0</v>
      </c>
      <c r="BR36" s="42">
        <f t="shared" si="42"/>
        <v>0</v>
      </c>
      <c r="BS36">
        <f t="shared" si="54"/>
        <v>0</v>
      </c>
      <c r="BT36" s="44">
        <f t="shared" si="55"/>
        <v>0</v>
      </c>
      <c r="BU36" s="42">
        <f t="shared" si="20"/>
        <v>2.9513314186748237E-3</v>
      </c>
      <c r="BV36">
        <f t="shared" si="21"/>
        <v>4.3874999999999997E-2</v>
      </c>
      <c r="BW36" s="44">
        <f t="shared" si="22"/>
        <v>2.2499999999999999E-2</v>
      </c>
      <c r="BX36">
        <f t="shared" si="56"/>
        <v>0.14893510855823308</v>
      </c>
      <c r="BY36">
        <f t="shared" si="43"/>
        <v>1.7318333948995448</v>
      </c>
      <c r="BZ36">
        <f t="shared" si="44"/>
        <v>80.718486763704732</v>
      </c>
    </row>
    <row r="37" spans="17:78" x14ac:dyDescent="0.3">
      <c r="Q37">
        <v>30</v>
      </c>
      <c r="R37" s="42">
        <f t="shared" si="0"/>
        <v>7.5</v>
      </c>
      <c r="S37">
        <f t="shared" si="1"/>
        <v>50</v>
      </c>
      <c r="T37" s="44">
        <f t="shared" si="2"/>
        <v>0.15</v>
      </c>
      <c r="U37" s="42">
        <f t="shared" si="3"/>
        <v>1</v>
      </c>
      <c r="V37">
        <f t="shared" si="4"/>
        <v>0.14491376746189438</v>
      </c>
      <c r="W37">
        <f t="shared" si="5"/>
        <v>0.21350628406052441</v>
      </c>
      <c r="X37">
        <f t="shared" si="23"/>
        <v>0.64157994847758126</v>
      </c>
      <c r="Y37" s="42">
        <f t="shared" si="24"/>
        <v>1.0350983390135313</v>
      </c>
      <c r="Z37">
        <f t="shared" si="6"/>
        <v>2.0701966780270626</v>
      </c>
      <c r="AA37">
        <f t="shared" si="25"/>
        <v>2.0701966780270626</v>
      </c>
      <c r="AB37" s="44">
        <f t="shared" si="7"/>
        <v>0.45499414040480374</v>
      </c>
      <c r="AC37" s="42">
        <v>0</v>
      </c>
      <c r="AD37">
        <f t="shared" si="26"/>
        <v>4.1403933560541254E-3</v>
      </c>
      <c r="AE37" s="44">
        <f t="shared" si="27"/>
        <v>4.1403933560541254E-3</v>
      </c>
      <c r="AF37" s="42">
        <f t="shared" si="8"/>
        <v>0.15</v>
      </c>
      <c r="AG37" s="44">
        <f t="shared" si="9"/>
        <v>0.15</v>
      </c>
      <c r="AH37" s="42">
        <f t="shared" si="10"/>
        <v>7.0386687052920128E-3</v>
      </c>
      <c r="AI37">
        <f t="shared" si="11"/>
        <v>0.37298346507824287</v>
      </c>
      <c r="AJ37" s="44">
        <f t="shared" si="45"/>
        <v>0.38002213378353489</v>
      </c>
      <c r="AK37" s="42">
        <f t="shared" si="12"/>
        <v>7.5</v>
      </c>
      <c r="AL37">
        <f t="shared" si="13"/>
        <v>150</v>
      </c>
      <c r="AM37" s="44">
        <f t="shared" si="28"/>
        <v>0.05</v>
      </c>
      <c r="AN37" s="42">
        <f t="shared" si="29"/>
        <v>2</v>
      </c>
      <c r="AO37">
        <f t="shared" si="30"/>
        <v>0.21350628406052441</v>
      </c>
      <c r="AP37">
        <f t="shared" si="31"/>
        <v>0.23418514457319714</v>
      </c>
      <c r="AQ37">
        <f t="shared" si="32"/>
        <v>0.46837028914639434</v>
      </c>
      <c r="AR37">
        <f t="shared" si="46"/>
        <v>0.46837028914639434</v>
      </c>
      <c r="AS37" s="44">
        <f t="shared" si="47"/>
        <v>0.12494936162920753</v>
      </c>
      <c r="AT37" s="42"/>
      <c r="AU37">
        <f t="shared" si="33"/>
        <v>1.3000000000000005E-6</v>
      </c>
      <c r="AV37" s="44">
        <f t="shared" si="48"/>
        <v>1.3000000000000005E-6</v>
      </c>
      <c r="AW37" s="42">
        <f t="shared" si="34"/>
        <v>0.92749999999999999</v>
      </c>
      <c r="AX37">
        <f t="shared" si="35"/>
        <v>6.9999999999999993E-2</v>
      </c>
      <c r="AY37" s="44">
        <f t="shared" si="49"/>
        <v>0.99749999999999994</v>
      </c>
      <c r="AZ37" s="42">
        <f t="shared" si="14"/>
        <v>0</v>
      </c>
      <c r="BA37">
        <f t="shared" si="15"/>
        <v>0</v>
      </c>
      <c r="BB37">
        <f t="shared" si="50"/>
        <v>0</v>
      </c>
      <c r="BC37" s="44">
        <f t="shared" si="36"/>
        <v>0</v>
      </c>
      <c r="BD37" s="42">
        <v>0</v>
      </c>
      <c r="BE37">
        <f t="shared" si="51"/>
        <v>0</v>
      </c>
      <c r="BF37" s="44">
        <f t="shared" si="52"/>
        <v>0</v>
      </c>
      <c r="BG37" s="42">
        <f t="shared" si="37"/>
        <v>0</v>
      </c>
      <c r="BH37">
        <f t="shared" si="38"/>
        <v>0</v>
      </c>
      <c r="BI37" s="44">
        <f t="shared" si="39"/>
        <v>0</v>
      </c>
      <c r="BK37" s="42">
        <f t="shared" si="17"/>
        <v>0</v>
      </c>
      <c r="BL37">
        <f t="shared" si="18"/>
        <v>0</v>
      </c>
      <c r="BM37">
        <f t="shared" si="19"/>
        <v>0</v>
      </c>
      <c r="BN37" s="44">
        <f t="shared" si="40"/>
        <v>0</v>
      </c>
      <c r="BO37" s="42">
        <v>0</v>
      </c>
      <c r="BP37">
        <f t="shared" si="41"/>
        <v>0</v>
      </c>
      <c r="BQ37" s="44">
        <f t="shared" si="53"/>
        <v>0</v>
      </c>
      <c r="BR37" s="42">
        <f t="shared" si="42"/>
        <v>0</v>
      </c>
      <c r="BS37">
        <f t="shared" si="54"/>
        <v>0</v>
      </c>
      <c r="BT37" s="44">
        <f t="shared" si="55"/>
        <v>0</v>
      </c>
      <c r="BU37" s="42">
        <f t="shared" si="20"/>
        <v>3.1052950170405939E-3</v>
      </c>
      <c r="BV37">
        <f t="shared" si="21"/>
        <v>4.3874999999999997E-2</v>
      </c>
      <c r="BW37" s="44">
        <f t="shared" si="22"/>
        <v>2.2499999999999999E-2</v>
      </c>
      <c r="BX37">
        <f t="shared" si="56"/>
        <v>0.15414039335605412</v>
      </c>
      <c r="BY37">
        <f t="shared" si="43"/>
        <v>1.7511441221566295</v>
      </c>
      <c r="BZ37">
        <f t="shared" si="44"/>
        <v>81.071053493128346</v>
      </c>
    </row>
    <row r="38" spans="17:78" x14ac:dyDescent="0.3">
      <c r="Q38">
        <v>31</v>
      </c>
      <c r="R38" s="42">
        <f t="shared" si="0"/>
        <v>7.75</v>
      </c>
      <c r="S38">
        <f t="shared" si="1"/>
        <v>50</v>
      </c>
      <c r="T38" s="44">
        <f t="shared" si="2"/>
        <v>0.155</v>
      </c>
      <c r="U38" s="42">
        <f t="shared" si="3"/>
        <v>1</v>
      </c>
      <c r="V38">
        <f t="shared" si="4"/>
        <v>0.14730919862656236</v>
      </c>
      <c r="W38">
        <f t="shared" si="5"/>
        <v>0.21703555264313523</v>
      </c>
      <c r="X38">
        <f t="shared" si="23"/>
        <v>0.63565524873030244</v>
      </c>
      <c r="Y38" s="42">
        <f t="shared" si="24"/>
        <v>1.0522085616183026</v>
      </c>
      <c r="Z38">
        <f t="shared" si="6"/>
        <v>2.1044171232366051</v>
      </c>
      <c r="AA38">
        <f t="shared" si="25"/>
        <v>2.1044171232366051</v>
      </c>
      <c r="AB38" s="44">
        <f t="shared" si="7"/>
        <v>0.46632224487770529</v>
      </c>
      <c r="AC38" s="42">
        <v>0</v>
      </c>
      <c r="AD38">
        <f t="shared" si="26"/>
        <v>4.3491287213556504E-3</v>
      </c>
      <c r="AE38" s="44">
        <f t="shared" si="27"/>
        <v>4.3491287213556504E-3</v>
      </c>
      <c r="AF38" s="42">
        <f t="shared" si="8"/>
        <v>0.155</v>
      </c>
      <c r="AG38" s="44">
        <f t="shared" si="9"/>
        <v>0.155</v>
      </c>
      <c r="AH38" s="42">
        <f t="shared" si="10"/>
        <v>7.3935188263046063E-3</v>
      </c>
      <c r="AI38">
        <f t="shared" si="11"/>
        <v>0.37914889871372698</v>
      </c>
      <c r="AJ38" s="44">
        <f t="shared" si="45"/>
        <v>0.3865424175400316</v>
      </c>
      <c r="AK38" s="42">
        <f t="shared" si="12"/>
        <v>7.75</v>
      </c>
      <c r="AL38">
        <f t="shared" si="13"/>
        <v>150</v>
      </c>
      <c r="AM38" s="44">
        <f t="shared" si="28"/>
        <v>5.1666666666666666E-2</v>
      </c>
      <c r="AN38" s="42">
        <f t="shared" si="29"/>
        <v>2</v>
      </c>
      <c r="AO38">
        <f t="shared" si="30"/>
        <v>0.2170355526431352</v>
      </c>
      <c r="AP38">
        <f t="shared" si="31"/>
        <v>0.23805623566024944</v>
      </c>
      <c r="AQ38">
        <f t="shared" si="32"/>
        <v>0.47611247132049894</v>
      </c>
      <c r="AR38">
        <f t="shared" si="46"/>
        <v>0.47611247132049894</v>
      </c>
      <c r="AS38" s="44">
        <f t="shared" si="47"/>
        <v>0.12806025756535896</v>
      </c>
      <c r="AT38" s="42"/>
      <c r="AU38">
        <f t="shared" si="33"/>
        <v>1.3881111111111113E-6</v>
      </c>
      <c r="AV38" s="44">
        <f t="shared" si="48"/>
        <v>1.3881111111111113E-6</v>
      </c>
      <c r="AW38" s="42">
        <f t="shared" si="34"/>
        <v>0.92749999999999999</v>
      </c>
      <c r="AX38">
        <f t="shared" si="35"/>
        <v>7.2333333333333333E-2</v>
      </c>
      <c r="AY38" s="44">
        <f t="shared" si="49"/>
        <v>0.99983333333333335</v>
      </c>
      <c r="AZ38" s="42">
        <f t="shared" si="14"/>
        <v>0</v>
      </c>
      <c r="BA38">
        <f t="shared" si="15"/>
        <v>0</v>
      </c>
      <c r="BB38">
        <f t="shared" si="50"/>
        <v>0</v>
      </c>
      <c r="BC38" s="44">
        <f t="shared" si="36"/>
        <v>0</v>
      </c>
      <c r="BD38" s="42">
        <v>0</v>
      </c>
      <c r="BE38">
        <f t="shared" si="51"/>
        <v>0</v>
      </c>
      <c r="BF38" s="44">
        <f t="shared" si="52"/>
        <v>0</v>
      </c>
      <c r="BG38" s="42">
        <f t="shared" si="37"/>
        <v>0</v>
      </c>
      <c r="BH38">
        <f t="shared" si="38"/>
        <v>0</v>
      </c>
      <c r="BI38" s="44">
        <f t="shared" si="39"/>
        <v>0</v>
      </c>
      <c r="BK38" s="42">
        <f t="shared" si="17"/>
        <v>0</v>
      </c>
      <c r="BL38">
        <f t="shared" si="18"/>
        <v>0</v>
      </c>
      <c r="BM38">
        <f t="shared" si="19"/>
        <v>0</v>
      </c>
      <c r="BN38" s="44">
        <f t="shared" si="40"/>
        <v>0</v>
      </c>
      <c r="BO38" s="42">
        <v>0</v>
      </c>
      <c r="BP38">
        <f t="shared" si="41"/>
        <v>0</v>
      </c>
      <c r="BQ38" s="44">
        <f t="shared" si="53"/>
        <v>0</v>
      </c>
      <c r="BR38" s="42">
        <f t="shared" si="42"/>
        <v>0</v>
      </c>
      <c r="BS38">
        <f t="shared" si="54"/>
        <v>0</v>
      </c>
      <c r="BT38" s="44">
        <f t="shared" si="55"/>
        <v>0</v>
      </c>
      <c r="BU38" s="42">
        <f t="shared" si="20"/>
        <v>3.261846541016738E-3</v>
      </c>
      <c r="BV38">
        <f t="shared" si="21"/>
        <v>4.3874999999999997E-2</v>
      </c>
      <c r="BW38" s="44">
        <f t="shared" si="22"/>
        <v>2.2499999999999999E-2</v>
      </c>
      <c r="BX38">
        <f t="shared" si="56"/>
        <v>0.15934912872135565</v>
      </c>
      <c r="BY38">
        <f t="shared" si="43"/>
        <v>1.7703631142468486</v>
      </c>
      <c r="BZ38">
        <f t="shared" si="44"/>
        <v>81.404458075789464</v>
      </c>
    </row>
    <row r="39" spans="17:78" x14ac:dyDescent="0.3">
      <c r="Q39">
        <v>32</v>
      </c>
      <c r="R39" s="42">
        <f t="shared" ref="R39:R70" si="57">AK39+AZ39+BK39</f>
        <v>8</v>
      </c>
      <c r="S39">
        <f t="shared" si="1"/>
        <v>50</v>
      </c>
      <c r="T39" s="44">
        <f t="shared" ref="T39:T70" si="58">(R39)/(S39*EFF_est)</f>
        <v>0.16</v>
      </c>
      <c r="U39" s="42">
        <f t="shared" ref="U39:U70" si="59">IF(R39&lt;((((Np/NS1_)*(AL39)/((S39+((Np/NS1_)*(AL39)))))^2)*(S39^2))/(2*Lm*Fsw),1,2)</f>
        <v>1</v>
      </c>
      <c r="V39">
        <f t="shared" ref="V39:V70" si="60">CHOOSE(U39,SQRT((2*Lm*R39*Fsw)/((S39^2)*EFF_est)),(((Np/NS1_)*(AL39))/(S39+((Np/NS1_)*(AL39)))))</f>
        <v>0.14966629547095767</v>
      </c>
      <c r="W39">
        <f t="shared" ref="W39:W70" si="61">CHOOSE(U39,(NS1_*S39*V39)/(Np*AL39),1-V39)</f>
        <v>0.22050834199387764</v>
      </c>
      <c r="X39">
        <f t="shared" si="23"/>
        <v>0.62982536253516463</v>
      </c>
      <c r="Y39" s="42">
        <f t="shared" si="24"/>
        <v>1.0690449676496974</v>
      </c>
      <c r="Z39">
        <f t="shared" ref="Z39:Z70" si="62">(S39*V39)/(Lm*Fsw)</f>
        <v>2.1380899352993952</v>
      </c>
      <c r="AA39">
        <f t="shared" si="25"/>
        <v>2.1380899352993952</v>
      </c>
      <c r="AB39" s="44">
        <f t="shared" ref="AB39:AB70" si="63">CHOOSE(U39,AA39*SQRT(V39/3),SQRT(V39*((AA39^2)+((Z39^2)/(3))-(AA39*Z39))))</f>
        <v>0.47755934336157163</v>
      </c>
      <c r="AC39" s="42">
        <v>0</v>
      </c>
      <c r="AD39">
        <f t="shared" ref="AD39:AD70" si="64">(AB39^2)*Rdcr</f>
        <v>4.5612585286387095E-3</v>
      </c>
      <c r="AE39" s="44">
        <f t="shared" si="27"/>
        <v>4.5612585286387095E-3</v>
      </c>
      <c r="AF39" s="42">
        <f t="shared" ref="AF39:AF70" si="65">R39*0.02</f>
        <v>0.16</v>
      </c>
      <c r="AG39" s="44">
        <f t="shared" ref="AG39:AG70" si="66">R39*0.02</f>
        <v>0.16</v>
      </c>
      <c r="AH39" s="42">
        <f t="shared" ref="AH39:AH70" si="67">(AB39^2)*RDS_on</f>
        <v>7.7541394986858064E-3</v>
      </c>
      <c r="AI39">
        <f t="shared" ref="AI39:AI70" si="68">((Y39*(S39+((Np/NS1_)*VOUT1)))/2)*Fsw*(tr_sw+tf_sw)</f>
        <v>0.38521566630900539</v>
      </c>
      <c r="AJ39" s="44">
        <f t="shared" si="45"/>
        <v>0.3929698058076912</v>
      </c>
      <c r="AK39" s="42">
        <f t="shared" ref="AK39:AK70" si="69">Q39*$B$11</f>
        <v>8</v>
      </c>
      <c r="AL39">
        <f t="shared" si="13"/>
        <v>150</v>
      </c>
      <c r="AM39" s="44">
        <f t="shared" si="28"/>
        <v>5.3333333333333337E-2</v>
      </c>
      <c r="AN39" s="42">
        <f t="shared" si="29"/>
        <v>2</v>
      </c>
      <c r="AO39">
        <f t="shared" si="30"/>
        <v>0.22050834199387764</v>
      </c>
      <c r="AP39">
        <f t="shared" si="31"/>
        <v>0.24186537729631163</v>
      </c>
      <c r="AQ39">
        <f t="shared" si="32"/>
        <v>0.48373075459262344</v>
      </c>
      <c r="AR39">
        <f t="shared" si="46"/>
        <v>0.48373075459262338</v>
      </c>
      <c r="AS39" s="44">
        <f t="shared" si="47"/>
        <v>0.1311461616626611</v>
      </c>
      <c r="AT39" s="42"/>
      <c r="AU39">
        <f t="shared" si="33"/>
        <v>1.4791111111111116E-6</v>
      </c>
      <c r="AV39" s="44">
        <f t="shared" si="48"/>
        <v>1.4791111111111116E-6</v>
      </c>
      <c r="AW39" s="42">
        <f t="shared" si="34"/>
        <v>0.92749999999999999</v>
      </c>
      <c r="AX39">
        <f t="shared" si="35"/>
        <v>7.4666666666666673E-2</v>
      </c>
      <c r="AY39" s="44">
        <f t="shared" si="49"/>
        <v>1.0021666666666667</v>
      </c>
      <c r="AZ39" s="42">
        <f t="shared" ref="AZ39:AZ70" si="70">IF(EN_OUT_2=1,Q39*$B$15,0)</f>
        <v>0</v>
      </c>
      <c r="BA39">
        <f t="shared" ref="BA39:BA70" si="71">IF(EN_OUT_2=1,VOUT2,0)</f>
        <v>0</v>
      </c>
      <c r="BB39">
        <f t="shared" si="50"/>
        <v>0</v>
      </c>
      <c r="BC39" s="44">
        <f t="shared" si="36"/>
        <v>0</v>
      </c>
      <c r="BD39" s="42">
        <v>0</v>
      </c>
      <c r="BE39">
        <f t="shared" si="51"/>
        <v>0</v>
      </c>
      <c r="BF39" s="44">
        <f t="shared" si="52"/>
        <v>0</v>
      </c>
      <c r="BG39" s="42">
        <f t="shared" si="37"/>
        <v>0</v>
      </c>
      <c r="BH39">
        <f t="shared" si="38"/>
        <v>0</v>
      </c>
      <c r="BI39" s="44">
        <f t="shared" si="39"/>
        <v>0</v>
      </c>
      <c r="BK39" s="42">
        <f t="shared" ref="BK39:BK70" si="72">IF(EN_OUT_3=1,Q39*$B$19,0)</f>
        <v>0</v>
      </c>
      <c r="BL39">
        <f t="shared" si="18"/>
        <v>0</v>
      </c>
      <c r="BM39">
        <f t="shared" ref="BM39:BM70" si="73">IF(EN_OUT_3=1,BK39/BL39,0)</f>
        <v>0</v>
      </c>
      <c r="BN39" s="44">
        <f t="shared" si="40"/>
        <v>0</v>
      </c>
      <c r="BO39" s="42">
        <v>0</v>
      </c>
      <c r="BP39">
        <f t="shared" si="41"/>
        <v>0</v>
      </c>
      <c r="BQ39" s="44">
        <f t="shared" si="53"/>
        <v>0</v>
      </c>
      <c r="BR39" s="42">
        <f t="shared" si="42"/>
        <v>0</v>
      </c>
      <c r="BS39">
        <f t="shared" si="54"/>
        <v>0</v>
      </c>
      <c r="BT39" s="44">
        <f t="shared" si="55"/>
        <v>0</v>
      </c>
      <c r="BU39" s="42">
        <f t="shared" ref="BU39:BU70" si="74">(AB39^2)*R_cs</f>
        <v>3.4209438964790317E-3</v>
      </c>
      <c r="BV39">
        <f t="shared" si="21"/>
        <v>4.3874999999999997E-2</v>
      </c>
      <c r="BW39" s="44">
        <f t="shared" ref="BW39:BW70" si="75">IQ*S39</f>
        <v>2.2499999999999999E-2</v>
      </c>
      <c r="BX39">
        <f t="shared" si="56"/>
        <v>0.1645612585286387</v>
      </c>
      <c r="BY39">
        <f t="shared" si="43"/>
        <v>1.7894951540105866</v>
      </c>
      <c r="BZ39">
        <f t="shared" si="44"/>
        <v>81.72025088262636</v>
      </c>
    </row>
    <row r="40" spans="17:78" x14ac:dyDescent="0.3">
      <c r="Q40">
        <v>33</v>
      </c>
      <c r="R40" s="42">
        <f t="shared" si="57"/>
        <v>8.25</v>
      </c>
      <c r="S40">
        <f t="shared" si="1"/>
        <v>50</v>
      </c>
      <c r="T40" s="44">
        <f t="shared" si="58"/>
        <v>0.16500000000000001</v>
      </c>
      <c r="U40" s="42">
        <f t="shared" si="59"/>
        <v>1</v>
      </c>
      <c r="V40">
        <f t="shared" si="60"/>
        <v>0.15198684153570663</v>
      </c>
      <c r="W40">
        <f t="shared" si="61"/>
        <v>0.22392727986260777</v>
      </c>
      <c r="X40">
        <f t="shared" si="23"/>
        <v>0.62408587860168563</v>
      </c>
      <c r="Y40" s="42">
        <f t="shared" ref="Y40:Y71" si="76">R40/(S40*EFF_est*V40)</f>
        <v>1.0856202966836188</v>
      </c>
      <c r="Z40">
        <f t="shared" si="62"/>
        <v>2.1712405933672376</v>
      </c>
      <c r="AA40">
        <f t="shared" si="25"/>
        <v>2.1712405933672376</v>
      </c>
      <c r="AB40" s="44">
        <f t="shared" si="63"/>
        <v>0.48870897809473091</v>
      </c>
      <c r="AC40" s="42">
        <v>0</v>
      </c>
      <c r="AD40">
        <f t="shared" si="64"/>
        <v>4.7767293054079233E-3</v>
      </c>
      <c r="AE40" s="44">
        <f t="shared" si="27"/>
        <v>4.7767293054079233E-3</v>
      </c>
      <c r="AF40" s="42">
        <f t="shared" si="65"/>
        <v>0.16500000000000001</v>
      </c>
      <c r="AG40" s="44">
        <f t="shared" si="66"/>
        <v>0.16500000000000001</v>
      </c>
      <c r="AH40" s="42">
        <f t="shared" si="67"/>
        <v>8.1204398191934701E-3</v>
      </c>
      <c r="AI40">
        <f t="shared" si="68"/>
        <v>0.39118835839522387</v>
      </c>
      <c r="AJ40" s="44">
        <f t="shared" si="45"/>
        <v>0.39930879821441734</v>
      </c>
      <c r="AK40" s="42">
        <f t="shared" si="69"/>
        <v>8.25</v>
      </c>
      <c r="AL40">
        <f t="shared" si="13"/>
        <v>150</v>
      </c>
      <c r="AM40" s="44">
        <f t="shared" si="28"/>
        <v>5.5E-2</v>
      </c>
      <c r="AN40" s="42">
        <f t="shared" ref="AN40:AN71" si="77">IF(((AL40*AO40)/(Fsw*$AO$2))/2&gt;AP40,1,2)</f>
        <v>2</v>
      </c>
      <c r="AO40">
        <f t="shared" ref="AO40:AO71" si="78">AM40/AP40</f>
        <v>0.22392727986260774</v>
      </c>
      <c r="AP40">
        <f t="shared" ref="AP40:AP71" si="79">Np*$Y40*AK40/(R40*NS1_)</f>
        <v>0.24561545173837535</v>
      </c>
      <c r="AQ40">
        <f t="shared" ref="AQ40:AQ71" si="80">(AL40*AO40)/(Fsw*$AO$2)</f>
        <v>0.49123090347675058</v>
      </c>
      <c r="AR40">
        <f t="shared" si="46"/>
        <v>0.49123090347675064</v>
      </c>
      <c r="AS40" s="44">
        <f t="shared" si="47"/>
        <v>0.13420804668181235</v>
      </c>
      <c r="AT40" s="42"/>
      <c r="AU40">
        <f t="shared" ref="AU40:AU71" si="81">(AM40^2)*Rdcr1</f>
        <v>1.5730000000000002E-6</v>
      </c>
      <c r="AV40" s="44">
        <f t="shared" si="48"/>
        <v>1.5730000000000002E-6</v>
      </c>
      <c r="AW40" s="42">
        <f t="shared" ref="AW40:AW71" si="82">(VOUT1+((NS1_/Np)*S40))*QRR1_*Fsw</f>
        <v>0.92749999999999999</v>
      </c>
      <c r="AX40">
        <f t="shared" ref="AX40:AX71" si="83">AM40*VD1_</f>
        <v>7.6999999999999999E-2</v>
      </c>
      <c r="AY40" s="44">
        <f t="shared" si="49"/>
        <v>1.0044999999999999</v>
      </c>
      <c r="AZ40" s="42">
        <f t="shared" si="70"/>
        <v>0</v>
      </c>
      <c r="BA40">
        <f t="shared" si="71"/>
        <v>0</v>
      </c>
      <c r="BB40">
        <f t="shared" si="50"/>
        <v>0</v>
      </c>
      <c r="BC40" s="44">
        <f t="shared" ref="BC40:BC71" si="84">IF(EN_OUT_2=1,AZ40/BA40,0)</f>
        <v>0</v>
      </c>
      <c r="BD40" s="42">
        <v>0</v>
      </c>
      <c r="BE40">
        <f t="shared" ref="BE40:BE71" si="85">(BB40^2)*Rdcr2</f>
        <v>0</v>
      </c>
      <c r="BF40" s="44">
        <f t="shared" si="52"/>
        <v>0</v>
      </c>
      <c r="BG40" s="42">
        <f t="shared" ref="BG40:BG71" si="86">(VOUT2+((NS2_/Np)*S40))*QRR2_*Fsw</f>
        <v>0</v>
      </c>
      <c r="BH40">
        <f t="shared" ref="BH40:BH71" si="87">BB40*VD2_</f>
        <v>0</v>
      </c>
      <c r="BI40" s="44">
        <f t="shared" ref="BI40:BI71" si="88">BH40+BG40</f>
        <v>0</v>
      </c>
      <c r="BK40" s="42">
        <f t="shared" si="72"/>
        <v>0</v>
      </c>
      <c r="BL40">
        <f t="shared" si="18"/>
        <v>0</v>
      </c>
      <c r="BM40">
        <f t="shared" si="73"/>
        <v>0</v>
      </c>
      <c r="BN40" s="44">
        <f t="shared" ref="BN40:BN71" si="89">Y40*(Np/NS3_)*(BK40/R40)</f>
        <v>0</v>
      </c>
      <c r="BO40" s="42">
        <v>0</v>
      </c>
      <c r="BP40">
        <f t="shared" ref="BP40:BP71" si="90">(BM40^2)*Rdcr3</f>
        <v>0</v>
      </c>
      <c r="BQ40" s="44">
        <f t="shared" si="53"/>
        <v>0</v>
      </c>
      <c r="BR40" s="42">
        <f t="shared" ref="BR40:BR71" si="91">(VOUT3+((NS3_/Np)*S40))*QRR3_*Fsw</f>
        <v>0</v>
      </c>
      <c r="BS40">
        <f t="shared" ref="BS40:BS71" si="92">BM40*VD3_</f>
        <v>0</v>
      </c>
      <c r="BT40" s="44">
        <f t="shared" si="55"/>
        <v>0</v>
      </c>
      <c r="BU40" s="42">
        <f t="shared" si="74"/>
        <v>3.5825469790559425E-3</v>
      </c>
      <c r="BV40">
        <f t="shared" si="21"/>
        <v>4.3874999999999997E-2</v>
      </c>
      <c r="BW40" s="44">
        <f t="shared" si="75"/>
        <v>2.2499999999999999E-2</v>
      </c>
      <c r="BX40">
        <f t="shared" si="56"/>
        <v>0.16977672930540794</v>
      </c>
      <c r="BY40">
        <f t="shared" si="43"/>
        <v>1.8085446474988813</v>
      </c>
      <c r="BZ40">
        <f t="shared" ref="BZ40:BZ71" si="93">(R40/(R40+BY40))*100</f>
        <v>82.019817867502468</v>
      </c>
    </row>
    <row r="41" spans="17:78" x14ac:dyDescent="0.3">
      <c r="Q41">
        <v>34</v>
      </c>
      <c r="R41" s="42">
        <f t="shared" si="57"/>
        <v>8.5</v>
      </c>
      <c r="S41">
        <f t="shared" si="1"/>
        <v>50</v>
      </c>
      <c r="T41" s="44">
        <f t="shared" si="58"/>
        <v>0.17</v>
      </c>
      <c r="U41" s="42">
        <f t="shared" si="59"/>
        <v>1</v>
      </c>
      <c r="V41">
        <f t="shared" si="60"/>
        <v>0.15427248620541512</v>
      </c>
      <c r="W41">
        <f t="shared" si="61"/>
        <v>0.22729479634264493</v>
      </c>
      <c r="X41">
        <f t="shared" si="23"/>
        <v>0.61843271745193995</v>
      </c>
      <c r="Y41" s="42">
        <f t="shared" si="76"/>
        <v>1.1019463300386796</v>
      </c>
      <c r="Z41">
        <f t="shared" si="62"/>
        <v>2.2038926600773587</v>
      </c>
      <c r="AA41">
        <f t="shared" si="25"/>
        <v>2.2038926600773587</v>
      </c>
      <c r="AB41" s="44">
        <f t="shared" si="63"/>
        <v>0.49977445060290343</v>
      </c>
      <c r="AC41" s="42">
        <v>0</v>
      </c>
      <c r="AD41">
        <f t="shared" si="64"/>
        <v>4.9954900295086794E-3</v>
      </c>
      <c r="AE41" s="44">
        <f t="shared" si="27"/>
        <v>4.9954900295086794E-3</v>
      </c>
      <c r="AF41" s="42">
        <f t="shared" si="65"/>
        <v>0.17</v>
      </c>
      <c r="AG41" s="44">
        <f t="shared" si="66"/>
        <v>0.17</v>
      </c>
      <c r="AH41" s="42">
        <f t="shared" si="67"/>
        <v>8.4923330501647555E-3</v>
      </c>
      <c r="AI41">
        <f t="shared" si="68"/>
        <v>0.39707122020867902</v>
      </c>
      <c r="AJ41" s="44">
        <f t="shared" si="45"/>
        <v>0.4055635532588438</v>
      </c>
      <c r="AK41" s="42">
        <f t="shared" si="69"/>
        <v>8.5</v>
      </c>
      <c r="AL41">
        <f t="shared" si="13"/>
        <v>150</v>
      </c>
      <c r="AM41" s="44">
        <f t="shared" si="28"/>
        <v>5.6666666666666664E-2</v>
      </c>
      <c r="AN41" s="42">
        <f t="shared" si="77"/>
        <v>2</v>
      </c>
      <c r="AO41">
        <f t="shared" si="78"/>
        <v>0.22729479634264493</v>
      </c>
      <c r="AP41">
        <f t="shared" si="79"/>
        <v>0.24930912444314016</v>
      </c>
      <c r="AQ41">
        <f t="shared" si="80"/>
        <v>0.49861824888628031</v>
      </c>
      <c r="AR41">
        <f t="shared" si="46"/>
        <v>0.49861824888628031</v>
      </c>
      <c r="AS41" s="44">
        <f t="shared" si="47"/>
        <v>0.13724681927961241</v>
      </c>
      <c r="AT41" s="42"/>
      <c r="AU41">
        <f t="shared" si="81"/>
        <v>1.6697777777777779E-6</v>
      </c>
      <c r="AV41" s="44">
        <f t="shared" si="48"/>
        <v>1.6697777777777779E-6</v>
      </c>
      <c r="AW41" s="42">
        <f t="shared" si="82"/>
        <v>0.92749999999999999</v>
      </c>
      <c r="AX41">
        <f t="shared" si="83"/>
        <v>7.9333333333333325E-2</v>
      </c>
      <c r="AY41" s="44">
        <f t="shared" si="49"/>
        <v>1.0068333333333332</v>
      </c>
      <c r="AZ41" s="42">
        <f t="shared" si="70"/>
        <v>0</v>
      </c>
      <c r="BA41">
        <f t="shared" si="71"/>
        <v>0</v>
      </c>
      <c r="BB41">
        <f t="shared" si="50"/>
        <v>0</v>
      </c>
      <c r="BC41" s="44">
        <f t="shared" si="84"/>
        <v>0</v>
      </c>
      <c r="BD41" s="42">
        <v>0</v>
      </c>
      <c r="BE41">
        <f t="shared" si="85"/>
        <v>0</v>
      </c>
      <c r="BF41" s="44">
        <f t="shared" si="52"/>
        <v>0</v>
      </c>
      <c r="BG41" s="42">
        <f t="shared" si="86"/>
        <v>0</v>
      </c>
      <c r="BH41">
        <f t="shared" si="87"/>
        <v>0</v>
      </c>
      <c r="BI41" s="44">
        <f t="shared" si="88"/>
        <v>0</v>
      </c>
      <c r="BK41" s="42">
        <f t="shared" si="72"/>
        <v>0</v>
      </c>
      <c r="BL41">
        <f t="shared" si="18"/>
        <v>0</v>
      </c>
      <c r="BM41">
        <f t="shared" si="73"/>
        <v>0</v>
      </c>
      <c r="BN41" s="44">
        <f t="shared" si="89"/>
        <v>0</v>
      </c>
      <c r="BO41" s="42">
        <v>0</v>
      </c>
      <c r="BP41">
        <f t="shared" si="90"/>
        <v>0</v>
      </c>
      <c r="BQ41" s="44">
        <f t="shared" si="53"/>
        <v>0</v>
      </c>
      <c r="BR41" s="42">
        <f t="shared" si="91"/>
        <v>0</v>
      </c>
      <c r="BS41">
        <f t="shared" si="92"/>
        <v>0</v>
      </c>
      <c r="BT41" s="44">
        <f t="shared" si="55"/>
        <v>0</v>
      </c>
      <c r="BU41" s="42">
        <f t="shared" si="74"/>
        <v>3.7466175221315093E-3</v>
      </c>
      <c r="BV41">
        <f t="shared" si="21"/>
        <v>4.3874999999999997E-2</v>
      </c>
      <c r="BW41" s="44">
        <f t="shared" si="75"/>
        <v>2.2499999999999999E-2</v>
      </c>
      <c r="BX41">
        <f t="shared" si="56"/>
        <v>0.1749954900295087</v>
      </c>
      <c r="BY41">
        <f t="shared" si="43"/>
        <v>1.8275156639215948</v>
      </c>
      <c r="BZ41">
        <f t="shared" si="93"/>
        <v>82.304401916272226</v>
      </c>
    </row>
    <row r="42" spans="17:78" x14ac:dyDescent="0.3">
      <c r="Q42">
        <v>35</v>
      </c>
      <c r="R42" s="42">
        <f t="shared" si="57"/>
        <v>8.75</v>
      </c>
      <c r="S42">
        <f t="shared" si="1"/>
        <v>50</v>
      </c>
      <c r="T42" s="44">
        <f t="shared" si="58"/>
        <v>0.17499999999999999</v>
      </c>
      <c r="U42" s="42">
        <f t="shared" si="59"/>
        <v>1</v>
      </c>
      <c r="V42">
        <f t="shared" si="60"/>
        <v>0.15652475842498528</v>
      </c>
      <c r="W42">
        <f t="shared" si="61"/>
        <v>0.23061314407947833</v>
      </c>
      <c r="X42">
        <f t="shared" si="23"/>
        <v>0.61286209749553644</v>
      </c>
      <c r="Y42" s="42">
        <f t="shared" si="76"/>
        <v>1.1180339887498949</v>
      </c>
      <c r="Z42">
        <f t="shared" si="62"/>
        <v>2.2360679774997898</v>
      </c>
      <c r="AA42">
        <f t="shared" si="25"/>
        <v>2.2360679774997898</v>
      </c>
      <c r="AB42" s="44">
        <f t="shared" si="63"/>
        <v>0.51075884463705123</v>
      </c>
      <c r="AC42" s="42">
        <v>0</v>
      </c>
      <c r="AD42">
        <f t="shared" si="64"/>
        <v>5.2174919474995089E-3</v>
      </c>
      <c r="AE42" s="44">
        <f t="shared" si="27"/>
        <v>5.2174919474995089E-3</v>
      </c>
      <c r="AF42" s="42">
        <f t="shared" si="65"/>
        <v>0.17500000000000002</v>
      </c>
      <c r="AG42" s="44">
        <f t="shared" si="66"/>
        <v>0.17500000000000002</v>
      </c>
      <c r="AH42" s="42">
        <f t="shared" si="67"/>
        <v>8.8697363107491656E-3</v>
      </c>
      <c r="AI42">
        <f t="shared" si="68"/>
        <v>0.40286818699429261</v>
      </c>
      <c r="AJ42" s="44">
        <f t="shared" si="45"/>
        <v>0.41173792330504178</v>
      </c>
      <c r="AK42" s="42">
        <f t="shared" si="69"/>
        <v>8.75</v>
      </c>
      <c r="AL42">
        <f t="shared" si="13"/>
        <v>150</v>
      </c>
      <c r="AM42" s="44">
        <f t="shared" si="28"/>
        <v>5.8333333333333334E-2</v>
      </c>
      <c r="AN42" s="42">
        <f t="shared" si="77"/>
        <v>2</v>
      </c>
      <c r="AO42">
        <f t="shared" si="78"/>
        <v>0.23061314407947825</v>
      </c>
      <c r="AP42">
        <f t="shared" si="79"/>
        <v>0.25294886623300794</v>
      </c>
      <c r="AQ42">
        <f t="shared" si="80"/>
        <v>0.50589773246601566</v>
      </c>
      <c r="AR42">
        <f t="shared" si="46"/>
        <v>0.50589773246601577</v>
      </c>
      <c r="AS42" s="44">
        <f t="shared" si="47"/>
        <v>0.14026332630809712</v>
      </c>
      <c r="AT42" s="42"/>
      <c r="AU42">
        <f t="shared" si="81"/>
        <v>1.7694444444444448E-6</v>
      </c>
      <c r="AV42" s="44">
        <f t="shared" si="48"/>
        <v>1.7694444444444448E-6</v>
      </c>
      <c r="AW42" s="42">
        <f t="shared" si="82"/>
        <v>0.92749999999999999</v>
      </c>
      <c r="AX42">
        <f t="shared" si="83"/>
        <v>8.1666666666666665E-2</v>
      </c>
      <c r="AY42" s="44">
        <f t="shared" si="49"/>
        <v>1.0091666666666668</v>
      </c>
      <c r="AZ42" s="42">
        <f t="shared" si="70"/>
        <v>0</v>
      </c>
      <c r="BA42">
        <f t="shared" si="71"/>
        <v>0</v>
      </c>
      <c r="BB42">
        <f t="shared" si="50"/>
        <v>0</v>
      </c>
      <c r="BC42" s="44">
        <f t="shared" si="84"/>
        <v>0</v>
      </c>
      <c r="BD42" s="42">
        <v>0</v>
      </c>
      <c r="BE42">
        <f t="shared" si="85"/>
        <v>0</v>
      </c>
      <c r="BF42" s="44">
        <f t="shared" si="52"/>
        <v>0</v>
      </c>
      <c r="BG42" s="42">
        <f t="shared" si="86"/>
        <v>0</v>
      </c>
      <c r="BH42">
        <f t="shared" si="87"/>
        <v>0</v>
      </c>
      <c r="BI42" s="44">
        <f t="shared" si="88"/>
        <v>0</v>
      </c>
      <c r="BK42" s="42">
        <f t="shared" si="72"/>
        <v>0</v>
      </c>
      <c r="BL42">
        <f t="shared" si="18"/>
        <v>0</v>
      </c>
      <c r="BM42">
        <f t="shared" si="73"/>
        <v>0</v>
      </c>
      <c r="BN42" s="44">
        <f t="shared" si="89"/>
        <v>0</v>
      </c>
      <c r="BO42" s="42">
        <v>0</v>
      </c>
      <c r="BP42">
        <f t="shared" si="90"/>
        <v>0</v>
      </c>
      <c r="BQ42" s="44">
        <f t="shared" si="53"/>
        <v>0</v>
      </c>
      <c r="BR42" s="42">
        <f t="shared" si="91"/>
        <v>0</v>
      </c>
      <c r="BS42">
        <f t="shared" si="92"/>
        <v>0</v>
      </c>
      <c r="BT42" s="44">
        <f t="shared" si="55"/>
        <v>0</v>
      </c>
      <c r="BU42" s="42">
        <f t="shared" si="74"/>
        <v>3.9131189606246312E-3</v>
      </c>
      <c r="BV42">
        <f t="shared" si="21"/>
        <v>4.3874999999999997E-2</v>
      </c>
      <c r="BW42" s="44">
        <f t="shared" si="75"/>
        <v>2.2499999999999999E-2</v>
      </c>
      <c r="BX42">
        <f t="shared" si="56"/>
        <v>0.18021749194749953</v>
      </c>
      <c r="BY42">
        <f t="shared" si="43"/>
        <v>1.8464119703242772</v>
      </c>
      <c r="BZ42">
        <f t="shared" si="93"/>
        <v>82.575120941926045</v>
      </c>
    </row>
    <row r="43" spans="17:78" x14ac:dyDescent="0.3">
      <c r="Q43">
        <v>36</v>
      </c>
      <c r="R43" s="42">
        <f t="shared" si="57"/>
        <v>9</v>
      </c>
      <c r="S43">
        <f t="shared" si="1"/>
        <v>50</v>
      </c>
      <c r="T43" s="44">
        <f t="shared" si="58"/>
        <v>0.18</v>
      </c>
      <c r="U43" s="42">
        <f t="shared" si="59"/>
        <v>1</v>
      </c>
      <c r="V43">
        <f t="shared" si="60"/>
        <v>0.15874507866387544</v>
      </c>
      <c r="W43">
        <f t="shared" si="61"/>
        <v>0.23388441589810982</v>
      </c>
      <c r="X43">
        <f t="shared" si="23"/>
        <v>0.60737050543801474</v>
      </c>
      <c r="Y43" s="42">
        <f t="shared" si="76"/>
        <v>1.1338934190276817</v>
      </c>
      <c r="Z43">
        <f t="shared" si="62"/>
        <v>2.2677868380553634</v>
      </c>
      <c r="AA43">
        <f t="shared" si="25"/>
        <v>2.2677868380553634</v>
      </c>
      <c r="AB43" s="44">
        <f t="shared" si="63"/>
        <v>0.52166504633398969</v>
      </c>
      <c r="AC43" s="42">
        <v>0</v>
      </c>
      <c r="AD43">
        <f t="shared" si="64"/>
        <v>5.4426884113328725E-3</v>
      </c>
      <c r="AE43" s="44">
        <f t="shared" si="27"/>
        <v>5.4426884113328725E-3</v>
      </c>
      <c r="AF43" s="42">
        <f t="shared" si="65"/>
        <v>0.18</v>
      </c>
      <c r="AG43" s="44">
        <f t="shared" si="66"/>
        <v>0.18</v>
      </c>
      <c r="AH43" s="42">
        <f t="shared" si="67"/>
        <v>9.2525702992658828E-3</v>
      </c>
      <c r="AI43">
        <f t="shared" si="68"/>
        <v>0.40858291479958803</v>
      </c>
      <c r="AJ43" s="44">
        <f t="shared" si="45"/>
        <v>0.41783548509885393</v>
      </c>
      <c r="AK43" s="42">
        <f t="shared" si="69"/>
        <v>9</v>
      </c>
      <c r="AL43">
        <f t="shared" si="13"/>
        <v>150</v>
      </c>
      <c r="AM43" s="44">
        <f t="shared" si="28"/>
        <v>0.06</v>
      </c>
      <c r="AN43" s="42">
        <f t="shared" si="77"/>
        <v>2</v>
      </c>
      <c r="AO43">
        <f t="shared" si="78"/>
        <v>0.23388441589810977</v>
      </c>
      <c r="AP43">
        <f t="shared" si="79"/>
        <v>0.25653697263069725</v>
      </c>
      <c r="AQ43">
        <f t="shared" si="80"/>
        <v>0.51307394526139438</v>
      </c>
      <c r="AR43">
        <f t="shared" si="46"/>
        <v>0.51307394526139438</v>
      </c>
      <c r="AS43" s="44">
        <f t="shared" si="47"/>
        <v>0.14325836035099579</v>
      </c>
      <c r="AT43" s="42"/>
      <c r="AU43">
        <f t="shared" si="81"/>
        <v>1.8720000000000002E-6</v>
      </c>
      <c r="AV43" s="44">
        <f t="shared" si="48"/>
        <v>1.8720000000000002E-6</v>
      </c>
      <c r="AW43" s="42">
        <f t="shared" si="82"/>
        <v>0.92749999999999999</v>
      </c>
      <c r="AX43">
        <f t="shared" si="83"/>
        <v>8.3999999999999991E-2</v>
      </c>
      <c r="AY43" s="44">
        <f t="shared" si="49"/>
        <v>1.0115000000000001</v>
      </c>
      <c r="AZ43" s="42">
        <f t="shared" si="70"/>
        <v>0</v>
      </c>
      <c r="BA43">
        <f t="shared" si="71"/>
        <v>0</v>
      </c>
      <c r="BB43">
        <f t="shared" si="50"/>
        <v>0</v>
      </c>
      <c r="BC43" s="44">
        <f t="shared" si="84"/>
        <v>0</v>
      </c>
      <c r="BD43" s="42">
        <v>0</v>
      </c>
      <c r="BE43">
        <f t="shared" si="85"/>
        <v>0</v>
      </c>
      <c r="BF43" s="44">
        <f t="shared" si="52"/>
        <v>0</v>
      </c>
      <c r="BG43" s="42">
        <f t="shared" si="86"/>
        <v>0</v>
      </c>
      <c r="BH43">
        <f t="shared" si="87"/>
        <v>0</v>
      </c>
      <c r="BI43" s="44">
        <f t="shared" si="88"/>
        <v>0</v>
      </c>
      <c r="BK43" s="42">
        <f t="shared" si="72"/>
        <v>0</v>
      </c>
      <c r="BL43">
        <f t="shared" si="18"/>
        <v>0</v>
      </c>
      <c r="BM43">
        <f t="shared" si="73"/>
        <v>0</v>
      </c>
      <c r="BN43" s="44">
        <f t="shared" si="89"/>
        <v>0</v>
      </c>
      <c r="BO43" s="42">
        <v>0</v>
      </c>
      <c r="BP43">
        <f t="shared" si="90"/>
        <v>0</v>
      </c>
      <c r="BQ43" s="44">
        <f t="shared" si="53"/>
        <v>0</v>
      </c>
      <c r="BR43" s="42">
        <f t="shared" si="91"/>
        <v>0</v>
      </c>
      <c r="BS43">
        <f t="shared" si="92"/>
        <v>0</v>
      </c>
      <c r="BT43" s="44">
        <f t="shared" si="55"/>
        <v>0</v>
      </c>
      <c r="BU43" s="42">
        <f t="shared" si="74"/>
        <v>4.0820163084996537E-3</v>
      </c>
      <c r="BV43">
        <f t="shared" si="21"/>
        <v>4.3874999999999997E-2</v>
      </c>
      <c r="BW43" s="44">
        <f t="shared" si="75"/>
        <v>2.2499999999999999E-2</v>
      </c>
      <c r="BX43">
        <f t="shared" si="56"/>
        <v>0.18544268841133288</v>
      </c>
      <c r="BY43">
        <f t="shared" si="43"/>
        <v>1.8652370618186862</v>
      </c>
      <c r="BZ43">
        <f t="shared" si="93"/>
        <v>82.832983291517138</v>
      </c>
    </row>
    <row r="44" spans="17:78" x14ac:dyDescent="0.3">
      <c r="Q44">
        <v>37</v>
      </c>
      <c r="R44" s="42">
        <f t="shared" si="57"/>
        <v>9.25</v>
      </c>
      <c r="S44">
        <f t="shared" si="1"/>
        <v>50</v>
      </c>
      <c r="T44" s="44">
        <f t="shared" si="58"/>
        <v>0.185</v>
      </c>
      <c r="U44" s="42">
        <f t="shared" si="59"/>
        <v>1</v>
      </c>
      <c r="V44">
        <f t="shared" si="60"/>
        <v>0.16093476939431081</v>
      </c>
      <c r="W44">
        <f t="shared" si="61"/>
        <v>0.23711056024095123</v>
      </c>
      <c r="X44">
        <f t="shared" si="23"/>
        <v>0.60195467036473793</v>
      </c>
      <c r="Y44" s="42">
        <f t="shared" si="76"/>
        <v>1.1495340671022201</v>
      </c>
      <c r="Z44">
        <f t="shared" si="62"/>
        <v>2.2990681342044401</v>
      </c>
      <c r="AA44">
        <f t="shared" si="25"/>
        <v>2.2990681342044401</v>
      </c>
      <c r="AB44" s="44">
        <f t="shared" si="63"/>
        <v>0.53249576200368109</v>
      </c>
      <c r="AC44" s="42">
        <v>0</v>
      </c>
      <c r="AD44">
        <f t="shared" si="64"/>
        <v>5.6710347310376195E-3</v>
      </c>
      <c r="AE44" s="44">
        <f t="shared" si="27"/>
        <v>5.6710347310376195E-3</v>
      </c>
      <c r="AF44" s="42">
        <f t="shared" si="65"/>
        <v>0.185</v>
      </c>
      <c r="AG44" s="44">
        <f t="shared" si="66"/>
        <v>0.185</v>
      </c>
      <c r="AH44" s="42">
        <f t="shared" si="67"/>
        <v>9.6407590427639543E-3</v>
      </c>
      <c r="AI44">
        <f t="shared" si="68"/>
        <v>0.41421880744382733</v>
      </c>
      <c r="AJ44" s="44">
        <f t="shared" si="45"/>
        <v>0.42385956648659129</v>
      </c>
      <c r="AK44" s="42">
        <f t="shared" si="69"/>
        <v>9.25</v>
      </c>
      <c r="AL44">
        <f t="shared" si="13"/>
        <v>150</v>
      </c>
      <c r="AM44" s="44">
        <f t="shared" si="28"/>
        <v>6.1666666666666668E-2</v>
      </c>
      <c r="AN44" s="42">
        <f t="shared" si="77"/>
        <v>2</v>
      </c>
      <c r="AO44">
        <f t="shared" si="78"/>
        <v>0.23711056024095126</v>
      </c>
      <c r="AP44">
        <f t="shared" si="79"/>
        <v>0.26007558079235749</v>
      </c>
      <c r="AQ44">
        <f t="shared" si="80"/>
        <v>0.52015116158471497</v>
      </c>
      <c r="AR44">
        <f t="shared" si="46"/>
        <v>0.52015116158471497</v>
      </c>
      <c r="AS44" s="44">
        <f t="shared" si="47"/>
        <v>0.14623266460843393</v>
      </c>
      <c r="AT44" s="42"/>
      <c r="AU44">
        <f t="shared" si="81"/>
        <v>1.9774444444444447E-6</v>
      </c>
      <c r="AV44" s="44">
        <f t="shared" si="48"/>
        <v>1.9774444444444447E-6</v>
      </c>
      <c r="AW44" s="42">
        <f t="shared" si="82"/>
        <v>0.92749999999999999</v>
      </c>
      <c r="AX44">
        <f t="shared" si="83"/>
        <v>8.6333333333333331E-2</v>
      </c>
      <c r="AY44" s="44">
        <f t="shared" si="49"/>
        <v>1.0138333333333334</v>
      </c>
      <c r="AZ44" s="42">
        <f t="shared" si="70"/>
        <v>0</v>
      </c>
      <c r="BA44">
        <f t="shared" si="71"/>
        <v>0</v>
      </c>
      <c r="BB44">
        <f t="shared" si="50"/>
        <v>0</v>
      </c>
      <c r="BC44" s="44">
        <f t="shared" si="84"/>
        <v>0</v>
      </c>
      <c r="BD44" s="42">
        <v>0</v>
      </c>
      <c r="BE44">
        <f t="shared" si="85"/>
        <v>0</v>
      </c>
      <c r="BF44" s="44">
        <f t="shared" si="52"/>
        <v>0</v>
      </c>
      <c r="BG44" s="42">
        <f t="shared" si="86"/>
        <v>0</v>
      </c>
      <c r="BH44">
        <f t="shared" si="87"/>
        <v>0</v>
      </c>
      <c r="BI44" s="44">
        <f t="shared" si="88"/>
        <v>0</v>
      </c>
      <c r="BK44" s="42">
        <f t="shared" si="72"/>
        <v>0</v>
      </c>
      <c r="BL44">
        <f t="shared" si="18"/>
        <v>0</v>
      </c>
      <c r="BM44">
        <f t="shared" si="73"/>
        <v>0</v>
      </c>
      <c r="BN44" s="44">
        <f t="shared" si="89"/>
        <v>0</v>
      </c>
      <c r="BO44" s="42">
        <v>0</v>
      </c>
      <c r="BP44">
        <f t="shared" si="90"/>
        <v>0</v>
      </c>
      <c r="BQ44" s="44">
        <f t="shared" si="53"/>
        <v>0</v>
      </c>
      <c r="BR44" s="42">
        <f t="shared" si="91"/>
        <v>0</v>
      </c>
      <c r="BS44">
        <f t="shared" si="92"/>
        <v>0</v>
      </c>
      <c r="BT44" s="44">
        <f t="shared" si="55"/>
        <v>0</v>
      </c>
      <c r="BU44" s="42">
        <f t="shared" si="74"/>
        <v>4.2532760482782142E-3</v>
      </c>
      <c r="BV44">
        <f t="shared" si="21"/>
        <v>4.3874999999999997E-2</v>
      </c>
      <c r="BW44" s="44">
        <f t="shared" si="75"/>
        <v>2.2499999999999999E-2</v>
      </c>
      <c r="BX44">
        <f t="shared" si="56"/>
        <v>0.19067103473103761</v>
      </c>
      <c r="BY44">
        <f t="shared" si="43"/>
        <v>1.883994188043685</v>
      </c>
      <c r="BZ44">
        <f t="shared" si="93"/>
        <v>83.078900920688241</v>
      </c>
    </row>
    <row r="45" spans="17:78" x14ac:dyDescent="0.3">
      <c r="Q45">
        <v>38</v>
      </c>
      <c r="R45" s="42">
        <f t="shared" si="57"/>
        <v>9.5</v>
      </c>
      <c r="S45">
        <f t="shared" si="1"/>
        <v>50</v>
      </c>
      <c r="T45" s="44">
        <f t="shared" si="58"/>
        <v>0.19</v>
      </c>
      <c r="U45" s="42">
        <f t="shared" si="59"/>
        <v>1</v>
      </c>
      <c r="V45">
        <f t="shared" si="60"/>
        <v>0.16309506430300091</v>
      </c>
      <c r="W45">
        <f t="shared" si="61"/>
        <v>0.2402933947397547</v>
      </c>
      <c r="X45">
        <f t="shared" si="23"/>
        <v>0.59661154095724434</v>
      </c>
      <c r="Y45" s="42">
        <f t="shared" si="76"/>
        <v>1.1649647450214351</v>
      </c>
      <c r="Z45">
        <f t="shared" si="62"/>
        <v>2.3299294900428698</v>
      </c>
      <c r="AA45">
        <f t="shared" si="25"/>
        <v>2.3299294900428702</v>
      </c>
      <c r="AB45" s="44">
        <f t="shared" si="63"/>
        <v>0.54325353387906916</v>
      </c>
      <c r="AC45" s="42">
        <v>0</v>
      </c>
      <c r="AD45">
        <f t="shared" si="64"/>
        <v>5.9024880414419393E-3</v>
      </c>
      <c r="AE45" s="44">
        <f t="shared" si="27"/>
        <v>5.9024880414419393E-3</v>
      </c>
      <c r="AF45" s="42">
        <f t="shared" si="65"/>
        <v>0.19</v>
      </c>
      <c r="AG45" s="44">
        <f t="shared" si="66"/>
        <v>0.19</v>
      </c>
      <c r="AH45" s="42">
        <f t="shared" si="67"/>
        <v>1.0034229670451297E-2</v>
      </c>
      <c r="AI45">
        <f t="shared" si="68"/>
        <v>0.41977904022741014</v>
      </c>
      <c r="AJ45" s="44">
        <f t="shared" si="45"/>
        <v>0.42981326989786145</v>
      </c>
      <c r="AK45" s="42">
        <f t="shared" si="69"/>
        <v>9.5</v>
      </c>
      <c r="AL45">
        <f t="shared" si="13"/>
        <v>150</v>
      </c>
      <c r="AM45" s="44">
        <f t="shared" si="28"/>
        <v>6.3333333333333339E-2</v>
      </c>
      <c r="AN45" s="42">
        <f t="shared" si="77"/>
        <v>2</v>
      </c>
      <c r="AO45">
        <f t="shared" si="78"/>
        <v>0.24029339473975467</v>
      </c>
      <c r="AP45">
        <f t="shared" si="79"/>
        <v>0.26356668439398984</v>
      </c>
      <c r="AQ45">
        <f t="shared" si="80"/>
        <v>0.52713336878797978</v>
      </c>
      <c r="AR45">
        <f t="shared" si="46"/>
        <v>0.52713336878797978</v>
      </c>
      <c r="AS45" s="44">
        <f t="shared" si="47"/>
        <v>0.14918693722211307</v>
      </c>
      <c r="AT45" s="42"/>
      <c r="AU45">
        <f t="shared" si="81"/>
        <v>2.0857777777777784E-6</v>
      </c>
      <c r="AV45" s="44">
        <f t="shared" si="48"/>
        <v>2.0857777777777784E-6</v>
      </c>
      <c r="AW45" s="42">
        <f t="shared" si="82"/>
        <v>0.92749999999999999</v>
      </c>
      <c r="AX45">
        <f t="shared" si="83"/>
        <v>8.8666666666666671E-2</v>
      </c>
      <c r="AY45" s="44">
        <f t="shared" si="49"/>
        <v>1.0161666666666667</v>
      </c>
      <c r="AZ45" s="42">
        <f t="shared" si="70"/>
        <v>0</v>
      </c>
      <c r="BA45">
        <f t="shared" si="71"/>
        <v>0</v>
      </c>
      <c r="BB45">
        <f t="shared" si="50"/>
        <v>0</v>
      </c>
      <c r="BC45" s="44">
        <f t="shared" si="84"/>
        <v>0</v>
      </c>
      <c r="BD45" s="42">
        <v>0</v>
      </c>
      <c r="BE45">
        <f t="shared" si="85"/>
        <v>0</v>
      </c>
      <c r="BF45" s="44">
        <f t="shared" si="52"/>
        <v>0</v>
      </c>
      <c r="BG45" s="42">
        <f t="shared" si="86"/>
        <v>0</v>
      </c>
      <c r="BH45">
        <f t="shared" si="87"/>
        <v>0</v>
      </c>
      <c r="BI45" s="44">
        <f t="shared" si="88"/>
        <v>0</v>
      </c>
      <c r="BK45" s="42">
        <f t="shared" si="72"/>
        <v>0</v>
      </c>
      <c r="BL45">
        <f t="shared" si="18"/>
        <v>0</v>
      </c>
      <c r="BM45">
        <f t="shared" si="73"/>
        <v>0</v>
      </c>
      <c r="BN45" s="44">
        <f t="shared" si="89"/>
        <v>0</v>
      </c>
      <c r="BO45" s="42">
        <v>0</v>
      </c>
      <c r="BP45">
        <f t="shared" si="90"/>
        <v>0</v>
      </c>
      <c r="BQ45" s="44">
        <f t="shared" si="53"/>
        <v>0</v>
      </c>
      <c r="BR45" s="42">
        <f t="shared" si="91"/>
        <v>0</v>
      </c>
      <c r="BS45">
        <f t="shared" si="92"/>
        <v>0</v>
      </c>
      <c r="BT45" s="44">
        <f t="shared" si="55"/>
        <v>0</v>
      </c>
      <c r="BU45" s="42">
        <f t="shared" si="74"/>
        <v>4.426866031081454E-3</v>
      </c>
      <c r="BV45">
        <f t="shared" si="21"/>
        <v>4.3874999999999997E-2</v>
      </c>
      <c r="BW45" s="44">
        <f t="shared" si="75"/>
        <v>2.2499999999999999E-2</v>
      </c>
      <c r="BX45">
        <f t="shared" si="56"/>
        <v>0.19590248804144195</v>
      </c>
      <c r="BY45">
        <f t="shared" si="43"/>
        <v>1.9026863764148292</v>
      </c>
      <c r="BZ45">
        <f t="shared" si="93"/>
        <v>83.313700705209953</v>
      </c>
    </row>
    <row r="46" spans="17:78" x14ac:dyDescent="0.3">
      <c r="Q46">
        <v>39</v>
      </c>
      <c r="R46" s="42">
        <f t="shared" si="57"/>
        <v>9.75</v>
      </c>
      <c r="S46">
        <f t="shared" si="1"/>
        <v>50</v>
      </c>
      <c r="T46" s="44">
        <f t="shared" si="58"/>
        <v>0.19500000000000001</v>
      </c>
      <c r="U46" s="42">
        <f t="shared" si="59"/>
        <v>1</v>
      </c>
      <c r="V46">
        <f t="shared" si="60"/>
        <v>0.16522711641858306</v>
      </c>
      <c r="W46">
        <f t="shared" si="61"/>
        <v>0.24343461819004569</v>
      </c>
      <c r="X46">
        <f t="shared" si="23"/>
        <v>0.59133826539137124</v>
      </c>
      <c r="Y46" s="42">
        <f t="shared" si="76"/>
        <v>1.1801936887041646</v>
      </c>
      <c r="Z46">
        <f t="shared" si="62"/>
        <v>2.3603873774083297</v>
      </c>
      <c r="AA46">
        <f t="shared" si="25"/>
        <v>2.3603873774083297</v>
      </c>
      <c r="AB46" s="44">
        <f t="shared" si="63"/>
        <v>0.5539407541092124</v>
      </c>
      <c r="AC46" s="42">
        <v>0</v>
      </c>
      <c r="AD46">
        <f t="shared" si="64"/>
        <v>6.1370071812616583E-3</v>
      </c>
      <c r="AE46" s="44">
        <f t="shared" si="27"/>
        <v>6.1370071812616583E-3</v>
      </c>
      <c r="AF46" s="42">
        <f t="shared" si="65"/>
        <v>0.19500000000000001</v>
      </c>
      <c r="AG46" s="44">
        <f t="shared" si="66"/>
        <v>0.19500000000000001</v>
      </c>
      <c r="AH46" s="42">
        <f t="shared" si="67"/>
        <v>1.0432912208144818E-2</v>
      </c>
      <c r="AI46">
        <f t="shared" si="68"/>
        <v>0.42526658085053509</v>
      </c>
      <c r="AJ46" s="44">
        <f t="shared" si="45"/>
        <v>0.43569949305867989</v>
      </c>
      <c r="AK46" s="42">
        <f t="shared" si="69"/>
        <v>9.75</v>
      </c>
      <c r="AL46">
        <f t="shared" si="13"/>
        <v>150</v>
      </c>
      <c r="AM46" s="44">
        <f t="shared" si="28"/>
        <v>6.5000000000000002E-2</v>
      </c>
      <c r="AN46" s="42">
        <f t="shared" si="77"/>
        <v>2</v>
      </c>
      <c r="AO46">
        <f t="shared" si="78"/>
        <v>0.24343461819004575</v>
      </c>
      <c r="AP46">
        <f t="shared" si="79"/>
        <v>0.26701214676564811</v>
      </c>
      <c r="AQ46">
        <f t="shared" si="80"/>
        <v>0.53402429353129632</v>
      </c>
      <c r="AR46">
        <f t="shared" si="46"/>
        <v>0.53402429353129621</v>
      </c>
      <c r="AS46" s="44">
        <f t="shared" si="47"/>
        <v>0.15212183511807073</v>
      </c>
      <c r="AT46" s="42"/>
      <c r="AU46">
        <f t="shared" si="81"/>
        <v>2.1970000000000003E-6</v>
      </c>
      <c r="AV46" s="44">
        <f t="shared" si="48"/>
        <v>2.1970000000000003E-6</v>
      </c>
      <c r="AW46" s="42">
        <f t="shared" si="82"/>
        <v>0.92749999999999999</v>
      </c>
      <c r="AX46">
        <f t="shared" si="83"/>
        <v>9.0999999999999998E-2</v>
      </c>
      <c r="AY46" s="44">
        <f t="shared" si="49"/>
        <v>1.0185</v>
      </c>
      <c r="AZ46" s="42">
        <f t="shared" si="70"/>
        <v>0</v>
      </c>
      <c r="BA46">
        <f t="shared" si="71"/>
        <v>0</v>
      </c>
      <c r="BB46">
        <f t="shared" si="50"/>
        <v>0</v>
      </c>
      <c r="BC46" s="44">
        <f t="shared" si="84"/>
        <v>0</v>
      </c>
      <c r="BD46" s="42">
        <v>0</v>
      </c>
      <c r="BE46">
        <f t="shared" si="85"/>
        <v>0</v>
      </c>
      <c r="BF46" s="44">
        <f t="shared" si="52"/>
        <v>0</v>
      </c>
      <c r="BG46" s="42">
        <f t="shared" si="86"/>
        <v>0</v>
      </c>
      <c r="BH46">
        <f t="shared" si="87"/>
        <v>0</v>
      </c>
      <c r="BI46" s="44">
        <f t="shared" si="88"/>
        <v>0</v>
      </c>
      <c r="BK46" s="42">
        <f t="shared" si="72"/>
        <v>0</v>
      </c>
      <c r="BL46">
        <f t="shared" si="18"/>
        <v>0</v>
      </c>
      <c r="BM46">
        <f t="shared" si="73"/>
        <v>0</v>
      </c>
      <c r="BN46" s="44">
        <f t="shared" si="89"/>
        <v>0</v>
      </c>
      <c r="BO46" s="42">
        <v>0</v>
      </c>
      <c r="BP46">
        <f t="shared" si="90"/>
        <v>0</v>
      </c>
      <c r="BQ46" s="44">
        <f t="shared" si="53"/>
        <v>0</v>
      </c>
      <c r="BR46" s="42">
        <f t="shared" si="91"/>
        <v>0</v>
      </c>
      <c r="BS46">
        <f t="shared" si="92"/>
        <v>0</v>
      </c>
      <c r="BT46" s="44">
        <f t="shared" si="55"/>
        <v>0</v>
      </c>
      <c r="BU46" s="42">
        <f t="shared" si="74"/>
        <v>4.6027553859462429E-3</v>
      </c>
      <c r="BV46">
        <f t="shared" si="21"/>
        <v>4.3874999999999997E-2</v>
      </c>
      <c r="BW46" s="44">
        <f t="shared" si="75"/>
        <v>2.2499999999999999E-2</v>
      </c>
      <c r="BX46">
        <f t="shared" si="56"/>
        <v>0.20113700718126165</v>
      </c>
      <c r="BY46">
        <f t="shared" si="43"/>
        <v>1.9213164526258879</v>
      </c>
      <c r="BZ46">
        <f t="shared" si="93"/>
        <v>83.538134190564108</v>
      </c>
    </row>
    <row r="47" spans="17:78" x14ac:dyDescent="0.3">
      <c r="Q47">
        <v>40</v>
      </c>
      <c r="R47" s="42">
        <f t="shared" si="57"/>
        <v>10</v>
      </c>
      <c r="S47">
        <f t="shared" si="1"/>
        <v>50</v>
      </c>
      <c r="T47" s="44">
        <f t="shared" si="58"/>
        <v>0.2</v>
      </c>
      <c r="U47" s="42">
        <f t="shared" si="59"/>
        <v>1</v>
      </c>
      <c r="V47">
        <f t="shared" si="60"/>
        <v>0.16733200530681511</v>
      </c>
      <c r="W47">
        <f t="shared" si="61"/>
        <v>0.24653582115204092</v>
      </c>
      <c r="X47">
        <f t="shared" si="23"/>
        <v>0.586132173541144</v>
      </c>
      <c r="Y47" s="42">
        <f t="shared" si="76"/>
        <v>1.1952286093343936</v>
      </c>
      <c r="Z47">
        <f t="shared" si="62"/>
        <v>2.3904572186687871</v>
      </c>
      <c r="AA47">
        <f t="shared" si="25"/>
        <v>2.3904572186687871</v>
      </c>
      <c r="AB47" s="44">
        <f t="shared" si="63"/>
        <v>0.56455967723159106</v>
      </c>
      <c r="AC47" s="42">
        <v>0</v>
      </c>
      <c r="AD47">
        <f t="shared" si="64"/>
        <v>6.3745525831167662E-3</v>
      </c>
      <c r="AE47" s="44">
        <f t="shared" si="27"/>
        <v>6.3745525831167662E-3</v>
      </c>
      <c r="AF47" s="42">
        <f t="shared" si="65"/>
        <v>0.2</v>
      </c>
      <c r="AG47" s="44">
        <f t="shared" si="66"/>
        <v>0.2</v>
      </c>
      <c r="AH47" s="42">
        <f t="shared" si="67"/>
        <v>1.0836739391298504E-2</v>
      </c>
      <c r="AI47">
        <f t="shared" si="68"/>
        <v>0.4306842079324058</v>
      </c>
      <c r="AJ47" s="44">
        <f t="shared" si="45"/>
        <v>0.44152094732370428</v>
      </c>
      <c r="AK47" s="42">
        <f t="shared" si="69"/>
        <v>10</v>
      </c>
      <c r="AL47">
        <f t="shared" si="13"/>
        <v>150</v>
      </c>
      <c r="AM47" s="44">
        <f t="shared" si="28"/>
        <v>6.6666666666666666E-2</v>
      </c>
      <c r="AN47" s="42">
        <f t="shared" si="77"/>
        <v>2</v>
      </c>
      <c r="AO47">
        <f t="shared" si="78"/>
        <v>0.24653582115204092</v>
      </c>
      <c r="AP47">
        <f t="shared" si="79"/>
        <v>0.27041371251909357</v>
      </c>
      <c r="AQ47">
        <f t="shared" si="80"/>
        <v>0.54082742503818726</v>
      </c>
      <c r="AR47">
        <f t="shared" si="46"/>
        <v>0.54082742503818726</v>
      </c>
      <c r="AS47" s="44">
        <f t="shared" si="47"/>
        <v>0.15503797743179462</v>
      </c>
      <c r="AT47" s="42"/>
      <c r="AU47">
        <f t="shared" si="81"/>
        <v>2.3111111111111112E-6</v>
      </c>
      <c r="AV47" s="44">
        <f t="shared" si="48"/>
        <v>2.3111111111111112E-6</v>
      </c>
      <c r="AW47" s="42">
        <f t="shared" si="82"/>
        <v>0.92749999999999999</v>
      </c>
      <c r="AX47">
        <f t="shared" si="83"/>
        <v>9.3333333333333324E-2</v>
      </c>
      <c r="AY47" s="44">
        <f t="shared" si="49"/>
        <v>1.0208333333333333</v>
      </c>
      <c r="AZ47" s="42">
        <f t="shared" si="70"/>
        <v>0</v>
      </c>
      <c r="BA47">
        <f t="shared" si="71"/>
        <v>0</v>
      </c>
      <c r="BB47">
        <f t="shared" si="50"/>
        <v>0</v>
      </c>
      <c r="BC47" s="44">
        <f t="shared" si="84"/>
        <v>0</v>
      </c>
      <c r="BD47" s="42">
        <v>0</v>
      </c>
      <c r="BE47">
        <f t="shared" si="85"/>
        <v>0</v>
      </c>
      <c r="BF47" s="44">
        <f t="shared" si="52"/>
        <v>0</v>
      </c>
      <c r="BG47" s="42">
        <f t="shared" si="86"/>
        <v>0</v>
      </c>
      <c r="BH47">
        <f t="shared" si="87"/>
        <v>0</v>
      </c>
      <c r="BI47" s="44">
        <f t="shared" si="88"/>
        <v>0</v>
      </c>
      <c r="BK47" s="42">
        <f t="shared" si="72"/>
        <v>0</v>
      </c>
      <c r="BL47">
        <f t="shared" si="18"/>
        <v>0</v>
      </c>
      <c r="BM47">
        <f t="shared" si="73"/>
        <v>0</v>
      </c>
      <c r="BN47" s="44">
        <f t="shared" si="89"/>
        <v>0</v>
      </c>
      <c r="BO47" s="42">
        <v>0</v>
      </c>
      <c r="BP47">
        <f t="shared" si="90"/>
        <v>0</v>
      </c>
      <c r="BQ47" s="44">
        <f t="shared" si="53"/>
        <v>0</v>
      </c>
      <c r="BR47" s="42">
        <f t="shared" si="91"/>
        <v>0</v>
      </c>
      <c r="BS47">
        <f t="shared" si="92"/>
        <v>0</v>
      </c>
      <c r="BT47" s="44">
        <f t="shared" si="55"/>
        <v>0</v>
      </c>
      <c r="BU47" s="42">
        <f t="shared" si="74"/>
        <v>4.780914437337574E-3</v>
      </c>
      <c r="BV47">
        <f t="shared" si="21"/>
        <v>4.3874999999999997E-2</v>
      </c>
      <c r="BW47" s="44">
        <f t="shared" si="75"/>
        <v>2.2499999999999999E-2</v>
      </c>
      <c r="BX47">
        <f t="shared" si="56"/>
        <v>0.20637455258311677</v>
      </c>
      <c r="BY47">
        <f t="shared" si="43"/>
        <v>1.9398870587886028</v>
      </c>
      <c r="BZ47">
        <f t="shared" si="93"/>
        <v>83.752886026164646</v>
      </c>
    </row>
    <row r="48" spans="17:78" x14ac:dyDescent="0.3">
      <c r="Q48">
        <v>41</v>
      </c>
      <c r="R48" s="42">
        <f t="shared" si="57"/>
        <v>10.25</v>
      </c>
      <c r="S48">
        <f t="shared" si="1"/>
        <v>50</v>
      </c>
      <c r="T48" s="44">
        <f t="shared" si="58"/>
        <v>0.20499999999999999</v>
      </c>
      <c r="U48" s="42">
        <f t="shared" si="59"/>
        <v>1</v>
      </c>
      <c r="V48">
        <f t="shared" si="60"/>
        <v>0.16941074346097415</v>
      </c>
      <c r="W48">
        <f t="shared" si="61"/>
        <v>0.24959849536583523</v>
      </c>
      <c r="X48">
        <f t="shared" si="23"/>
        <v>0.5809907611731906</v>
      </c>
      <c r="Y48" s="42">
        <f t="shared" si="76"/>
        <v>1.2100767390069582</v>
      </c>
      <c r="Z48">
        <f t="shared" si="62"/>
        <v>2.4201534780139164</v>
      </c>
      <c r="AA48">
        <f t="shared" si="25"/>
        <v>2.4201534780139164</v>
      </c>
      <c r="AB48" s="44">
        <f t="shared" si="63"/>
        <v>0.57511243132269529</v>
      </c>
      <c r="AC48" s="42">
        <v>0</v>
      </c>
      <c r="AD48">
        <f t="shared" si="64"/>
        <v>6.6150861732380386E-3</v>
      </c>
      <c r="AE48" s="44">
        <f t="shared" si="27"/>
        <v>6.6150861732380386E-3</v>
      </c>
      <c r="AF48" s="42">
        <f t="shared" si="65"/>
        <v>0.20500000000000002</v>
      </c>
      <c r="AG48" s="44">
        <f t="shared" si="66"/>
        <v>0.20500000000000002</v>
      </c>
      <c r="AH48" s="42">
        <f t="shared" si="67"/>
        <v>1.1245646494504666E-2</v>
      </c>
      <c r="AI48">
        <f t="shared" si="68"/>
        <v>0.43603452745903376</v>
      </c>
      <c r="AJ48" s="44">
        <f t="shared" si="45"/>
        <v>0.44728017395353842</v>
      </c>
      <c r="AK48" s="42">
        <f t="shared" si="69"/>
        <v>10.25</v>
      </c>
      <c r="AL48">
        <f t="shared" si="13"/>
        <v>150</v>
      </c>
      <c r="AM48" s="44">
        <f t="shared" si="28"/>
        <v>6.8333333333333329E-2</v>
      </c>
      <c r="AN48" s="42">
        <f t="shared" si="77"/>
        <v>2</v>
      </c>
      <c r="AO48">
        <f t="shared" si="78"/>
        <v>0.24959849536583525</v>
      </c>
      <c r="AP48">
        <f t="shared" si="79"/>
        <v>0.27377301787487746</v>
      </c>
      <c r="AQ48">
        <f t="shared" si="80"/>
        <v>0.54754603574975491</v>
      </c>
      <c r="AR48">
        <f t="shared" si="46"/>
        <v>0.54754603574975491</v>
      </c>
      <c r="AS48" s="44">
        <f t="shared" si="47"/>
        <v>0.15793594857036874</v>
      </c>
      <c r="AT48" s="42"/>
      <c r="AU48">
        <f t="shared" si="81"/>
        <v>2.4281111111111111E-6</v>
      </c>
      <c r="AV48" s="44">
        <f t="shared" si="48"/>
        <v>2.4281111111111111E-6</v>
      </c>
      <c r="AW48" s="42">
        <f t="shared" si="82"/>
        <v>0.92749999999999999</v>
      </c>
      <c r="AX48">
        <f t="shared" si="83"/>
        <v>9.566666666666665E-2</v>
      </c>
      <c r="AY48" s="44">
        <f t="shared" si="49"/>
        <v>1.0231666666666666</v>
      </c>
      <c r="AZ48" s="42">
        <f t="shared" si="70"/>
        <v>0</v>
      </c>
      <c r="BA48">
        <f t="shared" si="71"/>
        <v>0</v>
      </c>
      <c r="BB48">
        <f t="shared" si="50"/>
        <v>0</v>
      </c>
      <c r="BC48" s="44">
        <f t="shared" si="84"/>
        <v>0</v>
      </c>
      <c r="BD48" s="42">
        <v>0</v>
      </c>
      <c r="BE48">
        <f t="shared" si="85"/>
        <v>0</v>
      </c>
      <c r="BF48" s="44">
        <f t="shared" si="52"/>
        <v>0</v>
      </c>
      <c r="BG48" s="42">
        <f t="shared" si="86"/>
        <v>0</v>
      </c>
      <c r="BH48">
        <f t="shared" si="87"/>
        <v>0</v>
      </c>
      <c r="BI48" s="44">
        <f t="shared" si="88"/>
        <v>0</v>
      </c>
      <c r="BK48" s="42">
        <f t="shared" si="72"/>
        <v>0</v>
      </c>
      <c r="BL48">
        <f t="shared" si="18"/>
        <v>0</v>
      </c>
      <c r="BM48">
        <f t="shared" si="73"/>
        <v>0</v>
      </c>
      <c r="BN48" s="44">
        <f t="shared" si="89"/>
        <v>0</v>
      </c>
      <c r="BO48" s="42">
        <v>0</v>
      </c>
      <c r="BP48">
        <f t="shared" si="90"/>
        <v>0</v>
      </c>
      <c r="BQ48" s="44">
        <f t="shared" si="53"/>
        <v>0</v>
      </c>
      <c r="BR48" s="42">
        <f t="shared" si="91"/>
        <v>0</v>
      </c>
      <c r="BS48">
        <f t="shared" si="92"/>
        <v>0</v>
      </c>
      <c r="BT48" s="44">
        <f t="shared" si="55"/>
        <v>0</v>
      </c>
      <c r="BU48" s="42">
        <f t="shared" si="74"/>
        <v>4.9613146299285283E-3</v>
      </c>
      <c r="BV48">
        <f t="shared" si="21"/>
        <v>4.3874999999999997E-2</v>
      </c>
      <c r="BW48" s="44">
        <f t="shared" si="75"/>
        <v>2.2499999999999999E-2</v>
      </c>
      <c r="BX48">
        <f t="shared" si="56"/>
        <v>0.21161508617323804</v>
      </c>
      <c r="BY48">
        <f t="shared" si="43"/>
        <v>1.9584006695344829</v>
      </c>
      <c r="BZ48">
        <f t="shared" si="93"/>
        <v>83.958581287214926</v>
      </c>
    </row>
    <row r="49" spans="17:78" x14ac:dyDescent="0.3">
      <c r="Q49">
        <v>42</v>
      </c>
      <c r="R49" s="42">
        <f t="shared" si="57"/>
        <v>10.5</v>
      </c>
      <c r="S49">
        <f t="shared" si="1"/>
        <v>50</v>
      </c>
      <c r="T49" s="44">
        <f t="shared" si="58"/>
        <v>0.21</v>
      </c>
      <c r="U49" s="42">
        <f t="shared" si="59"/>
        <v>1</v>
      </c>
      <c r="V49">
        <f t="shared" si="60"/>
        <v>0.17146428199482247</v>
      </c>
      <c r="W49">
        <f t="shared" si="61"/>
        <v>0.25262404213903844</v>
      </c>
      <c r="X49">
        <f t="shared" si="23"/>
        <v>0.57591167586613912</v>
      </c>
      <c r="Y49" s="42">
        <f t="shared" si="76"/>
        <v>1.2247448713915889</v>
      </c>
      <c r="Z49">
        <f t="shared" si="62"/>
        <v>2.4494897427831783</v>
      </c>
      <c r="AA49">
        <f t="shared" si="25"/>
        <v>2.4494897427831779</v>
      </c>
      <c r="AB49" s="44">
        <f t="shared" si="63"/>
        <v>0.58560102799572078</v>
      </c>
      <c r="AC49" s="42">
        <v>0</v>
      </c>
      <c r="AD49">
        <f t="shared" si="64"/>
        <v>6.8585712797928989E-3</v>
      </c>
      <c r="AE49" s="44">
        <f t="shared" si="27"/>
        <v>6.8585712797928989E-3</v>
      </c>
      <c r="AF49" s="42">
        <f t="shared" si="65"/>
        <v>0.21</v>
      </c>
      <c r="AG49" s="44">
        <f t="shared" si="66"/>
        <v>0.21</v>
      </c>
      <c r="AH49" s="42">
        <f t="shared" si="67"/>
        <v>1.1659571175647929E-2</v>
      </c>
      <c r="AI49">
        <f t="shared" si="68"/>
        <v>0.4413199874359669</v>
      </c>
      <c r="AJ49" s="44">
        <f t="shared" si="45"/>
        <v>0.45297955861161482</v>
      </c>
      <c r="AK49" s="42">
        <f t="shared" si="69"/>
        <v>10.5</v>
      </c>
      <c r="AL49">
        <f t="shared" si="13"/>
        <v>150</v>
      </c>
      <c r="AM49" s="44">
        <f t="shared" si="28"/>
        <v>7.0000000000000007E-2</v>
      </c>
      <c r="AN49" s="42">
        <f t="shared" si="77"/>
        <v>1</v>
      </c>
      <c r="AO49">
        <f t="shared" si="78"/>
        <v>0.2526240421390385</v>
      </c>
      <c r="AP49">
        <f t="shared" si="79"/>
        <v>0.27709159986235044</v>
      </c>
      <c r="AQ49">
        <f t="shared" si="80"/>
        <v>0.55418319972470109</v>
      </c>
      <c r="AR49">
        <f t="shared" si="46"/>
        <v>0.55418319972470098</v>
      </c>
      <c r="AS49" s="44">
        <f t="shared" si="47"/>
        <v>0.16081630095801666</v>
      </c>
      <c r="AT49" s="42"/>
      <c r="AU49">
        <f t="shared" si="81"/>
        <v>2.5480000000000008E-6</v>
      </c>
      <c r="AV49" s="44">
        <f t="shared" si="48"/>
        <v>2.5480000000000008E-6</v>
      </c>
      <c r="AW49" s="42">
        <f t="shared" si="82"/>
        <v>0.92749999999999999</v>
      </c>
      <c r="AX49">
        <f t="shared" si="83"/>
        <v>9.8000000000000004E-2</v>
      </c>
      <c r="AY49" s="44">
        <f t="shared" si="49"/>
        <v>1.0255000000000001</v>
      </c>
      <c r="AZ49" s="42">
        <f t="shared" si="70"/>
        <v>0</v>
      </c>
      <c r="BA49">
        <f t="shared" si="71"/>
        <v>0</v>
      </c>
      <c r="BB49">
        <f t="shared" si="50"/>
        <v>0</v>
      </c>
      <c r="BC49" s="44">
        <f t="shared" si="84"/>
        <v>0</v>
      </c>
      <c r="BD49" s="42">
        <v>0</v>
      </c>
      <c r="BE49">
        <f t="shared" si="85"/>
        <v>0</v>
      </c>
      <c r="BF49" s="44">
        <f t="shared" si="52"/>
        <v>0</v>
      </c>
      <c r="BG49" s="42">
        <f t="shared" si="86"/>
        <v>0</v>
      </c>
      <c r="BH49">
        <f t="shared" si="87"/>
        <v>0</v>
      </c>
      <c r="BI49" s="44">
        <f t="shared" si="88"/>
        <v>0</v>
      </c>
      <c r="BK49" s="42">
        <f t="shared" si="72"/>
        <v>0</v>
      </c>
      <c r="BL49">
        <f t="shared" si="18"/>
        <v>0</v>
      </c>
      <c r="BM49">
        <f t="shared" si="73"/>
        <v>0</v>
      </c>
      <c r="BN49" s="44">
        <f t="shared" si="89"/>
        <v>0</v>
      </c>
      <c r="BO49" s="42">
        <v>0</v>
      </c>
      <c r="BP49">
        <f t="shared" si="90"/>
        <v>0</v>
      </c>
      <c r="BQ49" s="44">
        <f t="shared" si="53"/>
        <v>0</v>
      </c>
      <c r="BR49" s="42">
        <f t="shared" si="91"/>
        <v>0</v>
      </c>
      <c r="BS49">
        <f t="shared" si="92"/>
        <v>0</v>
      </c>
      <c r="BT49" s="44">
        <f t="shared" si="55"/>
        <v>0</v>
      </c>
      <c r="BU49" s="42">
        <f t="shared" si="74"/>
        <v>5.1439284598446744E-3</v>
      </c>
      <c r="BV49">
        <f t="shared" si="21"/>
        <v>4.3874999999999997E-2</v>
      </c>
      <c r="BW49" s="44">
        <f t="shared" si="75"/>
        <v>2.2499999999999999E-2</v>
      </c>
      <c r="BX49">
        <f t="shared" si="56"/>
        <v>0.21685857127979288</v>
      </c>
      <c r="BY49">
        <f t="shared" si="43"/>
        <v>1.9768596063512525</v>
      </c>
      <c r="BZ49">
        <f t="shared" si="93"/>
        <v>84.155791852102368</v>
      </c>
    </row>
    <row r="50" spans="17:78" x14ac:dyDescent="0.3">
      <c r="Q50">
        <v>43</v>
      </c>
      <c r="R50" s="42">
        <f t="shared" si="57"/>
        <v>10.75</v>
      </c>
      <c r="S50">
        <f t="shared" si="1"/>
        <v>50</v>
      </c>
      <c r="T50" s="44">
        <f t="shared" si="58"/>
        <v>0.215</v>
      </c>
      <c r="U50" s="42">
        <f t="shared" si="59"/>
        <v>1</v>
      </c>
      <c r="V50">
        <f t="shared" si="60"/>
        <v>0.17349351572897473</v>
      </c>
      <c r="W50">
        <f t="shared" si="61"/>
        <v>0.25561377984068945</v>
      </c>
      <c r="X50">
        <f t="shared" si="23"/>
        <v>0.5708927044303358</v>
      </c>
      <c r="Y50" s="42">
        <f t="shared" si="76"/>
        <v>1.2392393980641052</v>
      </c>
      <c r="Z50">
        <f t="shared" si="62"/>
        <v>2.4784787961282104</v>
      </c>
      <c r="AA50">
        <f t="shared" si="25"/>
        <v>2.4784787961282104</v>
      </c>
      <c r="AB50" s="44">
        <f t="shared" si="63"/>
        <v>0.59602737138913642</v>
      </c>
      <c r="AC50" s="42">
        <v>0</v>
      </c>
      <c r="AD50">
        <f t="shared" si="64"/>
        <v>7.1049725489008711E-3</v>
      </c>
      <c r="AE50" s="44">
        <f t="shared" si="27"/>
        <v>7.1049725489008711E-3</v>
      </c>
      <c r="AF50" s="42">
        <f t="shared" si="65"/>
        <v>0.215</v>
      </c>
      <c r="AG50" s="44">
        <f t="shared" si="66"/>
        <v>0.215</v>
      </c>
      <c r="AH50" s="42">
        <f t="shared" si="67"/>
        <v>1.2078453333131482E-2</v>
      </c>
      <c r="AI50">
        <f t="shared" si="68"/>
        <v>0.44654289097973682</v>
      </c>
      <c r="AJ50" s="44">
        <f t="shared" si="45"/>
        <v>0.45862134431286827</v>
      </c>
      <c r="AK50" s="42">
        <f t="shared" si="69"/>
        <v>10.75</v>
      </c>
      <c r="AL50">
        <f t="shared" si="13"/>
        <v>150</v>
      </c>
      <c r="AM50" s="44">
        <f t="shared" si="28"/>
        <v>7.166666666666667E-2</v>
      </c>
      <c r="AN50" s="42">
        <f t="shared" si="77"/>
        <v>2</v>
      </c>
      <c r="AO50">
        <f t="shared" si="78"/>
        <v>0.25561377984068939</v>
      </c>
      <c r="AP50">
        <f t="shared" si="79"/>
        <v>0.28037090453939034</v>
      </c>
      <c r="AQ50">
        <f t="shared" si="80"/>
        <v>0.56074180907878057</v>
      </c>
      <c r="AR50">
        <f t="shared" si="46"/>
        <v>0.56074180907878057</v>
      </c>
      <c r="AS50" s="44">
        <f t="shared" si="47"/>
        <v>0.16367955750451874</v>
      </c>
      <c r="AT50" s="42"/>
      <c r="AU50">
        <f t="shared" si="81"/>
        <v>2.6707777777777783E-6</v>
      </c>
      <c r="AV50" s="44">
        <f t="shared" si="48"/>
        <v>2.6707777777777783E-6</v>
      </c>
      <c r="AW50" s="42">
        <f t="shared" si="82"/>
        <v>0.92749999999999999</v>
      </c>
      <c r="AX50">
        <f t="shared" si="83"/>
        <v>0.10033333333333333</v>
      </c>
      <c r="AY50" s="44">
        <f t="shared" si="49"/>
        <v>1.0278333333333334</v>
      </c>
      <c r="AZ50" s="42">
        <f t="shared" si="70"/>
        <v>0</v>
      </c>
      <c r="BA50">
        <f t="shared" si="71"/>
        <v>0</v>
      </c>
      <c r="BB50">
        <f t="shared" si="50"/>
        <v>0</v>
      </c>
      <c r="BC50" s="44">
        <f t="shared" si="84"/>
        <v>0</v>
      </c>
      <c r="BD50" s="42">
        <v>0</v>
      </c>
      <c r="BE50">
        <f t="shared" si="85"/>
        <v>0</v>
      </c>
      <c r="BF50" s="44">
        <f t="shared" si="52"/>
        <v>0</v>
      </c>
      <c r="BG50" s="42">
        <f t="shared" si="86"/>
        <v>0</v>
      </c>
      <c r="BH50">
        <f t="shared" si="87"/>
        <v>0</v>
      </c>
      <c r="BI50" s="44">
        <f t="shared" si="88"/>
        <v>0</v>
      </c>
      <c r="BK50" s="42">
        <f t="shared" si="72"/>
        <v>0</v>
      </c>
      <c r="BL50">
        <f t="shared" si="18"/>
        <v>0</v>
      </c>
      <c r="BM50">
        <f t="shared" si="73"/>
        <v>0</v>
      </c>
      <c r="BN50" s="44">
        <f t="shared" si="89"/>
        <v>0</v>
      </c>
      <c r="BO50" s="42">
        <v>0</v>
      </c>
      <c r="BP50">
        <f t="shared" si="90"/>
        <v>0</v>
      </c>
      <c r="BQ50" s="44">
        <f t="shared" si="53"/>
        <v>0</v>
      </c>
      <c r="BR50" s="42">
        <f t="shared" si="91"/>
        <v>0</v>
      </c>
      <c r="BS50">
        <f t="shared" si="92"/>
        <v>0</v>
      </c>
      <c r="BT50" s="44">
        <f t="shared" si="55"/>
        <v>0</v>
      </c>
      <c r="BU50" s="42">
        <f t="shared" si="74"/>
        <v>5.3287294116756527E-3</v>
      </c>
      <c r="BV50">
        <f t="shared" si="21"/>
        <v>4.3874999999999997E-2</v>
      </c>
      <c r="BW50" s="44">
        <f t="shared" si="75"/>
        <v>2.2499999999999999E-2</v>
      </c>
      <c r="BX50">
        <f t="shared" si="56"/>
        <v>0.22210497254890088</v>
      </c>
      <c r="BY50">
        <f t="shared" si="43"/>
        <v>1.9952660503845561</v>
      </c>
      <c r="BZ50">
        <f t="shared" si="93"/>
        <v>84.345041974825193</v>
      </c>
    </row>
    <row r="51" spans="17:78" x14ac:dyDescent="0.3">
      <c r="Q51">
        <v>44</v>
      </c>
      <c r="R51" s="42">
        <f t="shared" si="57"/>
        <v>11</v>
      </c>
      <c r="S51">
        <f t="shared" si="1"/>
        <v>50</v>
      </c>
      <c r="T51" s="44">
        <f t="shared" si="58"/>
        <v>0.22</v>
      </c>
      <c r="U51" s="42">
        <f t="shared" si="59"/>
        <v>1</v>
      </c>
      <c r="V51">
        <f t="shared" si="60"/>
        <v>0.17549928774784243</v>
      </c>
      <c r="W51">
        <f t="shared" si="61"/>
        <v>0.2585689506151545</v>
      </c>
      <c r="X51">
        <f t="shared" si="23"/>
        <v>0.56593176163700309</v>
      </c>
      <c r="Y51" s="42">
        <f t="shared" si="76"/>
        <v>1.2535663410560176</v>
      </c>
      <c r="Z51">
        <f t="shared" si="62"/>
        <v>2.5071326821120343</v>
      </c>
      <c r="AA51">
        <f t="shared" si="25"/>
        <v>2.5071326821120348</v>
      </c>
      <c r="AB51" s="44">
        <f t="shared" si="63"/>
        <v>0.60639326626903745</v>
      </c>
      <c r="AC51" s="42">
        <v>0</v>
      </c>
      <c r="AD51">
        <f t="shared" si="64"/>
        <v>7.3542558675286354E-3</v>
      </c>
      <c r="AE51" s="44">
        <f t="shared" si="27"/>
        <v>7.3542558675286354E-3</v>
      </c>
      <c r="AF51" s="42">
        <f t="shared" si="65"/>
        <v>0.22</v>
      </c>
      <c r="AG51" s="44">
        <f t="shared" si="66"/>
        <v>0.22</v>
      </c>
      <c r="AH51" s="42">
        <f t="shared" si="67"/>
        <v>1.250223497479868E-2</v>
      </c>
      <c r="AI51">
        <f t="shared" si="68"/>
        <v>0.45170540804666071</v>
      </c>
      <c r="AJ51" s="44">
        <f t="shared" si="45"/>
        <v>0.46420764302145939</v>
      </c>
      <c r="AK51" s="42">
        <f t="shared" si="69"/>
        <v>11</v>
      </c>
      <c r="AL51">
        <f t="shared" si="13"/>
        <v>150</v>
      </c>
      <c r="AM51" s="44">
        <f t="shared" si="28"/>
        <v>7.3333333333333334E-2</v>
      </c>
      <c r="AN51" s="42">
        <f t="shared" si="77"/>
        <v>2</v>
      </c>
      <c r="AO51">
        <f t="shared" si="78"/>
        <v>0.25856895061515445</v>
      </c>
      <c r="AP51">
        <f t="shared" si="79"/>
        <v>0.2836122943565651</v>
      </c>
      <c r="AQ51">
        <f t="shared" si="80"/>
        <v>0.56722458871312997</v>
      </c>
      <c r="AR51">
        <f t="shared" si="46"/>
        <v>0.56722458871313008</v>
      </c>
      <c r="AS51" s="44">
        <f t="shared" si="47"/>
        <v>0.16652621383026134</v>
      </c>
      <c r="AT51" s="42"/>
      <c r="AU51">
        <f t="shared" si="81"/>
        <v>2.7964444444444449E-6</v>
      </c>
      <c r="AV51" s="44">
        <f t="shared" si="48"/>
        <v>2.7964444444444449E-6</v>
      </c>
      <c r="AW51" s="42">
        <f t="shared" si="82"/>
        <v>0.92749999999999999</v>
      </c>
      <c r="AX51">
        <f t="shared" si="83"/>
        <v>0.10266666666666666</v>
      </c>
      <c r="AY51" s="44">
        <f t="shared" si="49"/>
        <v>1.0301666666666667</v>
      </c>
      <c r="AZ51" s="42">
        <f t="shared" si="70"/>
        <v>0</v>
      </c>
      <c r="BA51">
        <f t="shared" si="71"/>
        <v>0</v>
      </c>
      <c r="BB51">
        <f t="shared" si="50"/>
        <v>0</v>
      </c>
      <c r="BC51" s="44">
        <f t="shared" si="84"/>
        <v>0</v>
      </c>
      <c r="BD51" s="42">
        <v>0</v>
      </c>
      <c r="BE51">
        <f t="shared" si="85"/>
        <v>0</v>
      </c>
      <c r="BF51" s="44">
        <f t="shared" si="52"/>
        <v>0</v>
      </c>
      <c r="BG51" s="42">
        <f t="shared" si="86"/>
        <v>0</v>
      </c>
      <c r="BH51">
        <f t="shared" si="87"/>
        <v>0</v>
      </c>
      <c r="BI51" s="44">
        <f t="shared" si="88"/>
        <v>0</v>
      </c>
      <c r="BK51" s="42">
        <f t="shared" si="72"/>
        <v>0</v>
      </c>
      <c r="BL51">
        <f t="shared" si="18"/>
        <v>0</v>
      </c>
      <c r="BM51">
        <f t="shared" si="73"/>
        <v>0</v>
      </c>
      <c r="BN51" s="44">
        <f t="shared" si="89"/>
        <v>0</v>
      </c>
      <c r="BO51" s="42">
        <v>0</v>
      </c>
      <c r="BP51">
        <f t="shared" si="90"/>
        <v>0</v>
      </c>
      <c r="BQ51" s="44">
        <f t="shared" si="53"/>
        <v>0</v>
      </c>
      <c r="BR51" s="42">
        <f t="shared" si="91"/>
        <v>0</v>
      </c>
      <c r="BS51">
        <f t="shared" si="92"/>
        <v>0</v>
      </c>
      <c r="BT51" s="44">
        <f t="shared" si="55"/>
        <v>0</v>
      </c>
      <c r="BU51" s="42">
        <f t="shared" si="74"/>
        <v>5.5156919006464763E-3</v>
      </c>
      <c r="BV51">
        <f t="shared" si="21"/>
        <v>4.3874999999999997E-2</v>
      </c>
      <c r="BW51" s="44">
        <f t="shared" si="75"/>
        <v>2.2499999999999999E-2</v>
      </c>
      <c r="BX51">
        <f t="shared" si="56"/>
        <v>0.22735425586752864</v>
      </c>
      <c r="BY51">
        <f t="shared" si="43"/>
        <v>2.0136220539007459</v>
      </c>
      <c r="BZ51">
        <f t="shared" si="93"/>
        <v>84.526813168842736</v>
      </c>
    </row>
    <row r="52" spans="17:78" x14ac:dyDescent="0.3">
      <c r="Q52">
        <v>45</v>
      </c>
      <c r="R52" s="42">
        <f t="shared" si="57"/>
        <v>11.25</v>
      </c>
      <c r="S52">
        <f t="shared" si="1"/>
        <v>50</v>
      </c>
      <c r="T52" s="44">
        <f t="shared" si="58"/>
        <v>0.22500000000000001</v>
      </c>
      <c r="U52" s="42">
        <f t="shared" si="59"/>
        <v>1</v>
      </c>
      <c r="V52">
        <f t="shared" si="60"/>
        <v>0.17748239349298847</v>
      </c>
      <c r="W52">
        <f t="shared" si="61"/>
        <v>0.26149072641300303</v>
      </c>
      <c r="X52">
        <f t="shared" si="23"/>
        <v>0.56102688009400858</v>
      </c>
      <c r="Y52" s="42">
        <f t="shared" si="76"/>
        <v>1.2677313820927751</v>
      </c>
      <c r="Z52">
        <f t="shared" si="62"/>
        <v>2.5354627641855494</v>
      </c>
      <c r="AA52">
        <f t="shared" si="25"/>
        <v>2.5354627641855498</v>
      </c>
      <c r="AB52" s="44">
        <f t="shared" si="63"/>
        <v>0.61670042535077962</v>
      </c>
      <c r="AC52" s="42">
        <v>0</v>
      </c>
      <c r="AD52">
        <f t="shared" si="64"/>
        <v>7.6063882925566512E-3</v>
      </c>
      <c r="AE52" s="44">
        <f t="shared" si="27"/>
        <v>7.6063882925566512E-3</v>
      </c>
      <c r="AF52" s="42">
        <f t="shared" si="65"/>
        <v>0.22500000000000001</v>
      </c>
      <c r="AG52" s="44">
        <f t="shared" si="66"/>
        <v>0.22500000000000001</v>
      </c>
      <c r="AH52" s="42">
        <f t="shared" si="67"/>
        <v>1.2930860097346307E-2</v>
      </c>
      <c r="AI52">
        <f t="shared" si="68"/>
        <v>0.45680958596844201</v>
      </c>
      <c r="AJ52" s="44">
        <f t="shared" si="45"/>
        <v>0.4697404460657883</v>
      </c>
      <c r="AK52" s="42">
        <f t="shared" si="69"/>
        <v>11.25</v>
      </c>
      <c r="AL52">
        <f t="shared" si="13"/>
        <v>150</v>
      </c>
      <c r="AM52" s="44">
        <f t="shared" si="28"/>
        <v>7.4999999999999997E-2</v>
      </c>
      <c r="AN52" s="42">
        <f t="shared" si="77"/>
        <v>2</v>
      </c>
      <c r="AO52">
        <f t="shared" si="78"/>
        <v>0.26149072641300292</v>
      </c>
      <c r="AP52">
        <f t="shared" si="79"/>
        <v>0.2868170547721211</v>
      </c>
      <c r="AQ52">
        <f t="shared" si="80"/>
        <v>0.57363410954424188</v>
      </c>
      <c r="AR52">
        <f t="shared" si="46"/>
        <v>0.5736341095442421</v>
      </c>
      <c r="AS52" s="44">
        <f t="shared" si="47"/>
        <v>0.16935674027688449</v>
      </c>
      <c r="AT52" s="42"/>
      <c r="AU52">
        <f t="shared" si="81"/>
        <v>2.9250000000000004E-6</v>
      </c>
      <c r="AV52" s="44">
        <f t="shared" si="48"/>
        <v>2.9250000000000004E-6</v>
      </c>
      <c r="AW52" s="42">
        <f t="shared" si="82"/>
        <v>0.92749999999999999</v>
      </c>
      <c r="AX52">
        <f t="shared" si="83"/>
        <v>0.105</v>
      </c>
      <c r="AY52" s="44">
        <f t="shared" si="49"/>
        <v>1.0325</v>
      </c>
      <c r="AZ52" s="42">
        <f t="shared" si="70"/>
        <v>0</v>
      </c>
      <c r="BA52">
        <f t="shared" si="71"/>
        <v>0</v>
      </c>
      <c r="BB52">
        <f t="shared" si="50"/>
        <v>0</v>
      </c>
      <c r="BC52" s="44">
        <f t="shared" si="84"/>
        <v>0</v>
      </c>
      <c r="BD52" s="42">
        <v>0</v>
      </c>
      <c r="BE52">
        <f t="shared" si="85"/>
        <v>0</v>
      </c>
      <c r="BF52" s="44">
        <f t="shared" si="52"/>
        <v>0</v>
      </c>
      <c r="BG52" s="42">
        <f t="shared" si="86"/>
        <v>0</v>
      </c>
      <c r="BH52">
        <f t="shared" si="87"/>
        <v>0</v>
      </c>
      <c r="BI52" s="44">
        <f t="shared" si="88"/>
        <v>0</v>
      </c>
      <c r="BK52" s="42">
        <f t="shared" si="72"/>
        <v>0</v>
      </c>
      <c r="BL52">
        <f t="shared" si="18"/>
        <v>0</v>
      </c>
      <c r="BM52">
        <f t="shared" si="73"/>
        <v>0</v>
      </c>
      <c r="BN52" s="44">
        <f t="shared" si="89"/>
        <v>0</v>
      </c>
      <c r="BO52" s="42">
        <v>0</v>
      </c>
      <c r="BP52">
        <f t="shared" si="90"/>
        <v>0</v>
      </c>
      <c r="BQ52" s="44">
        <f t="shared" si="53"/>
        <v>0</v>
      </c>
      <c r="BR52" s="42">
        <f t="shared" si="91"/>
        <v>0</v>
      </c>
      <c r="BS52">
        <f t="shared" si="92"/>
        <v>0</v>
      </c>
      <c r="BT52" s="44">
        <f t="shared" si="55"/>
        <v>0</v>
      </c>
      <c r="BU52" s="42">
        <f t="shared" si="74"/>
        <v>5.7047912194174875E-3</v>
      </c>
      <c r="BV52">
        <f t="shared" si="21"/>
        <v>4.3874999999999997E-2</v>
      </c>
      <c r="BW52" s="44">
        <f t="shared" si="75"/>
        <v>2.2499999999999999E-2</v>
      </c>
      <c r="BX52">
        <f t="shared" si="56"/>
        <v>0.23260638829255664</v>
      </c>
      <c r="BY52">
        <f t="shared" si="43"/>
        <v>2.0319295505777624</v>
      </c>
      <c r="BZ52">
        <f t="shared" si="93"/>
        <v>84.701548499861048</v>
      </c>
    </row>
    <row r="53" spans="17:78" x14ac:dyDescent="0.3">
      <c r="Q53">
        <v>46</v>
      </c>
      <c r="R53" s="42">
        <f t="shared" si="57"/>
        <v>11.5</v>
      </c>
      <c r="S53">
        <f t="shared" si="1"/>
        <v>50</v>
      </c>
      <c r="T53" s="44">
        <f t="shared" si="58"/>
        <v>0.23</v>
      </c>
      <c r="U53" s="42">
        <f t="shared" si="59"/>
        <v>1</v>
      </c>
      <c r="V53">
        <f t="shared" si="60"/>
        <v>0.17944358444926362</v>
      </c>
      <c r="W53">
        <f t="shared" si="61"/>
        <v>0.26438021442191506</v>
      </c>
      <c r="X53">
        <f t="shared" si="23"/>
        <v>0.55617620112882127</v>
      </c>
      <c r="Y53" s="42">
        <f t="shared" si="76"/>
        <v>1.2817398889233114</v>
      </c>
      <c r="Z53">
        <f t="shared" si="62"/>
        <v>2.5634797778466232</v>
      </c>
      <c r="AA53">
        <f t="shared" si="25"/>
        <v>2.5634797778466227</v>
      </c>
      <c r="AB53" s="44">
        <f t="shared" si="63"/>
        <v>0.62695047593076714</v>
      </c>
      <c r="AC53" s="42">
        <v>0</v>
      </c>
      <c r="AD53">
        <f t="shared" si="64"/>
        <v>7.8613379853963092E-3</v>
      </c>
      <c r="AE53" s="44">
        <f t="shared" si="27"/>
        <v>7.8613379853963092E-3</v>
      </c>
      <c r="AF53" s="42">
        <f t="shared" si="65"/>
        <v>0.23</v>
      </c>
      <c r="AG53" s="44">
        <f t="shared" si="66"/>
        <v>0.23</v>
      </c>
      <c r="AH53" s="42">
        <f t="shared" si="67"/>
        <v>1.3364274575173725E-2</v>
      </c>
      <c r="AI53">
        <f t="shared" si="68"/>
        <v>0.46185735893966046</v>
      </c>
      <c r="AJ53" s="44">
        <f t="shared" si="45"/>
        <v>0.47522163351483421</v>
      </c>
      <c r="AK53" s="42">
        <f t="shared" si="69"/>
        <v>11.5</v>
      </c>
      <c r="AL53">
        <f t="shared" si="13"/>
        <v>150</v>
      </c>
      <c r="AM53" s="44">
        <f t="shared" si="28"/>
        <v>7.6666666666666661E-2</v>
      </c>
      <c r="AN53" s="42">
        <f t="shared" si="77"/>
        <v>2</v>
      </c>
      <c r="AO53">
        <f t="shared" si="78"/>
        <v>0.26438021442191506</v>
      </c>
      <c r="AP53">
        <f t="shared" si="79"/>
        <v>0.28998640020889399</v>
      </c>
      <c r="AQ53">
        <f t="shared" si="80"/>
        <v>0.57997280041778809</v>
      </c>
      <c r="AR53">
        <f t="shared" si="46"/>
        <v>0.57997280041778798</v>
      </c>
      <c r="AS53" s="44">
        <f t="shared" si="47"/>
        <v>0.17217158372848815</v>
      </c>
      <c r="AT53" s="42"/>
      <c r="AU53">
        <f t="shared" si="81"/>
        <v>3.0564444444444445E-6</v>
      </c>
      <c r="AV53" s="44">
        <f t="shared" si="48"/>
        <v>3.0564444444444445E-6</v>
      </c>
      <c r="AW53" s="42">
        <f t="shared" si="82"/>
        <v>0.92749999999999999</v>
      </c>
      <c r="AX53">
        <f t="shared" si="83"/>
        <v>0.10733333333333332</v>
      </c>
      <c r="AY53" s="44">
        <f t="shared" si="49"/>
        <v>1.0348333333333333</v>
      </c>
      <c r="AZ53" s="42">
        <f t="shared" si="70"/>
        <v>0</v>
      </c>
      <c r="BA53">
        <f t="shared" si="71"/>
        <v>0</v>
      </c>
      <c r="BB53">
        <f t="shared" si="50"/>
        <v>0</v>
      </c>
      <c r="BC53" s="44">
        <f t="shared" si="84"/>
        <v>0</v>
      </c>
      <c r="BD53" s="42">
        <v>0</v>
      </c>
      <c r="BE53">
        <f t="shared" si="85"/>
        <v>0</v>
      </c>
      <c r="BF53" s="44">
        <f t="shared" si="52"/>
        <v>0</v>
      </c>
      <c r="BG53" s="42">
        <f t="shared" si="86"/>
        <v>0</v>
      </c>
      <c r="BH53">
        <f t="shared" si="87"/>
        <v>0</v>
      </c>
      <c r="BI53" s="44">
        <f t="shared" si="88"/>
        <v>0</v>
      </c>
      <c r="BK53" s="42">
        <f t="shared" si="72"/>
        <v>0</v>
      </c>
      <c r="BL53">
        <f t="shared" si="18"/>
        <v>0</v>
      </c>
      <c r="BM53">
        <f t="shared" si="73"/>
        <v>0</v>
      </c>
      <c r="BN53" s="44">
        <f t="shared" si="89"/>
        <v>0</v>
      </c>
      <c r="BO53" s="42">
        <v>0</v>
      </c>
      <c r="BP53">
        <f t="shared" si="90"/>
        <v>0</v>
      </c>
      <c r="BQ53" s="44">
        <f t="shared" si="53"/>
        <v>0</v>
      </c>
      <c r="BR53" s="42">
        <f t="shared" si="91"/>
        <v>0</v>
      </c>
      <c r="BS53">
        <f t="shared" si="92"/>
        <v>0</v>
      </c>
      <c r="BT53" s="44">
        <f t="shared" si="55"/>
        <v>0</v>
      </c>
      <c r="BU53" s="42">
        <f t="shared" si="74"/>
        <v>5.896003489047231E-3</v>
      </c>
      <c r="BV53">
        <f t="shared" si="21"/>
        <v>4.3874999999999997E-2</v>
      </c>
      <c r="BW53" s="44">
        <f t="shared" si="75"/>
        <v>2.2499999999999999E-2</v>
      </c>
      <c r="BX53">
        <f t="shared" si="56"/>
        <v>0.23786133798539633</v>
      </c>
      <c r="BY53">
        <f t="shared" si="43"/>
        <v>2.0501903647670554</v>
      </c>
      <c r="BZ53">
        <f t="shared" si="93"/>
        <v>84.869656369567167</v>
      </c>
    </row>
    <row r="54" spans="17:78" x14ac:dyDescent="0.3">
      <c r="Q54">
        <v>47</v>
      </c>
      <c r="R54" s="42">
        <f t="shared" si="57"/>
        <v>11.75</v>
      </c>
      <c r="S54">
        <f t="shared" si="1"/>
        <v>50</v>
      </c>
      <c r="T54" s="44">
        <f t="shared" si="58"/>
        <v>0.23499999999999999</v>
      </c>
      <c r="U54" s="42">
        <f t="shared" si="59"/>
        <v>1</v>
      </c>
      <c r="V54">
        <f t="shared" si="60"/>
        <v>0.18138357147217055</v>
      </c>
      <c r="W54">
        <f t="shared" si="61"/>
        <v>0.26723846196899798</v>
      </c>
      <c r="X54">
        <f t="shared" si="23"/>
        <v>0.55137796655883142</v>
      </c>
      <c r="Y54" s="42">
        <f t="shared" si="76"/>
        <v>1.2955969390869324</v>
      </c>
      <c r="Z54">
        <f t="shared" si="62"/>
        <v>2.5911938781738648</v>
      </c>
      <c r="AA54">
        <f t="shared" si="25"/>
        <v>2.5911938781738648</v>
      </c>
      <c r="AB54" s="44">
        <f t="shared" si="63"/>
        <v>0.63714496590695291</v>
      </c>
      <c r="AC54" s="42">
        <v>0</v>
      </c>
      <c r="AD54">
        <f t="shared" si="64"/>
        <v>8.1190741516114443E-3</v>
      </c>
      <c r="AE54" s="44">
        <f t="shared" si="27"/>
        <v>8.1190741516114443E-3</v>
      </c>
      <c r="AF54" s="42">
        <f t="shared" si="65"/>
        <v>0.23500000000000001</v>
      </c>
      <c r="AG54" s="44">
        <f t="shared" si="66"/>
        <v>0.23500000000000001</v>
      </c>
      <c r="AH54" s="42">
        <f t="shared" si="67"/>
        <v>1.3802426057739455E-2</v>
      </c>
      <c r="AI54">
        <f t="shared" si="68"/>
        <v>0.46685055658184393</v>
      </c>
      <c r="AJ54" s="44">
        <f t="shared" si="45"/>
        <v>0.48065298263958339</v>
      </c>
      <c r="AK54" s="42">
        <f t="shared" si="69"/>
        <v>11.75</v>
      </c>
      <c r="AL54">
        <f t="shared" si="13"/>
        <v>150</v>
      </c>
      <c r="AM54" s="44">
        <f t="shared" si="28"/>
        <v>7.8333333333333338E-2</v>
      </c>
      <c r="AN54" s="42">
        <f t="shared" si="77"/>
        <v>2</v>
      </c>
      <c r="AO54">
        <f t="shared" si="78"/>
        <v>0.26723846196899798</v>
      </c>
      <c r="AP54">
        <f t="shared" si="79"/>
        <v>0.29312147943143263</v>
      </c>
      <c r="AQ54">
        <f t="shared" si="80"/>
        <v>0.58624295886286559</v>
      </c>
      <c r="AR54">
        <f t="shared" si="46"/>
        <v>0.58624295886286548</v>
      </c>
      <c r="AS54" s="44">
        <f t="shared" si="47"/>
        <v>0.17497116926496678</v>
      </c>
      <c r="AT54" s="42"/>
      <c r="AU54">
        <f t="shared" si="81"/>
        <v>3.1907777777777789E-6</v>
      </c>
      <c r="AV54" s="44">
        <f t="shared" si="48"/>
        <v>3.1907777777777789E-6</v>
      </c>
      <c r="AW54" s="42">
        <f t="shared" si="82"/>
        <v>0.92749999999999999</v>
      </c>
      <c r="AX54">
        <f t="shared" si="83"/>
        <v>0.10966666666666666</v>
      </c>
      <c r="AY54" s="44">
        <f t="shared" si="49"/>
        <v>1.0371666666666666</v>
      </c>
      <c r="AZ54" s="42">
        <f t="shared" si="70"/>
        <v>0</v>
      </c>
      <c r="BA54">
        <f t="shared" si="71"/>
        <v>0</v>
      </c>
      <c r="BB54">
        <f t="shared" si="50"/>
        <v>0</v>
      </c>
      <c r="BC54" s="44">
        <f t="shared" si="84"/>
        <v>0</v>
      </c>
      <c r="BD54" s="42">
        <v>0</v>
      </c>
      <c r="BE54">
        <f t="shared" si="85"/>
        <v>0</v>
      </c>
      <c r="BF54" s="44">
        <f t="shared" si="52"/>
        <v>0</v>
      </c>
      <c r="BG54" s="42">
        <f t="shared" si="86"/>
        <v>0</v>
      </c>
      <c r="BH54">
        <f t="shared" si="87"/>
        <v>0</v>
      </c>
      <c r="BI54" s="44">
        <f t="shared" si="88"/>
        <v>0</v>
      </c>
      <c r="BK54" s="42">
        <f t="shared" si="72"/>
        <v>0</v>
      </c>
      <c r="BL54">
        <f t="shared" si="18"/>
        <v>0</v>
      </c>
      <c r="BM54">
        <f t="shared" si="73"/>
        <v>0</v>
      </c>
      <c r="BN54" s="44">
        <f t="shared" si="89"/>
        <v>0</v>
      </c>
      <c r="BO54" s="42">
        <v>0</v>
      </c>
      <c r="BP54">
        <f t="shared" si="90"/>
        <v>0</v>
      </c>
      <c r="BQ54" s="44">
        <f t="shared" si="53"/>
        <v>0</v>
      </c>
      <c r="BR54" s="42">
        <f t="shared" si="91"/>
        <v>0</v>
      </c>
      <c r="BS54">
        <f t="shared" si="92"/>
        <v>0</v>
      </c>
      <c r="BT54" s="44">
        <f t="shared" si="55"/>
        <v>0</v>
      </c>
      <c r="BU54" s="42">
        <f t="shared" si="74"/>
        <v>6.0893056137085828E-3</v>
      </c>
      <c r="BV54">
        <f t="shared" si="21"/>
        <v>4.3874999999999997E-2</v>
      </c>
      <c r="BW54" s="44">
        <f t="shared" si="75"/>
        <v>2.2499999999999999E-2</v>
      </c>
      <c r="BX54">
        <f t="shared" si="56"/>
        <v>0.24311907415161146</v>
      </c>
      <c r="BY54">
        <f t="shared" si="43"/>
        <v>2.068406219849348</v>
      </c>
      <c r="BZ54">
        <f t="shared" si="93"/>
        <v>85.03151385954915</v>
      </c>
    </row>
    <row r="55" spans="17:78" x14ac:dyDescent="0.3">
      <c r="Q55">
        <v>48</v>
      </c>
      <c r="R55" s="42">
        <f t="shared" si="57"/>
        <v>12</v>
      </c>
      <c r="S55">
        <f t="shared" si="1"/>
        <v>50</v>
      </c>
      <c r="T55" s="44">
        <f t="shared" si="58"/>
        <v>0.24</v>
      </c>
      <c r="U55" s="42">
        <f t="shared" si="59"/>
        <v>1</v>
      </c>
      <c r="V55">
        <f t="shared" si="60"/>
        <v>0.1833030277982336</v>
      </c>
      <c r="W55">
        <f t="shared" si="61"/>
        <v>0.27006646095606418</v>
      </c>
      <c r="X55">
        <f t="shared" si="23"/>
        <v>0.54663051124570217</v>
      </c>
      <c r="Y55" s="42">
        <f t="shared" si="76"/>
        <v>1.3093073414159544</v>
      </c>
      <c r="Z55">
        <f t="shared" si="62"/>
        <v>2.6186146828319083</v>
      </c>
      <c r="AA55">
        <f t="shared" si="25"/>
        <v>2.6186146828319083</v>
      </c>
      <c r="AB55" s="44">
        <f t="shared" si="63"/>
        <v>0.64728536925617686</v>
      </c>
      <c r="AC55" s="42">
        <v>0</v>
      </c>
      <c r="AD55">
        <f t="shared" si="64"/>
        <v>8.3795669850621046E-3</v>
      </c>
      <c r="AE55" s="44">
        <f t="shared" si="27"/>
        <v>8.3795669850621046E-3</v>
      </c>
      <c r="AF55" s="42">
        <f t="shared" si="65"/>
        <v>0.24</v>
      </c>
      <c r="AG55" s="44">
        <f t="shared" si="66"/>
        <v>0.24</v>
      </c>
      <c r="AH55" s="42">
        <f t="shared" si="67"/>
        <v>1.4245263874605578E-2</v>
      </c>
      <c r="AI55">
        <f t="shared" si="68"/>
        <v>0.47179091169164816</v>
      </c>
      <c r="AJ55" s="44">
        <f t="shared" si="45"/>
        <v>0.48603617556625373</v>
      </c>
      <c r="AK55" s="42">
        <f t="shared" si="69"/>
        <v>12</v>
      </c>
      <c r="AL55">
        <f t="shared" si="13"/>
        <v>150</v>
      </c>
      <c r="AM55" s="44">
        <f t="shared" si="28"/>
        <v>0.08</v>
      </c>
      <c r="AN55" s="42">
        <f t="shared" si="77"/>
        <v>2</v>
      </c>
      <c r="AO55">
        <f t="shared" si="78"/>
        <v>0.27006646095606418</v>
      </c>
      <c r="AP55">
        <f t="shared" si="79"/>
        <v>0.29622338041084939</v>
      </c>
      <c r="AQ55">
        <f t="shared" si="80"/>
        <v>0.59244676082169889</v>
      </c>
      <c r="AR55">
        <f t="shared" si="46"/>
        <v>0.59244676082169878</v>
      </c>
      <c r="AS55" s="44">
        <f t="shared" si="47"/>
        <v>0.17775590166618171</v>
      </c>
      <c r="AT55" s="42"/>
      <c r="AU55">
        <f t="shared" si="81"/>
        <v>3.3280000000000006E-6</v>
      </c>
      <c r="AV55" s="44">
        <f t="shared" si="48"/>
        <v>3.3280000000000006E-6</v>
      </c>
      <c r="AW55" s="42">
        <f t="shared" si="82"/>
        <v>0.92749999999999999</v>
      </c>
      <c r="AX55">
        <f t="shared" si="83"/>
        <v>0.11199999999999999</v>
      </c>
      <c r="AY55" s="44">
        <f t="shared" si="49"/>
        <v>1.0394999999999999</v>
      </c>
      <c r="AZ55" s="42">
        <f t="shared" si="70"/>
        <v>0</v>
      </c>
      <c r="BA55">
        <f t="shared" si="71"/>
        <v>0</v>
      </c>
      <c r="BB55">
        <f t="shared" si="50"/>
        <v>0</v>
      </c>
      <c r="BC55" s="44">
        <f t="shared" si="84"/>
        <v>0</v>
      </c>
      <c r="BD55" s="42">
        <v>0</v>
      </c>
      <c r="BE55">
        <f t="shared" si="85"/>
        <v>0</v>
      </c>
      <c r="BF55" s="44">
        <f t="shared" si="52"/>
        <v>0</v>
      </c>
      <c r="BG55" s="42">
        <f t="shared" si="86"/>
        <v>0</v>
      </c>
      <c r="BH55">
        <f t="shared" si="87"/>
        <v>0</v>
      </c>
      <c r="BI55" s="44">
        <f t="shared" si="88"/>
        <v>0</v>
      </c>
      <c r="BK55" s="42">
        <f t="shared" si="72"/>
        <v>0</v>
      </c>
      <c r="BL55">
        <f t="shared" si="18"/>
        <v>0</v>
      </c>
      <c r="BM55">
        <f t="shared" si="73"/>
        <v>0</v>
      </c>
      <c r="BN55" s="44">
        <f t="shared" si="89"/>
        <v>0</v>
      </c>
      <c r="BO55" s="42">
        <v>0</v>
      </c>
      <c r="BP55">
        <f t="shared" si="90"/>
        <v>0</v>
      </c>
      <c r="BQ55" s="44">
        <f t="shared" si="53"/>
        <v>0</v>
      </c>
      <c r="BR55" s="42">
        <f t="shared" si="91"/>
        <v>0</v>
      </c>
      <c r="BS55">
        <f t="shared" si="92"/>
        <v>0</v>
      </c>
      <c r="BT55" s="44">
        <f t="shared" si="55"/>
        <v>0</v>
      </c>
      <c r="BU55" s="42">
        <f t="shared" si="74"/>
        <v>6.284675238796578E-3</v>
      </c>
      <c r="BV55">
        <f t="shared" si="21"/>
        <v>4.3874999999999997E-2</v>
      </c>
      <c r="BW55" s="44">
        <f t="shared" si="75"/>
        <v>2.2499999999999999E-2</v>
      </c>
      <c r="BX55">
        <f t="shared" si="56"/>
        <v>0.24837956698506208</v>
      </c>
      <c r="BY55">
        <f t="shared" si="43"/>
        <v>2.0865787457901126</v>
      </c>
      <c r="BZ55">
        <f t="shared" si="93"/>
        <v>85.187469694061065</v>
      </c>
    </row>
    <row r="56" spans="17:78" x14ac:dyDescent="0.3">
      <c r="Q56">
        <v>49</v>
      </c>
      <c r="R56" s="42">
        <f t="shared" si="57"/>
        <v>12.25</v>
      </c>
      <c r="S56">
        <f t="shared" si="1"/>
        <v>50</v>
      </c>
      <c r="T56" s="44">
        <f t="shared" si="58"/>
        <v>0.245</v>
      </c>
      <c r="U56" s="42">
        <f t="shared" si="59"/>
        <v>1</v>
      </c>
      <c r="V56">
        <f t="shared" si="60"/>
        <v>0.18520259177452134</v>
      </c>
      <c r="W56">
        <f t="shared" si="61"/>
        <v>0.27286515188112809</v>
      </c>
      <c r="X56">
        <f t="shared" si="23"/>
        <v>0.54193225634435049</v>
      </c>
      <c r="Y56" s="42">
        <f t="shared" si="76"/>
        <v>1.3228756555322954</v>
      </c>
      <c r="Z56">
        <f t="shared" si="62"/>
        <v>2.6457513110645903</v>
      </c>
      <c r="AA56">
        <f t="shared" si="25"/>
        <v>2.6457513110645907</v>
      </c>
      <c r="AB56" s="44">
        <f t="shared" si="63"/>
        <v>0.65737309102762675</v>
      </c>
      <c r="AC56" s="42">
        <v>0</v>
      </c>
      <c r="AD56">
        <f t="shared" si="64"/>
        <v>8.642787616144329E-3</v>
      </c>
      <c r="AE56" s="44">
        <f t="shared" si="27"/>
        <v>8.642787616144329E-3</v>
      </c>
      <c r="AF56" s="42">
        <f t="shared" si="65"/>
        <v>0.245</v>
      </c>
      <c r="AG56" s="44">
        <f t="shared" si="66"/>
        <v>0.245</v>
      </c>
      <c r="AH56" s="42">
        <f t="shared" si="67"/>
        <v>1.4692738947445362E-2</v>
      </c>
      <c r="AI56">
        <f t="shared" si="68"/>
        <v>0.47668006726618606</v>
      </c>
      <c r="AJ56" s="44">
        <f t="shared" si="45"/>
        <v>0.49137280621363144</v>
      </c>
      <c r="AK56" s="42">
        <f t="shared" si="69"/>
        <v>12.25</v>
      </c>
      <c r="AL56">
        <f t="shared" si="13"/>
        <v>150</v>
      </c>
      <c r="AM56" s="44">
        <f t="shared" si="28"/>
        <v>8.1666666666666665E-2</v>
      </c>
      <c r="AN56" s="42">
        <f t="shared" si="77"/>
        <v>2</v>
      </c>
      <c r="AO56">
        <f t="shared" si="78"/>
        <v>0.27286515188112809</v>
      </c>
      <c r="AP56">
        <f t="shared" si="79"/>
        <v>0.29929313473581343</v>
      </c>
      <c r="AQ56">
        <f t="shared" si="80"/>
        <v>0.59858626947162685</v>
      </c>
      <c r="AR56">
        <f t="shared" si="46"/>
        <v>0.59858626947162685</v>
      </c>
      <c r="AS56" s="44">
        <f t="shared" si="47"/>
        <v>0.18052616678325401</v>
      </c>
      <c r="AT56" s="42"/>
      <c r="AU56">
        <f t="shared" si="81"/>
        <v>3.4681111111111113E-6</v>
      </c>
      <c r="AV56" s="44">
        <f t="shared" si="48"/>
        <v>3.4681111111111113E-6</v>
      </c>
      <c r="AW56" s="42">
        <f t="shared" si="82"/>
        <v>0.92749999999999999</v>
      </c>
      <c r="AX56">
        <f t="shared" si="83"/>
        <v>0.11433333333333333</v>
      </c>
      <c r="AY56" s="44">
        <f t="shared" si="49"/>
        <v>1.0418333333333334</v>
      </c>
      <c r="AZ56" s="42">
        <f t="shared" si="70"/>
        <v>0</v>
      </c>
      <c r="BA56">
        <f t="shared" si="71"/>
        <v>0</v>
      </c>
      <c r="BB56">
        <f t="shared" si="50"/>
        <v>0</v>
      </c>
      <c r="BC56" s="44">
        <f t="shared" si="84"/>
        <v>0</v>
      </c>
      <c r="BD56" s="42">
        <v>0</v>
      </c>
      <c r="BE56">
        <f t="shared" si="85"/>
        <v>0</v>
      </c>
      <c r="BF56" s="44">
        <f t="shared" si="52"/>
        <v>0</v>
      </c>
      <c r="BG56" s="42">
        <f t="shared" si="86"/>
        <v>0</v>
      </c>
      <c r="BH56">
        <f t="shared" si="87"/>
        <v>0</v>
      </c>
      <c r="BI56" s="44">
        <f t="shared" si="88"/>
        <v>0</v>
      </c>
      <c r="BK56" s="42">
        <f t="shared" si="72"/>
        <v>0</v>
      </c>
      <c r="BL56">
        <f t="shared" si="18"/>
        <v>0</v>
      </c>
      <c r="BM56">
        <f t="shared" si="73"/>
        <v>0</v>
      </c>
      <c r="BN56" s="44">
        <f t="shared" si="89"/>
        <v>0</v>
      </c>
      <c r="BO56" s="42">
        <v>0</v>
      </c>
      <c r="BP56">
        <f t="shared" si="90"/>
        <v>0</v>
      </c>
      <c r="BQ56" s="44">
        <f t="shared" si="53"/>
        <v>0</v>
      </c>
      <c r="BR56" s="42">
        <f t="shared" si="91"/>
        <v>0</v>
      </c>
      <c r="BS56">
        <f t="shared" si="92"/>
        <v>0</v>
      </c>
      <c r="BT56" s="44">
        <f t="shared" si="55"/>
        <v>0</v>
      </c>
      <c r="BU56" s="42">
        <f t="shared" si="74"/>
        <v>6.4820907121082467E-3</v>
      </c>
      <c r="BV56">
        <f t="shared" si="21"/>
        <v>4.3874999999999997E-2</v>
      </c>
      <c r="BW56" s="44">
        <f t="shared" si="75"/>
        <v>2.2499999999999999E-2</v>
      </c>
      <c r="BX56">
        <f t="shared" si="56"/>
        <v>0.25364278761614434</v>
      </c>
      <c r="BY56">
        <f t="shared" si="43"/>
        <v>2.1047094859863287</v>
      </c>
      <c r="BZ56">
        <f t="shared" si="93"/>
        <v>85.337846871502109</v>
      </c>
    </row>
    <row r="57" spans="17:78" x14ac:dyDescent="0.3">
      <c r="Q57">
        <v>50</v>
      </c>
      <c r="R57" s="42">
        <f t="shared" si="57"/>
        <v>12.5</v>
      </c>
      <c r="S57">
        <f t="shared" si="1"/>
        <v>50</v>
      </c>
      <c r="T57" s="44">
        <f t="shared" si="58"/>
        <v>0.25</v>
      </c>
      <c r="U57" s="42">
        <f t="shared" si="59"/>
        <v>1</v>
      </c>
      <c r="V57">
        <f t="shared" si="60"/>
        <v>0.18708286933869708</v>
      </c>
      <c r="W57">
        <f t="shared" si="61"/>
        <v>0.27563542749234704</v>
      </c>
      <c r="X57">
        <f t="shared" si="23"/>
        <v>0.53728170316895585</v>
      </c>
      <c r="Y57" s="42">
        <f t="shared" si="76"/>
        <v>1.3363062095621219</v>
      </c>
      <c r="Z57">
        <f t="shared" si="62"/>
        <v>2.6726124191242442</v>
      </c>
      <c r="AA57">
        <f t="shared" si="25"/>
        <v>2.6726124191242437</v>
      </c>
      <c r="AB57" s="44">
        <f t="shared" si="63"/>
        <v>0.66740947190414812</v>
      </c>
      <c r="AC57" s="42">
        <v>0</v>
      </c>
      <c r="AD57">
        <f t="shared" si="64"/>
        <v>8.9087080637474791E-3</v>
      </c>
      <c r="AE57" s="44">
        <f t="shared" si="27"/>
        <v>8.9087080637474791E-3</v>
      </c>
      <c r="AF57" s="42">
        <f t="shared" si="65"/>
        <v>0.25</v>
      </c>
      <c r="AG57" s="44">
        <f t="shared" si="66"/>
        <v>0.25</v>
      </c>
      <c r="AH57" s="42">
        <f t="shared" si="67"/>
        <v>1.5144803708370715E-2</v>
      </c>
      <c r="AI57">
        <f t="shared" si="68"/>
        <v>0.48151958288625679</v>
      </c>
      <c r="AJ57" s="44">
        <f t="shared" si="45"/>
        <v>0.49666438659462753</v>
      </c>
      <c r="AK57" s="42">
        <f t="shared" si="69"/>
        <v>12.5</v>
      </c>
      <c r="AL57">
        <f t="shared" si="13"/>
        <v>150</v>
      </c>
      <c r="AM57" s="44">
        <f t="shared" si="28"/>
        <v>8.3333333333333329E-2</v>
      </c>
      <c r="AN57" s="42">
        <f t="shared" si="77"/>
        <v>2</v>
      </c>
      <c r="AO57">
        <f t="shared" si="78"/>
        <v>0.27563542749234698</v>
      </c>
      <c r="AP57">
        <f t="shared" si="79"/>
        <v>0.30233172162038957</v>
      </c>
      <c r="AQ57">
        <f t="shared" si="80"/>
        <v>0.60466344324077914</v>
      </c>
      <c r="AR57">
        <f t="shared" si="46"/>
        <v>0.60466344324077914</v>
      </c>
      <c r="AS57" s="44">
        <f t="shared" si="47"/>
        <v>0.18328233279117936</v>
      </c>
      <c r="AT57" s="42"/>
      <c r="AU57">
        <f t="shared" si="81"/>
        <v>3.6111111111111115E-6</v>
      </c>
      <c r="AV57" s="44">
        <f t="shared" si="48"/>
        <v>3.6111111111111115E-6</v>
      </c>
      <c r="AW57" s="42">
        <f t="shared" si="82"/>
        <v>0.92749999999999999</v>
      </c>
      <c r="AX57">
        <f t="shared" si="83"/>
        <v>0.11666666666666665</v>
      </c>
      <c r="AY57" s="44">
        <f t="shared" si="49"/>
        <v>1.0441666666666667</v>
      </c>
      <c r="AZ57" s="42">
        <f t="shared" si="70"/>
        <v>0</v>
      </c>
      <c r="BA57">
        <f t="shared" si="71"/>
        <v>0</v>
      </c>
      <c r="BB57">
        <f t="shared" si="50"/>
        <v>0</v>
      </c>
      <c r="BC57" s="44">
        <f t="shared" si="84"/>
        <v>0</v>
      </c>
      <c r="BD57" s="42">
        <v>0</v>
      </c>
      <c r="BE57">
        <f t="shared" si="85"/>
        <v>0</v>
      </c>
      <c r="BF57" s="44">
        <f t="shared" si="52"/>
        <v>0</v>
      </c>
      <c r="BG57" s="42">
        <f t="shared" si="86"/>
        <v>0</v>
      </c>
      <c r="BH57">
        <f t="shared" si="87"/>
        <v>0</v>
      </c>
      <c r="BI57" s="44">
        <f t="shared" si="88"/>
        <v>0</v>
      </c>
      <c r="BK57" s="42">
        <f t="shared" si="72"/>
        <v>0</v>
      </c>
      <c r="BL57">
        <f t="shared" si="18"/>
        <v>0</v>
      </c>
      <c r="BM57">
        <f t="shared" si="73"/>
        <v>0</v>
      </c>
      <c r="BN57" s="44">
        <f t="shared" si="89"/>
        <v>0</v>
      </c>
      <c r="BO57" s="42">
        <v>0</v>
      </c>
      <c r="BP57">
        <f t="shared" si="90"/>
        <v>0</v>
      </c>
      <c r="BQ57" s="44">
        <f t="shared" si="53"/>
        <v>0</v>
      </c>
      <c r="BR57" s="42">
        <f t="shared" si="91"/>
        <v>0</v>
      </c>
      <c r="BS57">
        <f t="shared" si="92"/>
        <v>0</v>
      </c>
      <c r="BT57" s="44">
        <f t="shared" si="55"/>
        <v>0</v>
      </c>
      <c r="BU57" s="42">
        <f t="shared" si="74"/>
        <v>6.681531047810608E-3</v>
      </c>
      <c r="BV57">
        <f t="shared" si="21"/>
        <v>4.3874999999999997E-2</v>
      </c>
      <c r="BW57" s="44">
        <f t="shared" si="75"/>
        <v>2.2499999999999999E-2</v>
      </c>
      <c r="BX57">
        <f t="shared" si="56"/>
        <v>0.25890870806374749</v>
      </c>
      <c r="BY57">
        <f t="shared" si="43"/>
        <v>2.1227999034839633</v>
      </c>
      <c r="BZ57">
        <f t="shared" si="93"/>
        <v>85.482945007144664</v>
      </c>
    </row>
    <row r="58" spans="17:78" x14ac:dyDescent="0.3">
      <c r="Q58">
        <v>51</v>
      </c>
      <c r="R58" s="42">
        <f t="shared" si="57"/>
        <v>12.75</v>
      </c>
      <c r="S58">
        <f t="shared" si="1"/>
        <v>50</v>
      </c>
      <c r="T58" s="44">
        <f t="shared" si="58"/>
        <v>0.255</v>
      </c>
      <c r="U58" s="42">
        <f t="shared" si="59"/>
        <v>1</v>
      </c>
      <c r="V58">
        <f t="shared" si="60"/>
        <v>0.18894443627691185</v>
      </c>
      <c r="W58">
        <f t="shared" si="61"/>
        <v>0.27837813611465012</v>
      </c>
      <c r="X58">
        <f t="shared" si="23"/>
        <v>0.53267742760843806</v>
      </c>
      <c r="Y58" s="42">
        <f t="shared" si="76"/>
        <v>1.3496031162636559</v>
      </c>
      <c r="Z58">
        <f t="shared" si="62"/>
        <v>2.6992062325273123</v>
      </c>
      <c r="AA58">
        <f t="shared" si="25"/>
        <v>2.6992062325273123</v>
      </c>
      <c r="AB58" s="44">
        <f t="shared" si="63"/>
        <v>0.67739579237668957</v>
      </c>
      <c r="AC58" s="42">
        <v>0</v>
      </c>
      <c r="AD58">
        <f t="shared" si="64"/>
        <v>9.1773011905928632E-3</v>
      </c>
      <c r="AE58" s="44">
        <f t="shared" si="27"/>
        <v>9.1773011905928632E-3</v>
      </c>
      <c r="AF58" s="42">
        <f t="shared" si="65"/>
        <v>0.255</v>
      </c>
      <c r="AG58" s="44">
        <f t="shared" si="66"/>
        <v>0.255</v>
      </c>
      <c r="AH58" s="42">
        <f t="shared" si="67"/>
        <v>1.5601412024007867E-2</v>
      </c>
      <c r="AI58">
        <f t="shared" si="68"/>
        <v>0.48631094052777979</v>
      </c>
      <c r="AJ58" s="44">
        <f t="shared" si="45"/>
        <v>0.50191235255178768</v>
      </c>
      <c r="AK58" s="42">
        <f t="shared" si="69"/>
        <v>12.75</v>
      </c>
      <c r="AL58">
        <f t="shared" si="13"/>
        <v>150</v>
      </c>
      <c r="AM58" s="44">
        <f t="shared" si="28"/>
        <v>8.5000000000000006E-2</v>
      </c>
      <c r="AN58" s="42">
        <f t="shared" si="77"/>
        <v>2</v>
      </c>
      <c r="AO58">
        <f t="shared" si="78"/>
        <v>0.27837813611465012</v>
      </c>
      <c r="AP58">
        <f t="shared" si="79"/>
        <v>0.30534007155286336</v>
      </c>
      <c r="AQ58">
        <f t="shared" si="80"/>
        <v>0.61068014310572682</v>
      </c>
      <c r="AR58">
        <f t="shared" si="46"/>
        <v>0.61068014310572671</v>
      </c>
      <c r="AS58" s="44">
        <f t="shared" si="47"/>
        <v>0.18602475133520407</v>
      </c>
      <c r="AT58" s="42"/>
      <c r="AU58">
        <f t="shared" si="81"/>
        <v>3.757000000000001E-6</v>
      </c>
      <c r="AV58" s="44">
        <f t="shared" si="48"/>
        <v>3.757000000000001E-6</v>
      </c>
      <c r="AW58" s="42">
        <f t="shared" si="82"/>
        <v>0.92749999999999999</v>
      </c>
      <c r="AX58">
        <f t="shared" si="83"/>
        <v>0.11899999999999999</v>
      </c>
      <c r="AY58" s="44">
        <f t="shared" si="49"/>
        <v>1.0465</v>
      </c>
      <c r="AZ58" s="42">
        <f t="shared" si="70"/>
        <v>0</v>
      </c>
      <c r="BA58">
        <f t="shared" si="71"/>
        <v>0</v>
      </c>
      <c r="BB58">
        <f t="shared" si="50"/>
        <v>0</v>
      </c>
      <c r="BC58" s="44">
        <f t="shared" si="84"/>
        <v>0</v>
      </c>
      <c r="BD58" s="42">
        <v>0</v>
      </c>
      <c r="BE58">
        <f t="shared" si="85"/>
        <v>0</v>
      </c>
      <c r="BF58" s="44">
        <f t="shared" si="52"/>
        <v>0</v>
      </c>
      <c r="BG58" s="42">
        <f t="shared" si="86"/>
        <v>0</v>
      </c>
      <c r="BH58">
        <f t="shared" si="87"/>
        <v>0</v>
      </c>
      <c r="BI58" s="44">
        <f t="shared" si="88"/>
        <v>0</v>
      </c>
      <c r="BK58" s="42">
        <f t="shared" si="72"/>
        <v>0</v>
      </c>
      <c r="BL58">
        <f t="shared" si="18"/>
        <v>0</v>
      </c>
      <c r="BM58">
        <f t="shared" si="73"/>
        <v>0</v>
      </c>
      <c r="BN58" s="44">
        <f t="shared" si="89"/>
        <v>0</v>
      </c>
      <c r="BO58" s="42">
        <v>0</v>
      </c>
      <c r="BP58">
        <f t="shared" si="90"/>
        <v>0</v>
      </c>
      <c r="BQ58" s="44">
        <f t="shared" si="53"/>
        <v>0</v>
      </c>
      <c r="BR58" s="42">
        <f t="shared" si="91"/>
        <v>0</v>
      </c>
      <c r="BS58">
        <f t="shared" si="92"/>
        <v>0</v>
      </c>
      <c r="BT58" s="44">
        <f t="shared" si="55"/>
        <v>0</v>
      </c>
      <c r="BU58" s="42">
        <f t="shared" si="74"/>
        <v>6.8829758929446466E-3</v>
      </c>
      <c r="BV58">
        <f t="shared" si="21"/>
        <v>4.3874999999999997E-2</v>
      </c>
      <c r="BW58" s="44">
        <f t="shared" si="75"/>
        <v>2.2499999999999999E-2</v>
      </c>
      <c r="BX58">
        <f t="shared" si="56"/>
        <v>0.26417730119059285</v>
      </c>
      <c r="BY58">
        <f t="shared" si="43"/>
        <v>2.1408513866353251</v>
      </c>
      <c r="BZ58">
        <f t="shared" si="93"/>
        <v>85.623042423506021</v>
      </c>
    </row>
    <row r="59" spans="17:78" x14ac:dyDescent="0.3">
      <c r="Q59">
        <v>52</v>
      </c>
      <c r="R59" s="42">
        <f t="shared" si="57"/>
        <v>13</v>
      </c>
      <c r="S59">
        <f t="shared" si="1"/>
        <v>50</v>
      </c>
      <c r="T59" s="44">
        <f t="shared" si="58"/>
        <v>0.26</v>
      </c>
      <c r="U59" s="42">
        <f t="shared" si="59"/>
        <v>1</v>
      </c>
      <c r="V59">
        <f t="shared" si="60"/>
        <v>0.19078784028338913</v>
      </c>
      <c r="W59">
        <f t="shared" si="61"/>
        <v>0.28109408468419333</v>
      </c>
      <c r="X59">
        <f t="shared" si="23"/>
        <v>0.52811807503241748</v>
      </c>
      <c r="Y59" s="42">
        <f t="shared" si="76"/>
        <v>1.3627702877384937</v>
      </c>
      <c r="Z59">
        <f t="shared" si="62"/>
        <v>2.7255405754769875</v>
      </c>
      <c r="AA59">
        <f t="shared" si="25"/>
        <v>2.7255405754769875</v>
      </c>
      <c r="AB59" s="44">
        <f t="shared" si="63"/>
        <v>0.68733327657161913</v>
      </c>
      <c r="AC59" s="42">
        <v>0</v>
      </c>
      <c r="AD59">
        <f t="shared" si="64"/>
        <v>9.4485406616535567E-3</v>
      </c>
      <c r="AE59" s="44">
        <f t="shared" si="27"/>
        <v>9.4485406616535567E-3</v>
      </c>
      <c r="AF59" s="42">
        <f t="shared" si="65"/>
        <v>0.26</v>
      </c>
      <c r="AG59" s="44">
        <f t="shared" si="66"/>
        <v>0.26</v>
      </c>
      <c r="AH59" s="42">
        <f t="shared" si="67"/>
        <v>1.6062519124811048E-2</v>
      </c>
      <c r="AI59">
        <f t="shared" si="68"/>
        <v>0.49105554986281635</v>
      </c>
      <c r="AJ59" s="44">
        <f t="shared" si="45"/>
        <v>0.50711806898762735</v>
      </c>
      <c r="AK59" s="42">
        <f t="shared" si="69"/>
        <v>13</v>
      </c>
      <c r="AL59">
        <f t="shared" si="13"/>
        <v>150</v>
      </c>
      <c r="AM59" s="44">
        <f t="shared" si="28"/>
        <v>8.666666666666667E-2</v>
      </c>
      <c r="AN59" s="42">
        <f t="shared" si="77"/>
        <v>2</v>
      </c>
      <c r="AO59">
        <f t="shared" si="78"/>
        <v>0.28109408468419339</v>
      </c>
      <c r="AP59">
        <f t="shared" si="79"/>
        <v>0.30831906962409356</v>
      </c>
      <c r="AQ59">
        <f t="shared" si="80"/>
        <v>0.61663813924818744</v>
      </c>
      <c r="AR59">
        <f t="shared" si="46"/>
        <v>0.61663813924818722</v>
      </c>
      <c r="AS59" s="44">
        <f t="shared" si="47"/>
        <v>0.18875375858187346</v>
      </c>
      <c r="AT59" s="42"/>
      <c r="AU59">
        <f t="shared" si="81"/>
        <v>3.9057777777777788E-6</v>
      </c>
      <c r="AV59" s="44">
        <f t="shared" si="48"/>
        <v>3.9057777777777788E-6</v>
      </c>
      <c r="AW59" s="42">
        <f t="shared" si="82"/>
        <v>0.92749999999999999</v>
      </c>
      <c r="AX59">
        <f t="shared" si="83"/>
        <v>0.12133333333333333</v>
      </c>
      <c r="AY59" s="44">
        <f t="shared" si="49"/>
        <v>1.0488333333333333</v>
      </c>
      <c r="AZ59" s="42">
        <f t="shared" si="70"/>
        <v>0</v>
      </c>
      <c r="BA59">
        <f t="shared" si="71"/>
        <v>0</v>
      </c>
      <c r="BB59">
        <f t="shared" si="50"/>
        <v>0</v>
      </c>
      <c r="BC59" s="44">
        <f t="shared" si="84"/>
        <v>0</v>
      </c>
      <c r="BD59" s="42">
        <v>0</v>
      </c>
      <c r="BE59">
        <f t="shared" si="85"/>
        <v>0</v>
      </c>
      <c r="BF59" s="44">
        <f t="shared" si="52"/>
        <v>0</v>
      </c>
      <c r="BG59" s="42">
        <f t="shared" si="86"/>
        <v>0</v>
      </c>
      <c r="BH59">
        <f t="shared" si="87"/>
        <v>0</v>
      </c>
      <c r="BI59" s="44">
        <f t="shared" si="88"/>
        <v>0</v>
      </c>
      <c r="BK59" s="42">
        <f t="shared" si="72"/>
        <v>0</v>
      </c>
      <c r="BL59">
        <f t="shared" si="18"/>
        <v>0</v>
      </c>
      <c r="BM59">
        <f t="shared" si="73"/>
        <v>0</v>
      </c>
      <c r="BN59" s="44">
        <f t="shared" si="89"/>
        <v>0</v>
      </c>
      <c r="BO59" s="42">
        <v>0</v>
      </c>
      <c r="BP59">
        <f t="shared" si="90"/>
        <v>0</v>
      </c>
      <c r="BQ59" s="44">
        <f t="shared" si="53"/>
        <v>0</v>
      </c>
      <c r="BR59" s="42">
        <f t="shared" si="91"/>
        <v>0</v>
      </c>
      <c r="BS59">
        <f t="shared" si="92"/>
        <v>0</v>
      </c>
      <c r="BT59" s="44">
        <f t="shared" si="55"/>
        <v>0</v>
      </c>
      <c r="BU59" s="42">
        <f t="shared" si="74"/>
        <v>7.0864054962401675E-3</v>
      </c>
      <c r="BV59">
        <f t="shared" si="21"/>
        <v>4.3874999999999997E-2</v>
      </c>
      <c r="BW59" s="44">
        <f t="shared" si="75"/>
        <v>2.2499999999999999E-2</v>
      </c>
      <c r="BX59">
        <f t="shared" si="56"/>
        <v>0.26944854066165358</v>
      </c>
      <c r="BY59">
        <f t="shared" si="43"/>
        <v>2.1588652542566322</v>
      </c>
      <c r="BZ59">
        <f t="shared" si="93"/>
        <v>85.758398019598332</v>
      </c>
    </row>
    <row r="60" spans="17:78" x14ac:dyDescent="0.3">
      <c r="Q60">
        <v>53</v>
      </c>
      <c r="R60" s="42">
        <f t="shared" si="57"/>
        <v>13.25</v>
      </c>
      <c r="S60">
        <f t="shared" si="1"/>
        <v>50</v>
      </c>
      <c r="T60" s="44">
        <f t="shared" si="58"/>
        <v>0.26500000000000001</v>
      </c>
      <c r="U60" s="42">
        <f t="shared" si="59"/>
        <v>1</v>
      </c>
      <c r="V60">
        <f t="shared" si="60"/>
        <v>0.19261360284258222</v>
      </c>
      <c r="W60">
        <f t="shared" si="61"/>
        <v>0.28378404152140446</v>
      </c>
      <c r="X60">
        <f t="shared" si="23"/>
        <v>0.52360235563601332</v>
      </c>
      <c r="Y60" s="42">
        <f t="shared" si="76"/>
        <v>1.3758114488755873</v>
      </c>
      <c r="Z60">
        <f t="shared" si="62"/>
        <v>2.751622897751175</v>
      </c>
      <c r="AA60">
        <f t="shared" si="25"/>
        <v>2.751622897751175</v>
      </c>
      <c r="AB60" s="44">
        <f t="shared" si="63"/>
        <v>0.69722309576589203</v>
      </c>
      <c r="AC60" s="42">
        <v>0</v>
      </c>
      <c r="AD60">
        <f t="shared" si="64"/>
        <v>9.7224009053874846E-3</v>
      </c>
      <c r="AE60" s="44">
        <f t="shared" si="27"/>
        <v>9.7224009053874846E-3</v>
      </c>
      <c r="AF60" s="42">
        <f t="shared" si="65"/>
        <v>0.26500000000000001</v>
      </c>
      <c r="AG60" s="44">
        <f t="shared" si="66"/>
        <v>0.26500000000000001</v>
      </c>
      <c r="AH60" s="42">
        <f t="shared" si="67"/>
        <v>1.6528081539158725E-2</v>
      </c>
      <c r="AI60">
        <f t="shared" si="68"/>
        <v>0.49575475310392336</v>
      </c>
      <c r="AJ60" s="44">
        <f t="shared" si="45"/>
        <v>0.51228283464308211</v>
      </c>
      <c r="AK60" s="42">
        <f t="shared" si="69"/>
        <v>13.25</v>
      </c>
      <c r="AL60">
        <f t="shared" si="13"/>
        <v>150</v>
      </c>
      <c r="AM60" s="44">
        <f t="shared" si="28"/>
        <v>8.8333333333333333E-2</v>
      </c>
      <c r="AN60" s="42">
        <f t="shared" si="77"/>
        <v>2</v>
      </c>
      <c r="AO60">
        <f t="shared" si="78"/>
        <v>0.28378404152140446</v>
      </c>
      <c r="AP60">
        <f t="shared" si="79"/>
        <v>0.31126955856913741</v>
      </c>
      <c r="AQ60">
        <f t="shared" si="80"/>
        <v>0.62253911713827481</v>
      </c>
      <c r="AR60">
        <f t="shared" si="46"/>
        <v>0.62253911713827481</v>
      </c>
      <c r="AS60" s="44">
        <f t="shared" si="47"/>
        <v>0.19146967618435781</v>
      </c>
      <c r="AT60" s="42"/>
      <c r="AU60">
        <f t="shared" si="81"/>
        <v>4.0574444444444451E-6</v>
      </c>
      <c r="AV60" s="44">
        <f t="shared" si="48"/>
        <v>4.0574444444444451E-6</v>
      </c>
      <c r="AW60" s="42">
        <f t="shared" si="82"/>
        <v>0.92749999999999999</v>
      </c>
      <c r="AX60">
        <f t="shared" si="83"/>
        <v>0.12366666666666666</v>
      </c>
      <c r="AY60" s="44">
        <f t="shared" si="49"/>
        <v>1.0511666666666666</v>
      </c>
      <c r="AZ60" s="42">
        <f t="shared" si="70"/>
        <v>0</v>
      </c>
      <c r="BA60">
        <f t="shared" si="71"/>
        <v>0</v>
      </c>
      <c r="BB60">
        <f t="shared" si="50"/>
        <v>0</v>
      </c>
      <c r="BC60" s="44">
        <f t="shared" si="84"/>
        <v>0</v>
      </c>
      <c r="BD60" s="42">
        <v>0</v>
      </c>
      <c r="BE60">
        <f t="shared" si="85"/>
        <v>0</v>
      </c>
      <c r="BF60" s="44">
        <f t="shared" si="52"/>
        <v>0</v>
      </c>
      <c r="BG60" s="42">
        <f t="shared" si="86"/>
        <v>0</v>
      </c>
      <c r="BH60">
        <f t="shared" si="87"/>
        <v>0</v>
      </c>
      <c r="BI60" s="44">
        <f t="shared" si="88"/>
        <v>0</v>
      </c>
      <c r="BK60" s="42">
        <f t="shared" si="72"/>
        <v>0</v>
      </c>
      <c r="BL60">
        <f t="shared" si="18"/>
        <v>0</v>
      </c>
      <c r="BM60">
        <f t="shared" si="73"/>
        <v>0</v>
      </c>
      <c r="BN60" s="44">
        <f t="shared" si="89"/>
        <v>0</v>
      </c>
      <c r="BO60" s="42">
        <v>0</v>
      </c>
      <c r="BP60">
        <f t="shared" si="90"/>
        <v>0</v>
      </c>
      <c r="BQ60" s="44">
        <f t="shared" si="53"/>
        <v>0</v>
      </c>
      <c r="BR60" s="42">
        <f t="shared" si="91"/>
        <v>0</v>
      </c>
      <c r="BS60">
        <f t="shared" si="92"/>
        <v>0</v>
      </c>
      <c r="BT60" s="44">
        <f t="shared" si="55"/>
        <v>0</v>
      </c>
      <c r="BU60" s="42">
        <f t="shared" si="74"/>
        <v>7.291800679040613E-3</v>
      </c>
      <c r="BV60">
        <f t="shared" si="21"/>
        <v>4.3874999999999997E-2</v>
      </c>
      <c r="BW60" s="44">
        <f t="shared" si="75"/>
        <v>2.2499999999999999E-2</v>
      </c>
      <c r="BX60">
        <f t="shared" si="56"/>
        <v>0.27472240090538752</v>
      </c>
      <c r="BY60">
        <f t="shared" si="43"/>
        <v>2.1768427603386216</v>
      </c>
      <c r="BZ60">
        <f t="shared" si="93"/>
        <v>85.889252945942133</v>
      </c>
    </row>
    <row r="61" spans="17:78" x14ac:dyDescent="0.3">
      <c r="Q61">
        <v>54</v>
      </c>
      <c r="R61" s="42">
        <f t="shared" si="57"/>
        <v>13.5</v>
      </c>
      <c r="S61">
        <f t="shared" si="1"/>
        <v>50</v>
      </c>
      <c r="T61" s="44">
        <f t="shared" si="58"/>
        <v>0.27</v>
      </c>
      <c r="U61" s="42">
        <f t="shared" si="59"/>
        <v>1</v>
      </c>
      <c r="V61">
        <f t="shared" si="60"/>
        <v>0.1944222209522358</v>
      </c>
      <c r="W61">
        <f t="shared" si="61"/>
        <v>0.28644873886962741</v>
      </c>
      <c r="X61">
        <f t="shared" si="23"/>
        <v>0.51912904017813677</v>
      </c>
      <c r="Y61" s="42">
        <f t="shared" si="76"/>
        <v>1.3887301496588271</v>
      </c>
      <c r="Z61">
        <f t="shared" si="62"/>
        <v>2.7774602993176543</v>
      </c>
      <c r="AA61">
        <f t="shared" si="25"/>
        <v>2.7774602993176543</v>
      </c>
      <c r="AB61" s="44">
        <f t="shared" si="63"/>
        <v>0.70706637162092334</v>
      </c>
      <c r="AC61" s="42">
        <v>0</v>
      </c>
      <c r="AD61">
        <f t="shared" si="64"/>
        <v>9.9988570775435531E-3</v>
      </c>
      <c r="AE61" s="44">
        <f t="shared" si="27"/>
        <v>9.9988570775435531E-3</v>
      </c>
      <c r="AF61" s="42">
        <f t="shared" si="65"/>
        <v>0.27</v>
      </c>
      <c r="AG61" s="44">
        <f t="shared" si="66"/>
        <v>0.27</v>
      </c>
      <c r="AH61" s="42">
        <f t="shared" si="67"/>
        <v>1.6998057031824044E-2</v>
      </c>
      <c r="AI61">
        <f t="shared" si="68"/>
        <v>0.50040982943902201</v>
      </c>
      <c r="AJ61" s="44">
        <f t="shared" si="45"/>
        <v>0.51740788647084601</v>
      </c>
      <c r="AK61" s="42">
        <f t="shared" si="69"/>
        <v>13.5</v>
      </c>
      <c r="AL61">
        <f t="shared" si="13"/>
        <v>150</v>
      </c>
      <c r="AM61" s="44">
        <f t="shared" si="28"/>
        <v>0.09</v>
      </c>
      <c r="AN61" s="42">
        <f t="shared" si="77"/>
        <v>2</v>
      </c>
      <c r="AO61">
        <f t="shared" si="78"/>
        <v>0.28644873886962741</v>
      </c>
      <c r="AP61">
        <f t="shared" si="79"/>
        <v>0.31419234155177084</v>
      </c>
      <c r="AQ61">
        <f t="shared" si="80"/>
        <v>0.62838468310354179</v>
      </c>
      <c r="AR61">
        <f t="shared" si="46"/>
        <v>0.62838468310354179</v>
      </c>
      <c r="AS61" s="44">
        <f t="shared" si="47"/>
        <v>0.19417281217053148</v>
      </c>
      <c r="AT61" s="42"/>
      <c r="AU61">
        <f t="shared" si="81"/>
        <v>4.2120000000000005E-6</v>
      </c>
      <c r="AV61" s="44">
        <f t="shared" si="48"/>
        <v>4.2120000000000005E-6</v>
      </c>
      <c r="AW61" s="42">
        <f t="shared" si="82"/>
        <v>0.92749999999999999</v>
      </c>
      <c r="AX61">
        <f t="shared" si="83"/>
        <v>0.126</v>
      </c>
      <c r="AY61" s="44">
        <f t="shared" si="49"/>
        <v>1.0535000000000001</v>
      </c>
      <c r="AZ61" s="42">
        <f t="shared" si="70"/>
        <v>0</v>
      </c>
      <c r="BA61">
        <f t="shared" si="71"/>
        <v>0</v>
      </c>
      <c r="BB61">
        <f t="shared" si="50"/>
        <v>0</v>
      </c>
      <c r="BC61" s="44">
        <f t="shared" si="84"/>
        <v>0</v>
      </c>
      <c r="BD61" s="42">
        <v>0</v>
      </c>
      <c r="BE61">
        <f t="shared" si="85"/>
        <v>0</v>
      </c>
      <c r="BF61" s="44">
        <f t="shared" si="52"/>
        <v>0</v>
      </c>
      <c r="BG61" s="42">
        <f t="shared" si="86"/>
        <v>0</v>
      </c>
      <c r="BH61">
        <f t="shared" si="87"/>
        <v>0</v>
      </c>
      <c r="BI61" s="44">
        <f t="shared" si="88"/>
        <v>0</v>
      </c>
      <c r="BK61" s="42">
        <f t="shared" si="72"/>
        <v>0</v>
      </c>
      <c r="BL61">
        <f t="shared" si="18"/>
        <v>0</v>
      </c>
      <c r="BM61">
        <f t="shared" si="73"/>
        <v>0</v>
      </c>
      <c r="BN61" s="44">
        <f t="shared" si="89"/>
        <v>0</v>
      </c>
      <c r="BO61" s="42">
        <v>0</v>
      </c>
      <c r="BP61">
        <f t="shared" si="90"/>
        <v>0</v>
      </c>
      <c r="BQ61" s="44">
        <f t="shared" si="53"/>
        <v>0</v>
      </c>
      <c r="BR61" s="42">
        <f t="shared" si="91"/>
        <v>0</v>
      </c>
      <c r="BS61">
        <f t="shared" si="92"/>
        <v>0</v>
      </c>
      <c r="BT61" s="44">
        <f t="shared" si="55"/>
        <v>0</v>
      </c>
      <c r="BU61" s="42">
        <f t="shared" si="74"/>
        <v>7.4991428081576652E-3</v>
      </c>
      <c r="BV61">
        <f t="shared" si="21"/>
        <v>4.3874999999999997E-2</v>
      </c>
      <c r="BW61" s="44">
        <f t="shared" si="75"/>
        <v>2.2499999999999999E-2</v>
      </c>
      <c r="BX61">
        <f t="shared" si="56"/>
        <v>0.27999885707754357</v>
      </c>
      <c r="BY61">
        <f t="shared" si="43"/>
        <v>2.1947850983565473</v>
      </c>
      <c r="BZ61">
        <f t="shared" si="93"/>
        <v>86.015832108549418</v>
      </c>
    </row>
    <row r="62" spans="17:78" x14ac:dyDescent="0.3">
      <c r="Q62">
        <v>55</v>
      </c>
      <c r="R62" s="42">
        <f t="shared" si="57"/>
        <v>13.75</v>
      </c>
      <c r="S62">
        <f t="shared" si="1"/>
        <v>50</v>
      </c>
      <c r="T62" s="44">
        <f t="shared" si="58"/>
        <v>0.27500000000000002</v>
      </c>
      <c r="U62" s="42">
        <f t="shared" si="59"/>
        <v>1</v>
      </c>
      <c r="V62">
        <f t="shared" si="60"/>
        <v>0.19621416870348585</v>
      </c>
      <c r="W62">
        <f t="shared" si="61"/>
        <v>0.28908887522313581</v>
      </c>
      <c r="X62">
        <f t="shared" si="23"/>
        <v>0.51469695607337829</v>
      </c>
      <c r="Y62" s="42">
        <f t="shared" si="76"/>
        <v>1.40152977645347</v>
      </c>
      <c r="Z62">
        <f t="shared" si="62"/>
        <v>2.8030595529069409</v>
      </c>
      <c r="AA62">
        <f t="shared" si="25"/>
        <v>2.8030595529069404</v>
      </c>
      <c r="AB62" s="44">
        <f t="shared" si="63"/>
        <v>0.71686417916246348</v>
      </c>
      <c r="AC62" s="42">
        <v>0</v>
      </c>
      <c r="AD62">
        <f t="shared" si="64"/>
        <v>1.0277885027325451E-2</v>
      </c>
      <c r="AE62" s="44">
        <f t="shared" si="27"/>
        <v>1.0277885027325451E-2</v>
      </c>
      <c r="AF62" s="42">
        <f t="shared" si="65"/>
        <v>0.27500000000000002</v>
      </c>
      <c r="AG62" s="44">
        <f t="shared" si="66"/>
        <v>0.27500000000000002</v>
      </c>
      <c r="AH62" s="42">
        <f t="shared" si="67"/>
        <v>1.7472404546453268E-2</v>
      </c>
      <c r="AI62">
        <f t="shared" si="68"/>
        <v>0.5050219990983067</v>
      </c>
      <c r="AJ62" s="44">
        <f t="shared" si="45"/>
        <v>0.52249440364475996</v>
      </c>
      <c r="AK62" s="42">
        <f t="shared" si="69"/>
        <v>13.75</v>
      </c>
      <c r="AL62">
        <f t="shared" si="13"/>
        <v>150</v>
      </c>
      <c r="AM62" s="44">
        <f t="shared" si="28"/>
        <v>9.166666666666666E-2</v>
      </c>
      <c r="AN62" s="42">
        <f t="shared" si="77"/>
        <v>2</v>
      </c>
      <c r="AO62">
        <f t="shared" si="78"/>
        <v>0.28908887522313587</v>
      </c>
      <c r="AP62">
        <f t="shared" si="79"/>
        <v>0.31708818471797962</v>
      </c>
      <c r="AQ62">
        <f t="shared" si="80"/>
        <v>0.63417636943595956</v>
      </c>
      <c r="AR62">
        <f t="shared" si="46"/>
        <v>0.63417636943595945</v>
      </c>
      <c r="AS62" s="44">
        <f t="shared" si="47"/>
        <v>0.19686346176129782</v>
      </c>
      <c r="AT62" s="42"/>
      <c r="AU62">
        <f t="shared" si="81"/>
        <v>4.369444444444444E-6</v>
      </c>
      <c r="AV62" s="44">
        <f t="shared" si="48"/>
        <v>4.369444444444444E-6</v>
      </c>
      <c r="AW62" s="42">
        <f t="shared" si="82"/>
        <v>0.92749999999999999</v>
      </c>
      <c r="AX62">
        <f t="shared" si="83"/>
        <v>0.12833333333333333</v>
      </c>
      <c r="AY62" s="44">
        <f t="shared" si="49"/>
        <v>1.0558333333333334</v>
      </c>
      <c r="AZ62" s="42">
        <f t="shared" si="70"/>
        <v>0</v>
      </c>
      <c r="BA62">
        <f t="shared" si="71"/>
        <v>0</v>
      </c>
      <c r="BB62">
        <f t="shared" si="50"/>
        <v>0</v>
      </c>
      <c r="BC62" s="44">
        <f t="shared" si="84"/>
        <v>0</v>
      </c>
      <c r="BD62" s="42">
        <v>0</v>
      </c>
      <c r="BE62">
        <f t="shared" si="85"/>
        <v>0</v>
      </c>
      <c r="BF62" s="44">
        <f t="shared" si="52"/>
        <v>0</v>
      </c>
      <c r="BG62" s="42">
        <f t="shared" si="86"/>
        <v>0</v>
      </c>
      <c r="BH62">
        <f t="shared" si="87"/>
        <v>0</v>
      </c>
      <c r="BI62" s="44">
        <f t="shared" si="88"/>
        <v>0</v>
      </c>
      <c r="BK62" s="42">
        <f t="shared" si="72"/>
        <v>0</v>
      </c>
      <c r="BL62">
        <f t="shared" si="18"/>
        <v>0</v>
      </c>
      <c r="BM62">
        <f t="shared" si="73"/>
        <v>0</v>
      </c>
      <c r="BN62" s="44">
        <f t="shared" si="89"/>
        <v>0</v>
      </c>
      <c r="BO62" s="42">
        <v>0</v>
      </c>
      <c r="BP62">
        <f t="shared" si="90"/>
        <v>0</v>
      </c>
      <c r="BQ62" s="44">
        <f t="shared" si="53"/>
        <v>0</v>
      </c>
      <c r="BR62" s="42">
        <f t="shared" si="91"/>
        <v>0</v>
      </c>
      <c r="BS62">
        <f t="shared" si="92"/>
        <v>0</v>
      </c>
      <c r="BT62" s="44">
        <f t="shared" si="55"/>
        <v>0</v>
      </c>
      <c r="BU62" s="42">
        <f t="shared" si="74"/>
        <v>7.7084137704940877E-3</v>
      </c>
      <c r="BV62">
        <f t="shared" si="21"/>
        <v>4.3874999999999997E-2</v>
      </c>
      <c r="BW62" s="44">
        <f t="shared" si="75"/>
        <v>2.2499999999999999E-2</v>
      </c>
      <c r="BX62">
        <f t="shared" si="56"/>
        <v>0.28527788502732548</v>
      </c>
      <c r="BY62">
        <f t="shared" si="43"/>
        <v>2.2126934052203571</v>
      </c>
      <c r="BZ62">
        <f t="shared" si="93"/>
        <v>86.138345521961043</v>
      </c>
    </row>
    <row r="63" spans="17:78" x14ac:dyDescent="0.3">
      <c r="Q63">
        <v>56</v>
      </c>
      <c r="R63" s="42">
        <f t="shared" si="57"/>
        <v>14</v>
      </c>
      <c r="S63">
        <f t="shared" si="1"/>
        <v>50</v>
      </c>
      <c r="T63" s="44">
        <f t="shared" si="58"/>
        <v>0.28000000000000003</v>
      </c>
      <c r="U63" s="42">
        <f t="shared" si="59"/>
        <v>1</v>
      </c>
      <c r="V63">
        <f t="shared" si="60"/>
        <v>0.1979898987322333</v>
      </c>
      <c r="W63">
        <f t="shared" si="61"/>
        <v>0.29170511746549038</v>
      </c>
      <c r="X63">
        <f t="shared" si="23"/>
        <v>0.5103049838022764</v>
      </c>
      <c r="Y63" s="42">
        <f t="shared" si="76"/>
        <v>1.4142135623730951</v>
      </c>
      <c r="Z63">
        <f t="shared" si="62"/>
        <v>2.8284271247461903</v>
      </c>
      <c r="AA63">
        <f t="shared" si="25"/>
        <v>2.8284271247461903</v>
      </c>
      <c r="AB63" s="44">
        <f t="shared" si="63"/>
        <v>0.72661754953066982</v>
      </c>
      <c r="AC63" s="42">
        <v>0</v>
      </c>
      <c r="AD63">
        <f t="shared" si="64"/>
        <v>1.0559461265719107E-2</v>
      </c>
      <c r="AE63" s="44">
        <f t="shared" si="27"/>
        <v>1.0559461265719107E-2</v>
      </c>
      <c r="AF63" s="42">
        <f t="shared" si="65"/>
        <v>0.28000000000000003</v>
      </c>
      <c r="AG63" s="44">
        <f t="shared" si="66"/>
        <v>0.28000000000000003</v>
      </c>
      <c r="AH63" s="42">
        <f t="shared" si="67"/>
        <v>1.7951084151722484E-2</v>
      </c>
      <c r="AI63">
        <f t="shared" si="68"/>
        <v>0.50959242708983554</v>
      </c>
      <c r="AJ63" s="44">
        <f t="shared" si="45"/>
        <v>0.52754351124155807</v>
      </c>
      <c r="AK63" s="42">
        <f t="shared" si="69"/>
        <v>14</v>
      </c>
      <c r="AL63">
        <f t="shared" si="13"/>
        <v>150</v>
      </c>
      <c r="AM63" s="44">
        <f t="shared" si="28"/>
        <v>9.3333333333333338E-2</v>
      </c>
      <c r="AN63" s="42">
        <f t="shared" si="77"/>
        <v>2</v>
      </c>
      <c r="AO63">
        <f t="shared" si="78"/>
        <v>0.29170511746549044</v>
      </c>
      <c r="AP63">
        <f t="shared" si="79"/>
        <v>0.31995781954142422</v>
      </c>
      <c r="AQ63">
        <f t="shared" si="80"/>
        <v>0.63991563908284854</v>
      </c>
      <c r="AR63">
        <f t="shared" si="46"/>
        <v>0.63991563908284843</v>
      </c>
      <c r="AS63" s="44">
        <f t="shared" si="47"/>
        <v>0.19954190812580788</v>
      </c>
      <c r="AT63" s="42"/>
      <c r="AU63">
        <f t="shared" si="81"/>
        <v>4.5297777777777791E-6</v>
      </c>
      <c r="AV63" s="44">
        <f t="shared" si="48"/>
        <v>4.5297777777777791E-6</v>
      </c>
      <c r="AW63" s="42">
        <f t="shared" si="82"/>
        <v>0.92749999999999999</v>
      </c>
      <c r="AX63">
        <f t="shared" si="83"/>
        <v>0.13066666666666665</v>
      </c>
      <c r="AY63" s="44">
        <f t="shared" si="49"/>
        <v>1.0581666666666667</v>
      </c>
      <c r="AZ63" s="42">
        <f t="shared" si="70"/>
        <v>0</v>
      </c>
      <c r="BA63">
        <f t="shared" si="71"/>
        <v>0</v>
      </c>
      <c r="BB63">
        <f t="shared" si="50"/>
        <v>0</v>
      </c>
      <c r="BC63" s="44">
        <f t="shared" si="84"/>
        <v>0</v>
      </c>
      <c r="BD63" s="42">
        <v>0</v>
      </c>
      <c r="BE63">
        <f t="shared" si="85"/>
        <v>0</v>
      </c>
      <c r="BF63" s="44">
        <f t="shared" si="52"/>
        <v>0</v>
      </c>
      <c r="BG63" s="42">
        <f t="shared" si="86"/>
        <v>0</v>
      </c>
      <c r="BH63">
        <f t="shared" si="87"/>
        <v>0</v>
      </c>
      <c r="BI63" s="44">
        <f t="shared" si="88"/>
        <v>0</v>
      </c>
      <c r="BK63" s="42">
        <f t="shared" si="72"/>
        <v>0</v>
      </c>
      <c r="BL63">
        <f t="shared" si="18"/>
        <v>0</v>
      </c>
      <c r="BM63">
        <f t="shared" si="73"/>
        <v>0</v>
      </c>
      <c r="BN63" s="44">
        <f t="shared" si="89"/>
        <v>0</v>
      </c>
      <c r="BO63" s="42">
        <v>0</v>
      </c>
      <c r="BP63">
        <f t="shared" si="90"/>
        <v>0</v>
      </c>
      <c r="BQ63" s="44">
        <f t="shared" si="53"/>
        <v>0</v>
      </c>
      <c r="BR63" s="42">
        <f t="shared" si="91"/>
        <v>0</v>
      </c>
      <c r="BS63">
        <f t="shared" si="92"/>
        <v>0</v>
      </c>
      <c r="BT63" s="44">
        <f t="shared" si="55"/>
        <v>0</v>
      </c>
      <c r="BU63" s="42">
        <f t="shared" si="74"/>
        <v>7.9195959492893309E-3</v>
      </c>
      <c r="BV63">
        <f t="shared" si="21"/>
        <v>4.3874999999999997E-2</v>
      </c>
      <c r="BW63" s="44">
        <f t="shared" si="75"/>
        <v>2.2499999999999999E-2</v>
      </c>
      <c r="BX63">
        <f t="shared" si="56"/>
        <v>0.29055946126571913</v>
      </c>
      <c r="BY63">
        <f t="shared" si="43"/>
        <v>2.2305687649010109</v>
      </c>
      <c r="BZ63">
        <f t="shared" si="93"/>
        <v>86.256989528767051</v>
      </c>
    </row>
    <row r="64" spans="17:78" x14ac:dyDescent="0.3">
      <c r="Q64">
        <v>57</v>
      </c>
      <c r="R64" s="42">
        <f t="shared" si="57"/>
        <v>14.25</v>
      </c>
      <c r="S64">
        <f t="shared" si="1"/>
        <v>50</v>
      </c>
      <c r="T64" s="44">
        <f t="shared" si="58"/>
        <v>0.28499999999999998</v>
      </c>
      <c r="U64" s="42">
        <f t="shared" si="59"/>
        <v>1</v>
      </c>
      <c r="V64">
        <f t="shared" si="60"/>
        <v>0.19974984355438177</v>
      </c>
      <c r="W64">
        <f t="shared" si="61"/>
        <v>0.29429810283678914</v>
      </c>
      <c r="X64">
        <f t="shared" si="23"/>
        <v>0.50595205360882911</v>
      </c>
      <c r="Y64" s="42">
        <f t="shared" si="76"/>
        <v>1.426784596817013</v>
      </c>
      <c r="Z64">
        <f t="shared" si="62"/>
        <v>2.8535691936340255</v>
      </c>
      <c r="AA64">
        <f t="shared" si="25"/>
        <v>2.8535691936340255</v>
      </c>
      <c r="AB64" s="44">
        <f t="shared" si="63"/>
        <v>0.73632747252188335</v>
      </c>
      <c r="AC64" s="42">
        <v>0</v>
      </c>
      <c r="AD64">
        <f t="shared" si="64"/>
        <v>1.0843562935809297E-2</v>
      </c>
      <c r="AE64" s="44">
        <f t="shared" si="27"/>
        <v>1.0843562935809297E-2</v>
      </c>
      <c r="AF64" s="42">
        <f t="shared" si="65"/>
        <v>0.28500000000000003</v>
      </c>
      <c r="AG64" s="44">
        <f t="shared" si="66"/>
        <v>0.28500000000000003</v>
      </c>
      <c r="AH64" s="42">
        <f t="shared" si="67"/>
        <v>1.8434056990875806E-2</v>
      </c>
      <c r="AI64">
        <f t="shared" si="68"/>
        <v>0.51412222663620422</v>
      </c>
      <c r="AJ64" s="44">
        <f t="shared" si="45"/>
        <v>0.53255628362708007</v>
      </c>
      <c r="AK64" s="42">
        <f t="shared" si="69"/>
        <v>14.25</v>
      </c>
      <c r="AL64">
        <f t="shared" si="13"/>
        <v>150</v>
      </c>
      <c r="AM64" s="44">
        <f t="shared" si="28"/>
        <v>9.5000000000000001E-2</v>
      </c>
      <c r="AN64" s="42">
        <f t="shared" si="77"/>
        <v>2</v>
      </c>
      <c r="AO64">
        <f t="shared" si="78"/>
        <v>0.29429810283678914</v>
      </c>
      <c r="AP64">
        <f t="shared" si="79"/>
        <v>0.32280194498122466</v>
      </c>
      <c r="AQ64">
        <f t="shared" si="80"/>
        <v>0.64560388996244922</v>
      </c>
      <c r="AR64">
        <f t="shared" si="46"/>
        <v>0.64560388996244922</v>
      </c>
      <c r="AS64" s="44">
        <f t="shared" si="47"/>
        <v>0.20220842307947623</v>
      </c>
      <c r="AT64" s="42"/>
      <c r="AU64">
        <f t="shared" si="81"/>
        <v>4.6930000000000006E-6</v>
      </c>
      <c r="AV64" s="44">
        <f t="shared" si="48"/>
        <v>4.6930000000000006E-6</v>
      </c>
      <c r="AW64" s="42">
        <f t="shared" si="82"/>
        <v>0.92749999999999999</v>
      </c>
      <c r="AX64">
        <f t="shared" si="83"/>
        <v>0.13299999999999998</v>
      </c>
      <c r="AY64" s="44">
        <f t="shared" si="49"/>
        <v>1.0605</v>
      </c>
      <c r="AZ64" s="42">
        <f t="shared" si="70"/>
        <v>0</v>
      </c>
      <c r="BA64">
        <f t="shared" si="71"/>
        <v>0</v>
      </c>
      <c r="BB64">
        <f t="shared" si="50"/>
        <v>0</v>
      </c>
      <c r="BC64" s="44">
        <f t="shared" si="84"/>
        <v>0</v>
      </c>
      <c r="BD64" s="42">
        <v>0</v>
      </c>
      <c r="BE64">
        <f t="shared" si="85"/>
        <v>0</v>
      </c>
      <c r="BF64" s="44">
        <f t="shared" si="52"/>
        <v>0</v>
      </c>
      <c r="BG64" s="42">
        <f t="shared" si="86"/>
        <v>0</v>
      </c>
      <c r="BH64">
        <f t="shared" si="87"/>
        <v>0</v>
      </c>
      <c r="BI64" s="44">
        <f t="shared" si="88"/>
        <v>0</v>
      </c>
      <c r="BK64" s="42">
        <f t="shared" si="72"/>
        <v>0</v>
      </c>
      <c r="BL64">
        <f t="shared" si="18"/>
        <v>0</v>
      </c>
      <c r="BM64">
        <f t="shared" si="73"/>
        <v>0</v>
      </c>
      <c r="BN64" s="44">
        <f t="shared" si="89"/>
        <v>0</v>
      </c>
      <c r="BO64" s="42">
        <v>0</v>
      </c>
      <c r="BP64">
        <f t="shared" si="90"/>
        <v>0</v>
      </c>
      <c r="BQ64" s="44">
        <f t="shared" si="53"/>
        <v>0</v>
      </c>
      <c r="BR64" s="42">
        <f t="shared" si="91"/>
        <v>0</v>
      </c>
      <c r="BS64">
        <f t="shared" si="92"/>
        <v>0</v>
      </c>
      <c r="BT64" s="44">
        <f t="shared" si="55"/>
        <v>0</v>
      </c>
      <c r="BU64" s="42">
        <f t="shared" si="74"/>
        <v>8.1326722018569726E-3</v>
      </c>
      <c r="BV64">
        <f t="shared" si="21"/>
        <v>4.3874999999999997E-2</v>
      </c>
      <c r="BW64" s="44">
        <f t="shared" si="75"/>
        <v>2.2499999999999999E-2</v>
      </c>
      <c r="BX64">
        <f t="shared" si="56"/>
        <v>0.29584356293580932</v>
      </c>
      <c r="BY64">
        <f t="shared" si="43"/>
        <v>2.2484122117647463</v>
      </c>
      <c r="BZ64">
        <f t="shared" si="93"/>
        <v>86.371947900771701</v>
      </c>
    </row>
    <row r="65" spans="17:78" x14ac:dyDescent="0.3">
      <c r="Q65">
        <v>58</v>
      </c>
      <c r="R65" s="42">
        <f t="shared" si="57"/>
        <v>14.5</v>
      </c>
      <c r="S65">
        <f t="shared" si="1"/>
        <v>50</v>
      </c>
      <c r="T65" s="44">
        <f t="shared" si="58"/>
        <v>0.28999999999999998</v>
      </c>
      <c r="U65" s="42">
        <f t="shared" si="59"/>
        <v>1</v>
      </c>
      <c r="V65">
        <f t="shared" si="60"/>
        <v>0.20149441679609884</v>
      </c>
      <c r="W65">
        <f t="shared" si="61"/>
        <v>0.29686844074625229</v>
      </c>
      <c r="X65">
        <f t="shared" si="23"/>
        <v>0.5016371424576489</v>
      </c>
      <c r="Y65" s="42">
        <f t="shared" si="76"/>
        <v>1.4392458342578491</v>
      </c>
      <c r="Z65">
        <f t="shared" si="62"/>
        <v>2.8784916685156974</v>
      </c>
      <c r="AA65">
        <f t="shared" si="25"/>
        <v>2.8784916685156978</v>
      </c>
      <c r="AB65" s="44">
        <f t="shared" si="63"/>
        <v>0.74599489894125159</v>
      </c>
      <c r="AC65" s="42">
        <v>0</v>
      </c>
      <c r="AD65">
        <f t="shared" si="64"/>
        <v>1.1130167784927363E-2</v>
      </c>
      <c r="AE65" s="44">
        <f t="shared" si="27"/>
        <v>1.1130167784927363E-2</v>
      </c>
      <c r="AF65" s="42">
        <f t="shared" si="65"/>
        <v>0.28999999999999998</v>
      </c>
      <c r="AG65" s="44">
        <f t="shared" si="66"/>
        <v>0.28999999999999998</v>
      </c>
      <c r="AH65" s="42">
        <f t="shared" si="67"/>
        <v>1.8921285234376518E-2</v>
      </c>
      <c r="AI65">
        <f t="shared" si="68"/>
        <v>0.51861246234103131</v>
      </c>
      <c r="AJ65" s="44">
        <f t="shared" si="45"/>
        <v>0.53753374757540784</v>
      </c>
      <c r="AK65" s="42">
        <f t="shared" si="69"/>
        <v>14.5</v>
      </c>
      <c r="AL65">
        <f t="shared" si="13"/>
        <v>150</v>
      </c>
      <c r="AM65" s="44">
        <f t="shared" si="28"/>
        <v>9.6666666666666665E-2</v>
      </c>
      <c r="AN65" s="42">
        <f t="shared" si="77"/>
        <v>2</v>
      </c>
      <c r="AO65">
        <f t="shared" si="78"/>
        <v>0.29686844074625229</v>
      </c>
      <c r="AP65">
        <f t="shared" si="79"/>
        <v>0.32562122947010158</v>
      </c>
      <c r="AQ65">
        <f t="shared" si="80"/>
        <v>0.65124245894020316</v>
      </c>
      <c r="AR65">
        <f t="shared" si="46"/>
        <v>0.65124245894020316</v>
      </c>
      <c r="AS65" s="44">
        <f t="shared" si="47"/>
        <v>0.20486326773005284</v>
      </c>
      <c r="AT65" s="42"/>
      <c r="AU65">
        <f t="shared" si="81"/>
        <v>4.8591111111111112E-6</v>
      </c>
      <c r="AV65" s="44">
        <f t="shared" si="48"/>
        <v>4.8591111111111112E-6</v>
      </c>
      <c r="AW65" s="42">
        <f t="shared" si="82"/>
        <v>0.92749999999999999</v>
      </c>
      <c r="AX65">
        <f t="shared" si="83"/>
        <v>0.13533333333333333</v>
      </c>
      <c r="AY65" s="44">
        <f t="shared" si="49"/>
        <v>1.0628333333333333</v>
      </c>
      <c r="AZ65" s="42">
        <f t="shared" si="70"/>
        <v>0</v>
      </c>
      <c r="BA65">
        <f t="shared" si="71"/>
        <v>0</v>
      </c>
      <c r="BB65">
        <f t="shared" si="50"/>
        <v>0</v>
      </c>
      <c r="BC65" s="44">
        <f t="shared" si="84"/>
        <v>0</v>
      </c>
      <c r="BD65" s="42">
        <v>0</v>
      </c>
      <c r="BE65">
        <f t="shared" si="85"/>
        <v>0</v>
      </c>
      <c r="BF65" s="44">
        <f t="shared" si="52"/>
        <v>0</v>
      </c>
      <c r="BG65" s="42">
        <f t="shared" si="86"/>
        <v>0</v>
      </c>
      <c r="BH65">
        <f t="shared" si="87"/>
        <v>0</v>
      </c>
      <c r="BI65" s="44">
        <f t="shared" si="88"/>
        <v>0</v>
      </c>
      <c r="BK65" s="42">
        <f t="shared" si="72"/>
        <v>0</v>
      </c>
      <c r="BL65">
        <f t="shared" si="18"/>
        <v>0</v>
      </c>
      <c r="BM65">
        <f t="shared" si="73"/>
        <v>0</v>
      </c>
      <c r="BN65" s="44">
        <f t="shared" si="89"/>
        <v>0</v>
      </c>
      <c r="BO65" s="42">
        <v>0</v>
      </c>
      <c r="BP65">
        <f t="shared" si="90"/>
        <v>0</v>
      </c>
      <c r="BQ65" s="44">
        <f t="shared" si="53"/>
        <v>0</v>
      </c>
      <c r="BR65" s="42">
        <f t="shared" si="91"/>
        <v>0</v>
      </c>
      <c r="BS65">
        <f t="shared" si="92"/>
        <v>0</v>
      </c>
      <c r="BT65" s="44">
        <f t="shared" si="55"/>
        <v>0</v>
      </c>
      <c r="BU65" s="42">
        <f t="shared" si="74"/>
        <v>8.3476258386955219E-3</v>
      </c>
      <c r="BV65">
        <f t="shared" si="21"/>
        <v>4.3874999999999997E-2</v>
      </c>
      <c r="BW65" s="44">
        <f t="shared" si="75"/>
        <v>2.2499999999999999E-2</v>
      </c>
      <c r="BX65">
        <f t="shared" si="56"/>
        <v>0.30113016778492735</v>
      </c>
      <c r="BY65">
        <f t="shared" si="43"/>
        <v>2.2662247336434751</v>
      </c>
      <c r="BZ65">
        <f t="shared" si="93"/>
        <v>86.483392835024929</v>
      </c>
    </row>
    <row r="66" spans="17:78" x14ac:dyDescent="0.3">
      <c r="Q66">
        <v>59</v>
      </c>
      <c r="R66" s="42">
        <f t="shared" si="57"/>
        <v>14.75</v>
      </c>
      <c r="S66">
        <f t="shared" si="1"/>
        <v>50</v>
      </c>
      <c r="T66" s="44">
        <f t="shared" si="58"/>
        <v>0.29499999999999998</v>
      </c>
      <c r="U66" s="42">
        <f t="shared" si="59"/>
        <v>1</v>
      </c>
      <c r="V66">
        <f t="shared" si="60"/>
        <v>0.20322401432901577</v>
      </c>
      <c r="W66">
        <f t="shared" si="61"/>
        <v>0.29941671444474993</v>
      </c>
      <c r="X66">
        <f t="shared" si="23"/>
        <v>0.49735927122623425</v>
      </c>
      <c r="Y66" s="42">
        <f t="shared" si="76"/>
        <v>1.4516001023501126</v>
      </c>
      <c r="Z66">
        <f t="shared" si="62"/>
        <v>2.9032002047002252</v>
      </c>
      <c r="AA66">
        <f t="shared" si="25"/>
        <v>2.9032002047002252</v>
      </c>
      <c r="AB66" s="44">
        <f t="shared" si="63"/>
        <v>0.7556207427832945</v>
      </c>
      <c r="AC66" s="42">
        <v>0</v>
      </c>
      <c r="AD66">
        <f t="shared" si="64"/>
        <v>1.1419254138487553E-2</v>
      </c>
      <c r="AE66" s="44">
        <f t="shared" si="27"/>
        <v>1.1419254138487553E-2</v>
      </c>
      <c r="AF66" s="42">
        <f t="shared" si="65"/>
        <v>0.29499999999999998</v>
      </c>
      <c r="AG66" s="44">
        <f t="shared" si="66"/>
        <v>0.29499999999999998</v>
      </c>
      <c r="AH66" s="42">
        <f t="shared" si="67"/>
        <v>1.9412732035428842E-2</v>
      </c>
      <c r="AI66">
        <f t="shared" si="68"/>
        <v>0.52306415311076959</v>
      </c>
      <c r="AJ66" s="44">
        <f t="shared" si="45"/>
        <v>0.54247688514619841</v>
      </c>
      <c r="AK66" s="42">
        <f t="shared" si="69"/>
        <v>14.75</v>
      </c>
      <c r="AL66">
        <f t="shared" si="13"/>
        <v>150</v>
      </c>
      <c r="AM66" s="44">
        <f t="shared" si="28"/>
        <v>9.8333333333333328E-2</v>
      </c>
      <c r="AN66" s="42">
        <f t="shared" si="77"/>
        <v>2</v>
      </c>
      <c r="AO66">
        <f t="shared" si="78"/>
        <v>0.29941671444474982</v>
      </c>
      <c r="AP66">
        <f t="shared" si="79"/>
        <v>0.32841631274889427</v>
      </c>
      <c r="AQ66">
        <f t="shared" si="80"/>
        <v>0.65683262549778842</v>
      </c>
      <c r="AR66">
        <f t="shared" si="46"/>
        <v>0.65683262549778854</v>
      </c>
      <c r="AS66" s="44">
        <f t="shared" si="47"/>
        <v>0.20750669307644443</v>
      </c>
      <c r="AT66" s="42"/>
      <c r="AU66">
        <f t="shared" si="81"/>
        <v>5.0281111111111116E-6</v>
      </c>
      <c r="AV66" s="44">
        <f t="shared" si="48"/>
        <v>5.0281111111111116E-6</v>
      </c>
      <c r="AW66" s="42">
        <f t="shared" si="82"/>
        <v>0.92749999999999999</v>
      </c>
      <c r="AX66">
        <f t="shared" si="83"/>
        <v>0.13766666666666666</v>
      </c>
      <c r="AY66" s="44">
        <f t="shared" si="49"/>
        <v>1.0651666666666666</v>
      </c>
      <c r="AZ66" s="42">
        <f t="shared" si="70"/>
        <v>0</v>
      </c>
      <c r="BA66">
        <f t="shared" si="71"/>
        <v>0</v>
      </c>
      <c r="BB66">
        <f t="shared" si="50"/>
        <v>0</v>
      </c>
      <c r="BC66" s="44">
        <f t="shared" si="84"/>
        <v>0</v>
      </c>
      <c r="BD66" s="42">
        <v>0</v>
      </c>
      <c r="BE66">
        <f t="shared" si="85"/>
        <v>0</v>
      </c>
      <c r="BF66" s="44">
        <f t="shared" si="52"/>
        <v>0</v>
      </c>
      <c r="BG66" s="42">
        <f t="shared" si="86"/>
        <v>0</v>
      </c>
      <c r="BH66">
        <f t="shared" si="87"/>
        <v>0</v>
      </c>
      <c r="BI66" s="44">
        <f t="shared" si="88"/>
        <v>0</v>
      </c>
      <c r="BK66" s="42">
        <f t="shared" si="72"/>
        <v>0</v>
      </c>
      <c r="BL66">
        <f t="shared" si="18"/>
        <v>0</v>
      </c>
      <c r="BM66">
        <f t="shared" si="73"/>
        <v>0</v>
      </c>
      <c r="BN66" s="44">
        <f t="shared" si="89"/>
        <v>0</v>
      </c>
      <c r="BO66" s="42">
        <v>0</v>
      </c>
      <c r="BP66">
        <f t="shared" si="90"/>
        <v>0</v>
      </c>
      <c r="BQ66" s="44">
        <f t="shared" si="53"/>
        <v>0</v>
      </c>
      <c r="BR66" s="42">
        <f t="shared" si="91"/>
        <v>0</v>
      </c>
      <c r="BS66">
        <f t="shared" si="92"/>
        <v>0</v>
      </c>
      <c r="BT66" s="44">
        <f t="shared" si="55"/>
        <v>0</v>
      </c>
      <c r="BU66" s="42">
        <f t="shared" si="74"/>
        <v>8.5644406038656654E-3</v>
      </c>
      <c r="BV66">
        <f t="shared" si="21"/>
        <v>4.3874999999999997E-2</v>
      </c>
      <c r="BW66" s="44">
        <f t="shared" si="75"/>
        <v>2.2499999999999999E-2</v>
      </c>
      <c r="BX66">
        <f t="shared" si="56"/>
        <v>0.30641925413848753</v>
      </c>
      <c r="BY66">
        <f t="shared" si="43"/>
        <v>2.2840072746663291</v>
      </c>
      <c r="BZ66">
        <f t="shared" si="93"/>
        <v>86.591485856277643</v>
      </c>
    </row>
    <row r="67" spans="17:78" x14ac:dyDescent="0.3">
      <c r="Q67">
        <v>60</v>
      </c>
      <c r="R67" s="42">
        <f t="shared" si="57"/>
        <v>15</v>
      </c>
      <c r="S67">
        <f t="shared" si="1"/>
        <v>50</v>
      </c>
      <c r="T67" s="44">
        <f t="shared" si="58"/>
        <v>0.3</v>
      </c>
      <c r="U67" s="42">
        <f t="shared" si="59"/>
        <v>1</v>
      </c>
      <c r="V67">
        <f t="shared" si="60"/>
        <v>0.20493901531919198</v>
      </c>
      <c r="W67">
        <f t="shared" si="61"/>
        <v>0.3019434825702762</v>
      </c>
      <c r="X67">
        <f t="shared" si="23"/>
        <v>0.49311750211053179</v>
      </c>
      <c r="Y67" s="42">
        <f t="shared" si="76"/>
        <v>1.4638501094227996</v>
      </c>
      <c r="Z67">
        <f t="shared" si="62"/>
        <v>2.9277002188456001</v>
      </c>
      <c r="AA67">
        <f t="shared" si="25"/>
        <v>2.9277002188455996</v>
      </c>
      <c r="AB67" s="44">
        <f t="shared" si="63"/>
        <v>0.76520588325568961</v>
      </c>
      <c r="AC67" s="42">
        <v>0</v>
      </c>
      <c r="AD67">
        <f t="shared" si="64"/>
        <v>1.1710800875382401E-2</v>
      </c>
      <c r="AE67" s="44">
        <f t="shared" si="27"/>
        <v>1.1710800875382401E-2</v>
      </c>
      <c r="AF67" s="42">
        <f t="shared" si="65"/>
        <v>0.3</v>
      </c>
      <c r="AG67" s="44">
        <f t="shared" si="66"/>
        <v>0.3</v>
      </c>
      <c r="AH67" s="42">
        <f t="shared" si="67"/>
        <v>1.9908361488150082E-2</v>
      </c>
      <c r="AI67">
        <f t="shared" si="68"/>
        <v>0.52747827485456278</v>
      </c>
      <c r="AJ67" s="44">
        <f t="shared" si="45"/>
        <v>0.5473866363427129</v>
      </c>
      <c r="AK67" s="42">
        <f t="shared" si="69"/>
        <v>15</v>
      </c>
      <c r="AL67">
        <f t="shared" si="13"/>
        <v>150</v>
      </c>
      <c r="AM67" s="44">
        <f t="shared" si="28"/>
        <v>0.1</v>
      </c>
      <c r="AN67" s="42">
        <f t="shared" si="77"/>
        <v>1</v>
      </c>
      <c r="AO67">
        <f t="shared" si="78"/>
        <v>0.30194348257027626</v>
      </c>
      <c r="AP67">
        <f t="shared" si="79"/>
        <v>0.33118780756171934</v>
      </c>
      <c r="AQ67">
        <f t="shared" si="80"/>
        <v>0.66237561512343912</v>
      </c>
      <c r="AR67">
        <f t="shared" si="46"/>
        <v>0.6623756151234389</v>
      </c>
      <c r="AS67" s="44">
        <f t="shared" si="47"/>
        <v>0.21013894056448132</v>
      </c>
      <c r="AT67" s="42"/>
      <c r="AU67">
        <f t="shared" si="81"/>
        <v>5.2000000000000019E-6</v>
      </c>
      <c r="AV67" s="44">
        <f t="shared" si="48"/>
        <v>5.2000000000000019E-6</v>
      </c>
      <c r="AW67" s="42">
        <f t="shared" si="82"/>
        <v>0.92749999999999999</v>
      </c>
      <c r="AX67">
        <f t="shared" si="83"/>
        <v>0.13999999999999999</v>
      </c>
      <c r="AY67" s="44">
        <f t="shared" si="49"/>
        <v>1.0674999999999999</v>
      </c>
      <c r="AZ67" s="42">
        <f t="shared" si="70"/>
        <v>0</v>
      </c>
      <c r="BA67">
        <f t="shared" si="71"/>
        <v>0</v>
      </c>
      <c r="BB67">
        <f t="shared" si="50"/>
        <v>0</v>
      </c>
      <c r="BC67" s="44">
        <f t="shared" si="84"/>
        <v>0</v>
      </c>
      <c r="BD67" s="42">
        <v>0</v>
      </c>
      <c r="BE67">
        <f t="shared" si="85"/>
        <v>0</v>
      </c>
      <c r="BF67" s="44">
        <f t="shared" si="52"/>
        <v>0</v>
      </c>
      <c r="BG67" s="42">
        <f t="shared" si="86"/>
        <v>0</v>
      </c>
      <c r="BH67">
        <f t="shared" si="87"/>
        <v>0</v>
      </c>
      <c r="BI67" s="44">
        <f t="shared" si="88"/>
        <v>0</v>
      </c>
      <c r="BK67" s="42">
        <f t="shared" si="72"/>
        <v>0</v>
      </c>
      <c r="BL67">
        <f t="shared" si="18"/>
        <v>0</v>
      </c>
      <c r="BM67">
        <f t="shared" si="73"/>
        <v>0</v>
      </c>
      <c r="BN67" s="44">
        <f t="shared" si="89"/>
        <v>0</v>
      </c>
      <c r="BO67" s="42">
        <v>0</v>
      </c>
      <c r="BP67">
        <f t="shared" si="90"/>
        <v>0</v>
      </c>
      <c r="BQ67" s="44">
        <f t="shared" si="53"/>
        <v>0</v>
      </c>
      <c r="BR67" s="42">
        <f t="shared" si="91"/>
        <v>0</v>
      </c>
      <c r="BS67">
        <f t="shared" si="92"/>
        <v>0</v>
      </c>
      <c r="BT67" s="44">
        <f t="shared" si="55"/>
        <v>0</v>
      </c>
      <c r="BU67" s="42">
        <f t="shared" si="74"/>
        <v>8.7831006565368009E-3</v>
      </c>
      <c r="BV67">
        <f t="shared" si="21"/>
        <v>4.3874999999999997E-2</v>
      </c>
      <c r="BW67" s="44">
        <f t="shared" si="75"/>
        <v>2.2499999999999999E-2</v>
      </c>
      <c r="BX67">
        <f t="shared" si="56"/>
        <v>0.31171080087538239</v>
      </c>
      <c r="BY67">
        <f t="shared" si="43"/>
        <v>2.3017607378746319</v>
      </c>
      <c r="BZ67">
        <f t="shared" si="93"/>
        <v>86.696378635985099</v>
      </c>
    </row>
    <row r="68" spans="17:78" x14ac:dyDescent="0.3">
      <c r="Q68">
        <v>61</v>
      </c>
      <c r="R68" s="42">
        <f t="shared" si="57"/>
        <v>15.25</v>
      </c>
      <c r="S68">
        <f t="shared" si="1"/>
        <v>50</v>
      </c>
      <c r="T68" s="44">
        <f t="shared" si="58"/>
        <v>0.30499999999999999</v>
      </c>
      <c r="U68" s="42">
        <f t="shared" si="59"/>
        <v>1</v>
      </c>
      <c r="V68">
        <f t="shared" si="60"/>
        <v>0.20663978319771822</v>
      </c>
      <c r="W68">
        <f t="shared" si="61"/>
        <v>0.30444928057797149</v>
      </c>
      <c r="X68">
        <f t="shared" si="23"/>
        <v>0.48891093622431026</v>
      </c>
      <c r="Y68" s="42">
        <f t="shared" si="76"/>
        <v>1.4759984514122735</v>
      </c>
      <c r="Z68">
        <f t="shared" si="62"/>
        <v>2.9519969028245461</v>
      </c>
      <c r="AA68">
        <f t="shared" si="25"/>
        <v>2.9519969028245465</v>
      </c>
      <c r="AB68" s="44">
        <f t="shared" si="63"/>
        <v>0.77475116665997412</v>
      </c>
      <c r="AC68" s="42">
        <v>0</v>
      </c>
      <c r="AD68">
        <f t="shared" si="64"/>
        <v>1.2004787404819819E-2</v>
      </c>
      <c r="AE68" s="44">
        <f t="shared" si="27"/>
        <v>1.2004787404819819E-2</v>
      </c>
      <c r="AF68" s="42">
        <f t="shared" si="65"/>
        <v>0.30499999999999999</v>
      </c>
      <c r="AG68" s="44">
        <f t="shared" si="66"/>
        <v>0.30499999999999999</v>
      </c>
      <c r="AH68" s="42">
        <f t="shared" si="67"/>
        <v>2.0408138588193694E-2</v>
      </c>
      <c r="AI68">
        <f t="shared" si="68"/>
        <v>0.53185576298241322</v>
      </c>
      <c r="AJ68" s="44">
        <f t="shared" si="45"/>
        <v>0.5522639015706069</v>
      </c>
      <c r="AK68" s="42">
        <f t="shared" si="69"/>
        <v>15.25</v>
      </c>
      <c r="AL68">
        <f t="shared" si="13"/>
        <v>150</v>
      </c>
      <c r="AM68" s="44">
        <f t="shared" si="28"/>
        <v>0.10166666666666667</v>
      </c>
      <c r="AN68" s="42">
        <f t="shared" si="77"/>
        <v>2</v>
      </c>
      <c r="AO68">
        <f t="shared" si="78"/>
        <v>0.30444928057797149</v>
      </c>
      <c r="AP68">
        <f t="shared" si="79"/>
        <v>0.33393630122449625</v>
      </c>
      <c r="AQ68">
        <f t="shared" si="80"/>
        <v>0.66787260244899238</v>
      </c>
      <c r="AR68">
        <f t="shared" si="46"/>
        <v>0.66787260244899249</v>
      </c>
      <c r="AS68" s="44">
        <f t="shared" si="47"/>
        <v>0.21276024260339141</v>
      </c>
      <c r="AT68" s="42"/>
      <c r="AU68">
        <f t="shared" si="81"/>
        <v>5.3747777777777786E-6</v>
      </c>
      <c r="AV68" s="44">
        <f t="shared" si="48"/>
        <v>5.3747777777777786E-6</v>
      </c>
      <c r="AW68" s="42">
        <f t="shared" si="82"/>
        <v>0.92749999999999999</v>
      </c>
      <c r="AX68">
        <f t="shared" si="83"/>
        <v>0.14233333333333334</v>
      </c>
      <c r="AY68" s="44">
        <f t="shared" si="49"/>
        <v>1.0698333333333334</v>
      </c>
      <c r="AZ68" s="42">
        <f t="shared" si="70"/>
        <v>0</v>
      </c>
      <c r="BA68">
        <f t="shared" si="71"/>
        <v>0</v>
      </c>
      <c r="BB68">
        <f t="shared" si="50"/>
        <v>0</v>
      </c>
      <c r="BC68" s="44">
        <f t="shared" si="84"/>
        <v>0</v>
      </c>
      <c r="BD68" s="42">
        <v>0</v>
      </c>
      <c r="BE68">
        <f t="shared" si="85"/>
        <v>0</v>
      </c>
      <c r="BF68" s="44">
        <f t="shared" si="52"/>
        <v>0</v>
      </c>
      <c r="BG68" s="42">
        <f t="shared" si="86"/>
        <v>0</v>
      </c>
      <c r="BH68">
        <f t="shared" si="87"/>
        <v>0</v>
      </c>
      <c r="BI68" s="44">
        <f t="shared" si="88"/>
        <v>0</v>
      </c>
      <c r="BK68" s="42">
        <f t="shared" si="72"/>
        <v>0</v>
      </c>
      <c r="BL68">
        <f t="shared" si="18"/>
        <v>0</v>
      </c>
      <c r="BM68">
        <f t="shared" si="73"/>
        <v>0</v>
      </c>
      <c r="BN68" s="44">
        <f t="shared" si="89"/>
        <v>0</v>
      </c>
      <c r="BO68" s="42">
        <v>0</v>
      </c>
      <c r="BP68">
        <f t="shared" si="90"/>
        <v>0</v>
      </c>
      <c r="BQ68" s="44">
        <f t="shared" si="53"/>
        <v>0</v>
      </c>
      <c r="BR68" s="42">
        <f t="shared" si="91"/>
        <v>0</v>
      </c>
      <c r="BS68">
        <f t="shared" si="92"/>
        <v>0</v>
      </c>
      <c r="BT68" s="44">
        <f t="shared" si="55"/>
        <v>0</v>
      </c>
      <c r="BU68" s="42">
        <f t="shared" si="74"/>
        <v>9.0035905536148646E-3</v>
      </c>
      <c r="BV68">
        <f t="shared" si="21"/>
        <v>4.3874999999999997E-2</v>
      </c>
      <c r="BW68" s="44">
        <f t="shared" si="75"/>
        <v>2.2499999999999999E-2</v>
      </c>
      <c r="BX68">
        <f t="shared" si="56"/>
        <v>0.3170047874048198</v>
      </c>
      <c r="BY68">
        <f t="shared" si="43"/>
        <v>2.319485987640153</v>
      </c>
      <c r="BZ68">
        <f t="shared" si="93"/>
        <v>86.798213736748622</v>
      </c>
    </row>
    <row r="69" spans="17:78" x14ac:dyDescent="0.3">
      <c r="Q69">
        <v>62</v>
      </c>
      <c r="R69" s="42">
        <f t="shared" si="57"/>
        <v>15.5</v>
      </c>
      <c r="S69">
        <f t="shared" si="1"/>
        <v>50</v>
      </c>
      <c r="T69" s="44">
        <f t="shared" si="58"/>
        <v>0.31</v>
      </c>
      <c r="U69" s="42">
        <f t="shared" si="59"/>
        <v>1</v>
      </c>
      <c r="V69">
        <f t="shared" si="60"/>
        <v>0.2083266665599966</v>
      </c>
      <c r="W69">
        <f t="shared" si="61"/>
        <v>0.30693462206506167</v>
      </c>
      <c r="X69">
        <f t="shared" si="23"/>
        <v>0.48473871137494179</v>
      </c>
      <c r="Y69" s="42">
        <f t="shared" si="76"/>
        <v>1.4880476182856899</v>
      </c>
      <c r="Z69">
        <f t="shared" si="62"/>
        <v>2.9760952365713798</v>
      </c>
      <c r="AA69">
        <f t="shared" si="25"/>
        <v>2.9760952365713798</v>
      </c>
      <c r="AB69" s="44">
        <f t="shared" si="63"/>
        <v>0.78425740814145439</v>
      </c>
      <c r="AC69" s="42">
        <v>0</v>
      </c>
      <c r="AD69">
        <f t="shared" si="64"/>
        <v>1.2301193644495037E-2</v>
      </c>
      <c r="AE69" s="44">
        <f t="shared" si="27"/>
        <v>1.2301193644495037E-2</v>
      </c>
      <c r="AF69" s="42">
        <f t="shared" si="65"/>
        <v>0.31</v>
      </c>
      <c r="AG69" s="44">
        <f t="shared" si="66"/>
        <v>0.31</v>
      </c>
      <c r="AH69" s="42">
        <f t="shared" si="67"/>
        <v>2.0912029195641564E-2</v>
      </c>
      <c r="AI69">
        <f t="shared" si="68"/>
        <v>0.5361975147197755</v>
      </c>
      <c r="AJ69" s="44">
        <f t="shared" si="45"/>
        <v>0.55710954391541712</v>
      </c>
      <c r="AK69" s="42">
        <f t="shared" si="69"/>
        <v>15.5</v>
      </c>
      <c r="AL69">
        <f t="shared" si="13"/>
        <v>150</v>
      </c>
      <c r="AM69" s="44">
        <f t="shared" si="28"/>
        <v>0.10333333333333333</v>
      </c>
      <c r="AN69" s="42">
        <f t="shared" si="77"/>
        <v>2</v>
      </c>
      <c r="AO69">
        <f t="shared" si="78"/>
        <v>0.30693462206506167</v>
      </c>
      <c r="AP69">
        <f t="shared" si="79"/>
        <v>0.33666235707821035</v>
      </c>
      <c r="AQ69">
        <f t="shared" si="80"/>
        <v>0.67332471415642092</v>
      </c>
      <c r="AR69">
        <f t="shared" si="46"/>
        <v>0.67332471415642081</v>
      </c>
      <c r="AS69" s="44">
        <f t="shared" si="47"/>
        <v>0.21537082304635546</v>
      </c>
      <c r="AT69" s="42"/>
      <c r="AU69">
        <f t="shared" si="81"/>
        <v>5.5524444444444452E-6</v>
      </c>
      <c r="AV69" s="44">
        <f t="shared" si="48"/>
        <v>5.5524444444444452E-6</v>
      </c>
      <c r="AW69" s="42">
        <f t="shared" si="82"/>
        <v>0.92749999999999999</v>
      </c>
      <c r="AX69">
        <f t="shared" si="83"/>
        <v>0.14466666666666667</v>
      </c>
      <c r="AY69" s="44">
        <f t="shared" si="49"/>
        <v>1.0721666666666667</v>
      </c>
      <c r="AZ69" s="42">
        <f t="shared" si="70"/>
        <v>0</v>
      </c>
      <c r="BA69">
        <f t="shared" si="71"/>
        <v>0</v>
      </c>
      <c r="BB69">
        <f t="shared" si="50"/>
        <v>0</v>
      </c>
      <c r="BC69" s="44">
        <f t="shared" si="84"/>
        <v>0</v>
      </c>
      <c r="BD69" s="42">
        <v>0</v>
      </c>
      <c r="BE69">
        <f t="shared" si="85"/>
        <v>0</v>
      </c>
      <c r="BF69" s="44">
        <f t="shared" si="52"/>
        <v>0</v>
      </c>
      <c r="BG69" s="42">
        <f t="shared" si="86"/>
        <v>0</v>
      </c>
      <c r="BH69">
        <f t="shared" si="87"/>
        <v>0</v>
      </c>
      <c r="BI69" s="44">
        <f t="shared" si="88"/>
        <v>0</v>
      </c>
      <c r="BK69" s="42">
        <f t="shared" si="72"/>
        <v>0</v>
      </c>
      <c r="BL69">
        <f t="shared" si="18"/>
        <v>0</v>
      </c>
      <c r="BM69">
        <f t="shared" si="73"/>
        <v>0</v>
      </c>
      <c r="BN69" s="44">
        <f t="shared" si="89"/>
        <v>0</v>
      </c>
      <c r="BO69" s="42">
        <v>0</v>
      </c>
      <c r="BP69">
        <f t="shared" si="90"/>
        <v>0</v>
      </c>
      <c r="BQ69" s="44">
        <f t="shared" si="53"/>
        <v>0</v>
      </c>
      <c r="BR69" s="42">
        <f t="shared" si="91"/>
        <v>0</v>
      </c>
      <c r="BS69">
        <f t="shared" si="92"/>
        <v>0</v>
      </c>
      <c r="BT69" s="44">
        <f t="shared" si="55"/>
        <v>0</v>
      </c>
      <c r="BU69" s="42">
        <f t="shared" si="74"/>
        <v>9.2258952333712767E-3</v>
      </c>
      <c r="BV69">
        <f t="shared" si="21"/>
        <v>4.3874999999999997E-2</v>
      </c>
      <c r="BW69" s="44">
        <f t="shared" si="75"/>
        <v>2.2499999999999999E-2</v>
      </c>
      <c r="BX69">
        <f t="shared" si="56"/>
        <v>0.32230119364449505</v>
      </c>
      <c r="BY69">
        <f t="shared" si="43"/>
        <v>2.3371838519043946</v>
      </c>
      <c r="BZ69">
        <f t="shared" si="93"/>
        <v>86.89712529001676</v>
      </c>
    </row>
    <row r="70" spans="17:78" x14ac:dyDescent="0.3">
      <c r="Q70">
        <v>63</v>
      </c>
      <c r="R70" s="42">
        <f t="shared" si="57"/>
        <v>15.75</v>
      </c>
      <c r="S70">
        <f t="shared" si="1"/>
        <v>50</v>
      </c>
      <c r="T70" s="44">
        <f t="shared" si="58"/>
        <v>0.315</v>
      </c>
      <c r="U70" s="42">
        <f t="shared" si="59"/>
        <v>1</v>
      </c>
      <c r="V70">
        <f t="shared" si="60"/>
        <v>0.21</v>
      </c>
      <c r="W70">
        <f t="shared" si="61"/>
        <v>0.30939999999999995</v>
      </c>
      <c r="X70">
        <f t="shared" si="23"/>
        <v>0.48060000000000008</v>
      </c>
      <c r="Y70" s="42">
        <f t="shared" si="76"/>
        <v>1.5</v>
      </c>
      <c r="Z70">
        <f t="shared" si="62"/>
        <v>3</v>
      </c>
      <c r="AA70">
        <f t="shared" si="25"/>
        <v>3</v>
      </c>
      <c r="AB70" s="44">
        <f t="shared" si="63"/>
        <v>0.79372539331937708</v>
      </c>
      <c r="AC70" s="42">
        <v>0</v>
      </c>
      <c r="AD70">
        <f t="shared" si="64"/>
        <v>1.2599999999999998E-2</v>
      </c>
      <c r="AE70" s="44">
        <f t="shared" si="27"/>
        <v>1.2599999999999998E-2</v>
      </c>
      <c r="AF70" s="42">
        <f t="shared" si="65"/>
        <v>0.315</v>
      </c>
      <c r="AG70" s="44">
        <f t="shared" si="66"/>
        <v>0.315</v>
      </c>
      <c r="AH70" s="42">
        <f t="shared" si="67"/>
        <v>2.1419999999999998E-2</v>
      </c>
      <c r="AI70">
        <f t="shared" si="68"/>
        <v>0.54050439125480099</v>
      </c>
      <c r="AJ70" s="44">
        <f t="shared" si="45"/>
        <v>0.56192439125480098</v>
      </c>
      <c r="AK70" s="42">
        <f t="shared" si="69"/>
        <v>15.75</v>
      </c>
      <c r="AL70">
        <f t="shared" si="13"/>
        <v>150</v>
      </c>
      <c r="AM70" s="44">
        <f t="shared" si="28"/>
        <v>0.105</v>
      </c>
      <c r="AN70" s="42">
        <f t="shared" si="77"/>
        <v>2</v>
      </c>
      <c r="AO70">
        <f t="shared" si="78"/>
        <v>0.30939999999999995</v>
      </c>
      <c r="AP70">
        <f t="shared" si="79"/>
        <v>0.33936651583710409</v>
      </c>
      <c r="AQ70">
        <f t="shared" si="80"/>
        <v>0.67873303167420806</v>
      </c>
      <c r="AR70">
        <f t="shared" si="46"/>
        <v>0.67873303167420818</v>
      </c>
      <c r="AS70" s="44">
        <f t="shared" si="47"/>
        <v>0.2179708976381815</v>
      </c>
      <c r="AT70" s="42"/>
      <c r="AU70">
        <f t="shared" si="81"/>
        <v>5.733E-6</v>
      </c>
      <c r="AV70" s="44">
        <f t="shared" si="48"/>
        <v>5.733E-6</v>
      </c>
      <c r="AW70" s="42">
        <f t="shared" si="82"/>
        <v>0.92749999999999999</v>
      </c>
      <c r="AX70">
        <f t="shared" si="83"/>
        <v>0.14699999999999999</v>
      </c>
      <c r="AY70" s="44">
        <f t="shared" si="49"/>
        <v>1.0745</v>
      </c>
      <c r="AZ70" s="42">
        <f t="shared" si="70"/>
        <v>0</v>
      </c>
      <c r="BA70">
        <f t="shared" si="71"/>
        <v>0</v>
      </c>
      <c r="BB70">
        <f t="shared" si="50"/>
        <v>0</v>
      </c>
      <c r="BC70" s="44">
        <f t="shared" si="84"/>
        <v>0</v>
      </c>
      <c r="BD70" s="42">
        <v>0</v>
      </c>
      <c r="BE70">
        <f t="shared" si="85"/>
        <v>0</v>
      </c>
      <c r="BF70" s="44">
        <f t="shared" si="52"/>
        <v>0</v>
      </c>
      <c r="BG70" s="42">
        <f t="shared" si="86"/>
        <v>0</v>
      </c>
      <c r="BH70">
        <f t="shared" si="87"/>
        <v>0</v>
      </c>
      <c r="BI70" s="44">
        <f t="shared" si="88"/>
        <v>0</v>
      </c>
      <c r="BK70" s="42">
        <f t="shared" si="72"/>
        <v>0</v>
      </c>
      <c r="BL70">
        <f t="shared" si="18"/>
        <v>0</v>
      </c>
      <c r="BM70">
        <f t="shared" si="73"/>
        <v>0</v>
      </c>
      <c r="BN70" s="44">
        <f t="shared" si="89"/>
        <v>0</v>
      </c>
      <c r="BO70" s="42">
        <v>0</v>
      </c>
      <c r="BP70">
        <f t="shared" si="90"/>
        <v>0</v>
      </c>
      <c r="BQ70" s="44">
        <f t="shared" si="53"/>
        <v>0</v>
      </c>
      <c r="BR70" s="42">
        <f t="shared" si="91"/>
        <v>0</v>
      </c>
      <c r="BS70">
        <f t="shared" si="92"/>
        <v>0</v>
      </c>
      <c r="BT70" s="44">
        <f t="shared" si="55"/>
        <v>0</v>
      </c>
      <c r="BU70" s="42">
        <f t="shared" si="74"/>
        <v>9.4499999999999983E-3</v>
      </c>
      <c r="BV70">
        <f t="shared" si="21"/>
        <v>4.3874999999999997E-2</v>
      </c>
      <c r="BW70" s="44">
        <f t="shared" si="75"/>
        <v>2.2499999999999999E-2</v>
      </c>
      <c r="BX70">
        <f t="shared" si="56"/>
        <v>0.3276</v>
      </c>
      <c r="BY70">
        <f t="shared" si="43"/>
        <v>2.3548551242548008</v>
      </c>
      <c r="BZ70">
        <f t="shared" si="93"/>
        <v>86.99323961394181</v>
      </c>
    </row>
    <row r="71" spans="17:78" x14ac:dyDescent="0.3">
      <c r="Q71">
        <v>64</v>
      </c>
      <c r="R71" s="42">
        <f t="shared" ref="R71:R102" si="94">AK71+AZ71+BK71</f>
        <v>16</v>
      </c>
      <c r="S71">
        <f t="shared" ref="S71:S134" si="95">VIN_var</f>
        <v>50</v>
      </c>
      <c r="T71" s="44">
        <f t="shared" ref="T71:T102" si="96">(R71)/(S71*EFF_est)</f>
        <v>0.32</v>
      </c>
      <c r="U71" s="42">
        <f t="shared" ref="U71:U102" si="97">IF(R71&lt;((((Np/NS1_)*(AL71)/((S71+((Np/NS1_)*(AL71)))))^2)*(S71^2))/(2*Lm*Fsw),1,2)</f>
        <v>1</v>
      </c>
      <c r="V71">
        <f t="shared" ref="V71:V102" si="98">CHOOSE(U71,SQRT((2*Lm*R71*Fsw)/((S71^2)*EFF_est)),(((Np/NS1_)*(AL71))/(S71+((Np/NS1_)*(AL71)))))</f>
        <v>0.21166010488516723</v>
      </c>
      <c r="W71">
        <f t="shared" ref="W71:W102" si="99">CHOOSE(U71,(NS1_*S71*V71)/(Np*AL71),1-V71)</f>
        <v>0.31184588786414641</v>
      </c>
      <c r="X71">
        <f t="shared" si="23"/>
        <v>0.47649400725068641</v>
      </c>
      <c r="Y71" s="42">
        <f t="shared" si="76"/>
        <v>1.511857892036909</v>
      </c>
      <c r="Z71">
        <f t="shared" ref="Z71:Z102" si="100">(S71*V71)/(Lm*Fsw)</f>
        <v>3.0237157840738176</v>
      </c>
      <c r="AA71">
        <f t="shared" si="25"/>
        <v>3.0237157840738176</v>
      </c>
      <c r="AB71" s="44">
        <f t="shared" ref="AB71:AB102" si="101">CHOOSE(U71,AA71*SQRT(V71/3),SQRT(V71*((AA71^2)+((Z71^2)/(3))-(AA71*Z71))))</f>
        <v>0.80315587980732672</v>
      </c>
      <c r="AC71" s="42">
        <v>0</v>
      </c>
      <c r="AD71">
        <f t="shared" ref="AD71:AD102" si="102">(AB71^2)*Rdcr</f>
        <v>1.2901187345381622E-2</v>
      </c>
      <c r="AE71" s="44">
        <f t="shared" si="27"/>
        <v>1.2901187345381622E-2</v>
      </c>
      <c r="AF71" s="42">
        <f t="shared" ref="AF71:AF102" si="103">R71*0.02</f>
        <v>0.32</v>
      </c>
      <c r="AG71" s="44">
        <f t="shared" ref="AG71:AG102" si="104">R71*0.02</f>
        <v>0.32</v>
      </c>
      <c r="AH71" s="42">
        <f t="shared" ref="AH71:AH102" si="105">(AB71^2)*RDS_on</f>
        <v>2.193201848714876E-2</v>
      </c>
      <c r="AI71">
        <f t="shared" ref="AI71:AI102" si="106">((Y71*(S71+((Np/NS1_)*VOUT1)))/2)*Fsw*(tr_sw+tf_sw)</f>
        <v>0.54477721973278415</v>
      </c>
      <c r="AJ71" s="44">
        <f t="shared" si="45"/>
        <v>0.56670923821993291</v>
      </c>
      <c r="AK71" s="42">
        <f t="shared" ref="AK71:AK102" si="107">Q71*$B$11</f>
        <v>16</v>
      </c>
      <c r="AL71">
        <f t="shared" ref="AL71:AL134" si="108">VOUT1</f>
        <v>150</v>
      </c>
      <c r="AM71" s="44">
        <f t="shared" si="28"/>
        <v>0.10666666666666667</v>
      </c>
      <c r="AN71" s="42">
        <f t="shared" si="77"/>
        <v>2</v>
      </c>
      <c r="AO71">
        <f t="shared" si="78"/>
        <v>0.31184588786414641</v>
      </c>
      <c r="AP71">
        <f t="shared" si="79"/>
        <v>0.34204929684092966</v>
      </c>
      <c r="AQ71">
        <f t="shared" si="80"/>
        <v>0.68409859368185932</v>
      </c>
      <c r="AR71">
        <f t="shared" si="46"/>
        <v>0.68409859368185932</v>
      </c>
      <c r="AS71" s="44">
        <f t="shared" si="47"/>
        <v>0.22056067443283164</v>
      </c>
      <c r="AT71" s="42"/>
      <c r="AU71">
        <f t="shared" si="81"/>
        <v>5.9164444444444463E-6</v>
      </c>
      <c r="AV71" s="44">
        <f t="shared" si="48"/>
        <v>5.9164444444444463E-6</v>
      </c>
      <c r="AW71" s="42">
        <f t="shared" si="82"/>
        <v>0.92749999999999999</v>
      </c>
      <c r="AX71">
        <f t="shared" si="83"/>
        <v>0.14933333333333335</v>
      </c>
      <c r="AY71" s="44">
        <f t="shared" si="49"/>
        <v>1.0768333333333333</v>
      </c>
      <c r="AZ71" s="42">
        <f t="shared" ref="AZ71:AZ102" si="109">IF(EN_OUT_2=1,Q71*$B$15,0)</f>
        <v>0</v>
      </c>
      <c r="BA71">
        <f t="shared" ref="BA71:BA102" si="110">IF(EN_OUT_2=1,VOUT2,0)</f>
        <v>0</v>
      </c>
      <c r="BB71">
        <f t="shared" si="50"/>
        <v>0</v>
      </c>
      <c r="BC71" s="44">
        <f t="shared" si="84"/>
        <v>0</v>
      </c>
      <c r="BD71" s="42">
        <v>0</v>
      </c>
      <c r="BE71">
        <f t="shared" si="85"/>
        <v>0</v>
      </c>
      <c r="BF71" s="44">
        <f t="shared" si="52"/>
        <v>0</v>
      </c>
      <c r="BG71" s="42">
        <f t="shared" si="86"/>
        <v>0</v>
      </c>
      <c r="BH71">
        <f t="shared" si="87"/>
        <v>0</v>
      </c>
      <c r="BI71" s="44">
        <f t="shared" si="88"/>
        <v>0</v>
      </c>
      <c r="BK71" s="42">
        <f t="shared" ref="BK71:BK102" si="111">IF(EN_OUT_3=1,Q71*$B$19,0)</f>
        <v>0</v>
      </c>
      <c r="BL71">
        <f t="shared" ref="BL71:BL134" si="112">IF(EN_OUT_3=1,VOUT3,0)</f>
        <v>0</v>
      </c>
      <c r="BM71">
        <f t="shared" ref="BM71:BM102" si="113">IF(EN_OUT_3=1,BK71/BL71,0)</f>
        <v>0</v>
      </c>
      <c r="BN71" s="44">
        <f t="shared" si="89"/>
        <v>0</v>
      </c>
      <c r="BO71" s="42">
        <v>0</v>
      </c>
      <c r="BP71">
        <f t="shared" si="90"/>
        <v>0</v>
      </c>
      <c r="BQ71" s="44">
        <f t="shared" si="53"/>
        <v>0</v>
      </c>
      <c r="BR71" s="42">
        <f t="shared" si="91"/>
        <v>0</v>
      </c>
      <c r="BS71">
        <f t="shared" si="92"/>
        <v>0</v>
      </c>
      <c r="BT71" s="44">
        <f t="shared" si="55"/>
        <v>0</v>
      </c>
      <c r="BU71" s="42">
        <f t="shared" ref="BU71:BU102" si="114">(AB71^2)*R_cs</f>
        <v>9.6758905090362154E-3</v>
      </c>
      <c r="BV71">
        <f t="shared" ref="BV71:BV134" si="115">Qg_tot*Vcc*Fsw</f>
        <v>4.3874999999999997E-2</v>
      </c>
      <c r="BW71" s="44">
        <f t="shared" ref="BW71:BW102" si="116">IQ*S71</f>
        <v>2.2499999999999999E-2</v>
      </c>
      <c r="BX71">
        <f t="shared" si="56"/>
        <v>0.33290118734538166</v>
      </c>
      <c r="BY71">
        <f t="shared" si="43"/>
        <v>2.3725005658521283</v>
      </c>
      <c r="BZ71">
        <f t="shared" si="93"/>
        <v>87.086675777483691</v>
      </c>
    </row>
    <row r="72" spans="17:78" x14ac:dyDescent="0.3">
      <c r="Q72">
        <v>65</v>
      </c>
      <c r="R72" s="42">
        <f t="shared" si="94"/>
        <v>16.25</v>
      </c>
      <c r="S72">
        <f t="shared" si="95"/>
        <v>50</v>
      </c>
      <c r="T72" s="44">
        <f t="shared" si="96"/>
        <v>0.32500000000000001</v>
      </c>
      <c r="U72" s="42">
        <f t="shared" si="97"/>
        <v>1</v>
      </c>
      <c r="V72">
        <f t="shared" si="98"/>
        <v>0.2133072900770154</v>
      </c>
      <c r="W72">
        <f t="shared" si="99"/>
        <v>0.31427274071346939</v>
      </c>
      <c r="X72">
        <f t="shared" ref="X72:X135" si="117">CHOOSE(U72,1-V72-W72,0)</f>
        <v>0.47241996920951518</v>
      </c>
      <c r="Y72" s="42">
        <f t="shared" ref="Y72:Y103" si="118">R72/(S72*EFF_est*V72)</f>
        <v>1.5236235005501104</v>
      </c>
      <c r="Z72">
        <f t="shared" si="100"/>
        <v>3.04724700110022</v>
      </c>
      <c r="AA72">
        <f t="shared" ref="AA72:AA135" si="119">Y72+(Z72/2)</f>
        <v>3.0472470011002204</v>
      </c>
      <c r="AB72" s="44">
        <f t="shared" si="101"/>
        <v>0.81254959863283494</v>
      </c>
      <c r="AC72" s="42">
        <v>0</v>
      </c>
      <c r="AD72">
        <f t="shared" si="102"/>
        <v>1.3204737004767625E-2</v>
      </c>
      <c r="AE72" s="44">
        <f t="shared" ref="AE72:AE135" si="120">AC72+AD72</f>
        <v>1.3204737004767625E-2</v>
      </c>
      <c r="AF72" s="42">
        <f t="shared" si="103"/>
        <v>0.32500000000000001</v>
      </c>
      <c r="AG72" s="44">
        <f t="shared" si="104"/>
        <v>0.32500000000000001</v>
      </c>
      <c r="AH72" s="42">
        <f t="shared" si="105"/>
        <v>2.2448052908104962E-2</v>
      </c>
      <c r="AI72">
        <f t="shared" si="106"/>
        <v>0.54901679511089763</v>
      </c>
      <c r="AJ72" s="44">
        <f t="shared" ref="AJ72:AJ135" si="121">AH72+AI72</f>
        <v>0.57146484801900255</v>
      </c>
      <c r="AK72" s="42">
        <f t="shared" si="107"/>
        <v>16.25</v>
      </c>
      <c r="AL72">
        <f t="shared" si="108"/>
        <v>150</v>
      </c>
      <c r="AM72" s="44">
        <f t="shared" ref="AM72:AM103" si="122">AK72/AL72</f>
        <v>0.10833333333333334</v>
      </c>
      <c r="AN72" s="42">
        <f t="shared" ref="AN72:AN103" si="123">IF(((AL72*AO72)/(Fsw*$AO$2))/2&gt;AP72,1,2)</f>
        <v>2</v>
      </c>
      <c r="AO72">
        <f t="shared" ref="AO72:AO103" si="124">AM72/AP72</f>
        <v>0.31427274071346933</v>
      </c>
      <c r="AP72">
        <f t="shared" ref="AP72:AP103" si="125">Np*$Y72*AK72/(R72*NS1_)</f>
        <v>0.34471119921948201</v>
      </c>
      <c r="AQ72">
        <f t="shared" ref="AQ72:AQ103" si="126">(AL72*AO72)/(Fsw*$AO$2)</f>
        <v>0.6894223984389638</v>
      </c>
      <c r="AR72">
        <f t="shared" si="46"/>
        <v>0.68942239843896391</v>
      </c>
      <c r="AS72" s="44">
        <f t="shared" si="47"/>
        <v>0.22314035418327247</v>
      </c>
      <c r="AT72" s="42"/>
      <c r="AU72">
        <f t="shared" ref="AU72:AU103" si="127">(AM72^2)*Rdcr1</f>
        <v>6.1027777777777791E-6</v>
      </c>
      <c r="AV72" s="44">
        <f t="shared" si="48"/>
        <v>6.1027777777777791E-6</v>
      </c>
      <c r="AW72" s="42">
        <f t="shared" ref="AW72:AW103" si="128">(VOUT1+((NS1_/Np)*S72))*QRR1_*Fsw</f>
        <v>0.92749999999999999</v>
      </c>
      <c r="AX72">
        <f t="shared" ref="AX72:AX103" si="129">AM72*VD1_</f>
        <v>0.15166666666666667</v>
      </c>
      <c r="AY72" s="44">
        <f t="shared" si="49"/>
        <v>1.0791666666666666</v>
      </c>
      <c r="AZ72" s="42">
        <f t="shared" si="109"/>
        <v>0</v>
      </c>
      <c r="BA72">
        <f t="shared" si="110"/>
        <v>0</v>
      </c>
      <c r="BB72">
        <f t="shared" si="50"/>
        <v>0</v>
      </c>
      <c r="BC72" s="44">
        <f t="shared" ref="BC72:BC103" si="130">IF(EN_OUT_2=1,AZ72/BA72,0)</f>
        <v>0</v>
      </c>
      <c r="BD72" s="42">
        <v>0</v>
      </c>
      <c r="BE72">
        <f t="shared" ref="BE72:BE103" si="131">(BB72^2)*Rdcr2</f>
        <v>0</v>
      </c>
      <c r="BF72" s="44">
        <f t="shared" si="52"/>
        <v>0</v>
      </c>
      <c r="BG72" s="42">
        <f t="shared" ref="BG72:BG103" si="132">(VOUT2+((NS2_/Np)*S72))*QRR2_*Fsw</f>
        <v>0</v>
      </c>
      <c r="BH72">
        <f t="shared" ref="BH72:BH103" si="133">BB72*VD2_</f>
        <v>0</v>
      </c>
      <c r="BI72" s="44">
        <f t="shared" ref="BI72:BI103" si="134">BH72+BG72</f>
        <v>0</v>
      </c>
      <c r="BK72" s="42">
        <f t="shared" si="111"/>
        <v>0</v>
      </c>
      <c r="BL72">
        <f t="shared" si="112"/>
        <v>0</v>
      </c>
      <c r="BM72">
        <f t="shared" si="113"/>
        <v>0</v>
      </c>
      <c r="BN72" s="44">
        <f t="shared" ref="BN72:BN79" si="135">Y72*(Np/NS3_)*(BK72/R72)</f>
        <v>0</v>
      </c>
      <c r="BO72" s="42">
        <v>0</v>
      </c>
      <c r="BP72">
        <f t="shared" ref="BP72:BP103" si="136">(BM72^2)*Rdcr3</f>
        <v>0</v>
      </c>
      <c r="BQ72" s="44">
        <f t="shared" si="53"/>
        <v>0</v>
      </c>
      <c r="BR72" s="42">
        <f t="shared" ref="BR72:BR103" si="137">(VOUT3+((NS3_/Np)*S72))*QRR3_*Fsw</f>
        <v>0</v>
      </c>
      <c r="BS72">
        <f t="shared" ref="BS72:BS103" si="138">BM72*VD3_</f>
        <v>0</v>
      </c>
      <c r="BT72" s="44">
        <f t="shared" si="55"/>
        <v>0</v>
      </c>
      <c r="BU72" s="42">
        <f t="shared" si="114"/>
        <v>9.9035527535757169E-3</v>
      </c>
      <c r="BV72">
        <f t="shared" si="115"/>
        <v>4.3874999999999997E-2</v>
      </c>
      <c r="BW72" s="44">
        <f t="shared" si="116"/>
        <v>2.2499999999999999E-2</v>
      </c>
      <c r="BX72">
        <f t="shared" ref="BX72:BX135" si="139">BF72+BQ72+AE72+AG72</f>
        <v>0.33820473700476761</v>
      </c>
      <c r="BY72">
        <f t="shared" ref="BY72:BY135" si="140">BW72+BV72+BU72+BT72+BQ72+BI72+BF72++AY72+AV72+AJ72+AF72+AE72+AG72</f>
        <v>2.3901209072217902</v>
      </c>
      <c r="BZ72">
        <f t="shared" ref="BZ72:BZ103" si="141">(R72/(R72+BY72))*100</f>
        <v>87.177546116153266</v>
      </c>
    </row>
    <row r="73" spans="17:78" x14ac:dyDescent="0.3">
      <c r="Q73">
        <v>66</v>
      </c>
      <c r="R73" s="42">
        <f t="shared" si="94"/>
        <v>16.5</v>
      </c>
      <c r="S73">
        <f t="shared" si="95"/>
        <v>50</v>
      </c>
      <c r="T73" s="44">
        <f t="shared" si="96"/>
        <v>0.33</v>
      </c>
      <c r="U73" s="42">
        <f t="shared" si="97"/>
        <v>1</v>
      </c>
      <c r="V73">
        <f t="shared" si="98"/>
        <v>0.21494185260204676</v>
      </c>
      <c r="W73">
        <f t="shared" si="99"/>
        <v>0.31668099616701556</v>
      </c>
      <c r="X73">
        <f t="shared" si="117"/>
        <v>0.46837715123093765</v>
      </c>
      <c r="Y73" s="42">
        <f t="shared" si="118"/>
        <v>1.5352989471574769</v>
      </c>
      <c r="Z73">
        <f t="shared" si="100"/>
        <v>3.0705978943149539</v>
      </c>
      <c r="AA73">
        <f t="shared" si="119"/>
        <v>3.0705978943149539</v>
      </c>
      <c r="AB73" s="44">
        <f t="shared" si="101"/>
        <v>0.82190725556433053</v>
      </c>
      <c r="AC73" s="42">
        <v>0</v>
      </c>
      <c r="AD73">
        <f t="shared" si="102"/>
        <v>1.3510630734985795E-2</v>
      </c>
      <c r="AE73" s="44">
        <f t="shared" si="120"/>
        <v>1.3510630734985795E-2</v>
      </c>
      <c r="AF73" s="42">
        <f t="shared" si="103"/>
        <v>0.33</v>
      </c>
      <c r="AG73" s="44">
        <f t="shared" si="104"/>
        <v>0.33</v>
      </c>
      <c r="AH73" s="42">
        <f t="shared" si="105"/>
        <v>2.2968072249475856E-2</v>
      </c>
      <c r="AI73">
        <f t="shared" si="106"/>
        <v>0.55322388188499261</v>
      </c>
      <c r="AJ73" s="44">
        <f t="shared" si="121"/>
        <v>0.57619195413446844</v>
      </c>
      <c r="AK73" s="42">
        <f t="shared" si="107"/>
        <v>16.5</v>
      </c>
      <c r="AL73">
        <f t="shared" si="108"/>
        <v>150</v>
      </c>
      <c r="AM73" s="44">
        <f t="shared" si="122"/>
        <v>0.11</v>
      </c>
      <c r="AN73" s="42">
        <f t="shared" si="123"/>
        <v>2</v>
      </c>
      <c r="AO73">
        <f t="shared" si="124"/>
        <v>0.31668099616701556</v>
      </c>
      <c r="AP73">
        <f t="shared" si="125"/>
        <v>0.34735270297680476</v>
      </c>
      <c r="AQ73">
        <f t="shared" si="126"/>
        <v>0.69470540595360952</v>
      </c>
      <c r="AR73">
        <f t="shared" ref="AR73:AR136" si="142">AP73+(AQ73/2)</f>
        <v>0.69470540595360952</v>
      </c>
      <c r="AS73" s="44">
        <f t="shared" ref="AS73:AS136" si="143">CHOOSE(AN73,AR73*SQRT(AO73/3),SQRT(AO73*((AR73^2)+((AQ73^2)/(3))-(AQ73*AR73))))</f>
        <v>0.22571013070587836</v>
      </c>
      <c r="AT73" s="42"/>
      <c r="AU73">
        <f t="shared" si="127"/>
        <v>6.2920000000000009E-6</v>
      </c>
      <c r="AV73" s="44">
        <f t="shared" ref="AV73:AV136" si="144">AT73+AU73</f>
        <v>6.2920000000000009E-6</v>
      </c>
      <c r="AW73" s="42">
        <f t="shared" si="128"/>
        <v>0.92749999999999999</v>
      </c>
      <c r="AX73">
        <f t="shared" si="129"/>
        <v>0.154</v>
      </c>
      <c r="AY73" s="44">
        <f t="shared" ref="AY73:AY136" si="145">AW73+AX73</f>
        <v>1.0814999999999999</v>
      </c>
      <c r="AZ73" s="42">
        <f t="shared" si="109"/>
        <v>0</v>
      </c>
      <c r="BA73">
        <f t="shared" si="110"/>
        <v>0</v>
      </c>
      <c r="BB73">
        <f t="shared" ref="BB73:BB136" si="146">IF(EN_OUT_2=1,AZ73/BA73,0)</f>
        <v>0</v>
      </c>
      <c r="BC73" s="44">
        <f t="shared" si="130"/>
        <v>0</v>
      </c>
      <c r="BD73" s="42">
        <v>0</v>
      </c>
      <c r="BE73">
        <f t="shared" si="131"/>
        <v>0</v>
      </c>
      <c r="BF73" s="44">
        <f t="shared" ref="BF73:BF136" si="147">BD73+BE73</f>
        <v>0</v>
      </c>
      <c r="BG73" s="42">
        <f t="shared" si="132"/>
        <v>0</v>
      </c>
      <c r="BH73">
        <f t="shared" si="133"/>
        <v>0</v>
      </c>
      <c r="BI73" s="44">
        <f t="shared" si="134"/>
        <v>0</v>
      </c>
      <c r="BK73" s="42">
        <f t="shared" si="111"/>
        <v>0</v>
      </c>
      <c r="BL73">
        <f t="shared" si="112"/>
        <v>0</v>
      </c>
      <c r="BM73">
        <f t="shared" si="113"/>
        <v>0</v>
      </c>
      <c r="BN73" s="44">
        <f t="shared" si="135"/>
        <v>0</v>
      </c>
      <c r="BO73" s="42">
        <v>0</v>
      </c>
      <c r="BP73">
        <f t="shared" si="136"/>
        <v>0</v>
      </c>
      <c r="BQ73" s="44">
        <f t="shared" ref="BQ73:BQ136" si="148">BO73+BP73</f>
        <v>0</v>
      </c>
      <c r="BR73" s="42">
        <f t="shared" si="137"/>
        <v>0</v>
      </c>
      <c r="BS73">
        <f t="shared" si="138"/>
        <v>0</v>
      </c>
      <c r="BT73" s="44">
        <f t="shared" ref="BT73:BT136" si="149">BS73+BR73</f>
        <v>0</v>
      </c>
      <c r="BU73" s="42">
        <f t="shared" si="114"/>
        <v>1.0132973051239346E-2</v>
      </c>
      <c r="BV73">
        <f t="shared" si="115"/>
        <v>4.3874999999999997E-2</v>
      </c>
      <c r="BW73" s="44">
        <f t="shared" si="116"/>
        <v>2.2499999999999999E-2</v>
      </c>
      <c r="BX73">
        <f t="shared" si="139"/>
        <v>0.34351063073498583</v>
      </c>
      <c r="BY73">
        <f t="shared" si="140"/>
        <v>2.4077168499206931</v>
      </c>
      <c r="BZ73">
        <f t="shared" si="141"/>
        <v>87.265956704176091</v>
      </c>
    </row>
    <row r="74" spans="17:78" x14ac:dyDescent="0.3">
      <c r="Q74">
        <v>67</v>
      </c>
      <c r="R74" s="42">
        <f t="shared" si="94"/>
        <v>16.75</v>
      </c>
      <c r="S74">
        <f t="shared" si="95"/>
        <v>50</v>
      </c>
      <c r="T74" s="44">
        <f t="shared" si="96"/>
        <v>0.33500000000000002</v>
      </c>
      <c r="U74" s="42">
        <f t="shared" si="97"/>
        <v>1</v>
      </c>
      <c r="V74">
        <f t="shared" si="98"/>
        <v>0.21656407827707713</v>
      </c>
      <c r="W74">
        <f t="shared" si="99"/>
        <v>0.31907107532822698</v>
      </c>
      <c r="X74">
        <f t="shared" si="117"/>
        <v>0.46436484639469588</v>
      </c>
      <c r="Y74" s="42">
        <f t="shared" si="118"/>
        <v>1.546886273407694</v>
      </c>
      <c r="Z74">
        <f t="shared" si="100"/>
        <v>3.0937725468153876</v>
      </c>
      <c r="AA74">
        <f t="shared" si="119"/>
        <v>3.093772546815388</v>
      </c>
      <c r="AB74" s="44">
        <f t="shared" si="101"/>
        <v>0.83122953235278929</v>
      </c>
      <c r="AC74" s="42">
        <v>0</v>
      </c>
      <c r="AD74">
        <f t="shared" si="102"/>
        <v>1.3818850709108738E-2</v>
      </c>
      <c r="AE74" s="44">
        <f t="shared" si="120"/>
        <v>1.3818850709108738E-2</v>
      </c>
      <c r="AF74" s="42">
        <f t="shared" si="103"/>
        <v>0.33500000000000002</v>
      </c>
      <c r="AG74" s="44">
        <f t="shared" si="104"/>
        <v>0.33500000000000002</v>
      </c>
      <c r="AH74" s="42">
        <f t="shared" si="105"/>
        <v>2.3492046205484854E-2</v>
      </c>
      <c r="AI74">
        <f t="shared" si="106"/>
        <v>0.5573992156990889</v>
      </c>
      <c r="AJ74" s="44">
        <f t="shared" si="121"/>
        <v>0.58089126190457374</v>
      </c>
      <c r="AK74" s="42">
        <f t="shared" si="107"/>
        <v>16.75</v>
      </c>
      <c r="AL74">
        <f t="shared" si="108"/>
        <v>150</v>
      </c>
      <c r="AM74" s="44">
        <f t="shared" si="122"/>
        <v>0.11166666666666666</v>
      </c>
      <c r="AN74" s="42">
        <f t="shared" si="123"/>
        <v>2</v>
      </c>
      <c r="AO74">
        <f t="shared" si="124"/>
        <v>0.31907107532822698</v>
      </c>
      <c r="AP74">
        <f t="shared" si="125"/>
        <v>0.34997427000174075</v>
      </c>
      <c r="AQ74">
        <f t="shared" si="126"/>
        <v>0.69994854000348139</v>
      </c>
      <c r="AR74">
        <f t="shared" si="142"/>
        <v>0.6999485400034815</v>
      </c>
      <c r="AS74" s="44">
        <f t="shared" si="143"/>
        <v>0.22827019122141026</v>
      </c>
      <c r="AT74" s="42"/>
      <c r="AU74">
        <f t="shared" si="127"/>
        <v>6.4841111111111117E-6</v>
      </c>
      <c r="AV74" s="44">
        <f t="shared" si="144"/>
        <v>6.4841111111111117E-6</v>
      </c>
      <c r="AW74" s="42">
        <f t="shared" si="128"/>
        <v>0.92749999999999999</v>
      </c>
      <c r="AX74">
        <f t="shared" si="129"/>
        <v>0.15633333333333332</v>
      </c>
      <c r="AY74" s="44">
        <f t="shared" si="145"/>
        <v>1.0838333333333332</v>
      </c>
      <c r="AZ74" s="42">
        <f t="shared" si="109"/>
        <v>0</v>
      </c>
      <c r="BA74">
        <f t="shared" si="110"/>
        <v>0</v>
      </c>
      <c r="BB74">
        <f t="shared" si="146"/>
        <v>0</v>
      </c>
      <c r="BC74" s="44">
        <f t="shared" si="130"/>
        <v>0</v>
      </c>
      <c r="BD74" s="42">
        <v>0</v>
      </c>
      <c r="BE74">
        <f t="shared" si="131"/>
        <v>0</v>
      </c>
      <c r="BF74" s="44">
        <f t="shared" si="147"/>
        <v>0</v>
      </c>
      <c r="BG74" s="42">
        <f t="shared" si="132"/>
        <v>0</v>
      </c>
      <c r="BH74">
        <f t="shared" si="133"/>
        <v>0</v>
      </c>
      <c r="BI74" s="44">
        <f t="shared" si="134"/>
        <v>0</v>
      </c>
      <c r="BK74" s="42">
        <f t="shared" si="111"/>
        <v>0</v>
      </c>
      <c r="BL74">
        <f t="shared" si="112"/>
        <v>0</v>
      </c>
      <c r="BM74">
        <f t="shared" si="113"/>
        <v>0</v>
      </c>
      <c r="BN74" s="44">
        <f t="shared" si="135"/>
        <v>0</v>
      </c>
      <c r="BO74" s="42">
        <v>0</v>
      </c>
      <c r="BP74">
        <f t="shared" si="136"/>
        <v>0</v>
      </c>
      <c r="BQ74" s="44">
        <f t="shared" si="148"/>
        <v>0</v>
      </c>
      <c r="BR74" s="42">
        <f t="shared" si="137"/>
        <v>0</v>
      </c>
      <c r="BS74">
        <f t="shared" si="138"/>
        <v>0</v>
      </c>
      <c r="BT74" s="44">
        <f t="shared" si="149"/>
        <v>0</v>
      </c>
      <c r="BU74" s="42">
        <f t="shared" si="114"/>
        <v>1.0364138031831551E-2</v>
      </c>
      <c r="BV74">
        <f t="shared" si="115"/>
        <v>4.3874999999999997E-2</v>
      </c>
      <c r="BW74" s="44">
        <f t="shared" si="116"/>
        <v>2.2499999999999999E-2</v>
      </c>
      <c r="BX74">
        <f t="shared" si="139"/>
        <v>0.34881885070910879</v>
      </c>
      <c r="BY74">
        <f t="shared" si="140"/>
        <v>2.4252890680899584</v>
      </c>
      <c r="BZ74">
        <f t="shared" si="141"/>
        <v>87.352007787324894</v>
      </c>
    </row>
    <row r="75" spans="17:78" x14ac:dyDescent="0.3">
      <c r="Q75">
        <v>68</v>
      </c>
      <c r="R75" s="42">
        <f t="shared" si="94"/>
        <v>17</v>
      </c>
      <c r="S75">
        <f t="shared" si="95"/>
        <v>50</v>
      </c>
      <c r="T75" s="44">
        <f t="shared" si="96"/>
        <v>0.34</v>
      </c>
      <c r="U75" s="42">
        <f t="shared" si="97"/>
        <v>1</v>
      </c>
      <c r="V75">
        <f t="shared" si="98"/>
        <v>0.21817424229271429</v>
      </c>
      <c r="W75">
        <f t="shared" si="99"/>
        <v>0.32144338364459901</v>
      </c>
      <c r="X75">
        <f t="shared" si="117"/>
        <v>0.46038237406268667</v>
      </c>
      <c r="Y75" s="42">
        <f t="shared" si="118"/>
        <v>1.5583874449479593</v>
      </c>
      <c r="Z75">
        <f t="shared" si="100"/>
        <v>3.1167748898959182</v>
      </c>
      <c r="AA75">
        <f t="shared" si="119"/>
        <v>3.1167748898959182</v>
      </c>
      <c r="AB75" s="44">
        <f t="shared" si="101"/>
        <v>0.84051708789475232</v>
      </c>
      <c r="AC75" s="42">
        <v>0</v>
      </c>
      <c r="AD75">
        <f t="shared" si="102"/>
        <v>1.4129379500861497E-2</v>
      </c>
      <c r="AE75" s="44">
        <f t="shared" si="120"/>
        <v>1.4129379500861497E-2</v>
      </c>
      <c r="AF75" s="42">
        <f t="shared" si="103"/>
        <v>0.34</v>
      </c>
      <c r="AG75" s="44">
        <f t="shared" si="104"/>
        <v>0.34</v>
      </c>
      <c r="AH75" s="42">
        <f t="shared" si="105"/>
        <v>2.4019945151464547E-2</v>
      </c>
      <c r="AI75">
        <f t="shared" si="106"/>
        <v>0.56154350484714766</v>
      </c>
      <c r="AJ75" s="44">
        <f t="shared" si="121"/>
        <v>0.58556344999861221</v>
      </c>
      <c r="AK75" s="42">
        <f t="shared" si="107"/>
        <v>17</v>
      </c>
      <c r="AL75">
        <f t="shared" si="108"/>
        <v>150</v>
      </c>
      <c r="AM75" s="44">
        <f t="shared" si="122"/>
        <v>0.11333333333333333</v>
      </c>
      <c r="AN75" s="42">
        <f t="shared" si="123"/>
        <v>2</v>
      </c>
      <c r="AO75">
        <f t="shared" si="124"/>
        <v>0.32144338364459896</v>
      </c>
      <c r="AP75">
        <f t="shared" si="125"/>
        <v>0.35257634501085056</v>
      </c>
      <c r="AQ75">
        <f t="shared" si="126"/>
        <v>0.70515269002170078</v>
      </c>
      <c r="AR75">
        <f t="shared" si="142"/>
        <v>0.70515269002170089</v>
      </c>
      <c r="AS75" s="44">
        <f t="shared" si="143"/>
        <v>0.23082071667440091</v>
      </c>
      <c r="AT75" s="42"/>
      <c r="AU75">
        <f t="shared" si="127"/>
        <v>6.6791111111111116E-6</v>
      </c>
      <c r="AV75" s="44">
        <f t="shared" si="144"/>
        <v>6.6791111111111116E-6</v>
      </c>
      <c r="AW75" s="42">
        <f t="shared" si="128"/>
        <v>0.92749999999999999</v>
      </c>
      <c r="AX75">
        <f t="shared" si="129"/>
        <v>0.15866666666666665</v>
      </c>
      <c r="AY75" s="44">
        <f t="shared" si="145"/>
        <v>1.0861666666666667</v>
      </c>
      <c r="AZ75" s="42">
        <f t="shared" si="109"/>
        <v>0</v>
      </c>
      <c r="BA75">
        <f t="shared" si="110"/>
        <v>0</v>
      </c>
      <c r="BB75">
        <f t="shared" si="146"/>
        <v>0</v>
      </c>
      <c r="BC75" s="44">
        <f t="shared" si="130"/>
        <v>0</v>
      </c>
      <c r="BD75" s="42">
        <v>0</v>
      </c>
      <c r="BE75">
        <f t="shared" si="131"/>
        <v>0</v>
      </c>
      <c r="BF75" s="44">
        <f t="shared" si="147"/>
        <v>0</v>
      </c>
      <c r="BG75" s="42">
        <f t="shared" si="132"/>
        <v>0</v>
      </c>
      <c r="BH75">
        <f t="shared" si="133"/>
        <v>0</v>
      </c>
      <c r="BI75" s="44">
        <f t="shared" si="134"/>
        <v>0</v>
      </c>
      <c r="BK75" s="42">
        <f t="shared" si="111"/>
        <v>0</v>
      </c>
      <c r="BL75">
        <f t="shared" si="112"/>
        <v>0</v>
      </c>
      <c r="BM75">
        <f t="shared" si="113"/>
        <v>0</v>
      </c>
      <c r="BN75" s="44">
        <f t="shared" si="135"/>
        <v>0</v>
      </c>
      <c r="BO75" s="42">
        <v>0</v>
      </c>
      <c r="BP75">
        <f t="shared" si="136"/>
        <v>0</v>
      </c>
      <c r="BQ75" s="44">
        <f t="shared" si="148"/>
        <v>0</v>
      </c>
      <c r="BR75" s="42">
        <f t="shared" si="137"/>
        <v>0</v>
      </c>
      <c r="BS75">
        <f t="shared" si="138"/>
        <v>0</v>
      </c>
      <c r="BT75" s="44">
        <f t="shared" si="149"/>
        <v>0</v>
      </c>
      <c r="BU75" s="42">
        <f t="shared" si="114"/>
        <v>1.0597034625646122E-2</v>
      </c>
      <c r="BV75">
        <f t="shared" si="115"/>
        <v>4.3874999999999997E-2</v>
      </c>
      <c r="BW75" s="44">
        <f t="shared" si="116"/>
        <v>2.2499999999999999E-2</v>
      </c>
      <c r="BX75">
        <f t="shared" si="139"/>
        <v>0.35412937950086154</v>
      </c>
      <c r="BY75">
        <f t="shared" si="140"/>
        <v>2.4428382099028974</v>
      </c>
      <c r="BZ75">
        <f t="shared" si="141"/>
        <v>87.435794180200105</v>
      </c>
    </row>
    <row r="76" spans="17:78" x14ac:dyDescent="0.3">
      <c r="Q76">
        <v>69</v>
      </c>
      <c r="R76" s="42">
        <f t="shared" si="94"/>
        <v>17.25</v>
      </c>
      <c r="S76">
        <f t="shared" si="95"/>
        <v>50</v>
      </c>
      <c r="T76" s="44">
        <f t="shared" si="96"/>
        <v>0.34499999999999997</v>
      </c>
      <c r="U76" s="42">
        <f t="shared" si="97"/>
        <v>1</v>
      </c>
      <c r="V76">
        <f t="shared" si="98"/>
        <v>0.21977260975835911</v>
      </c>
      <c r="W76">
        <f t="shared" si="99"/>
        <v>0.3237983117106491</v>
      </c>
      <c r="X76">
        <f t="shared" si="117"/>
        <v>0.45642907853099179</v>
      </c>
      <c r="Y76" s="42">
        <f t="shared" si="118"/>
        <v>1.5698043554168508</v>
      </c>
      <c r="Z76">
        <f t="shared" si="100"/>
        <v>3.1396087108337016</v>
      </c>
      <c r="AA76">
        <f t="shared" si="119"/>
        <v>3.1396087108337016</v>
      </c>
      <c r="AB76" s="44">
        <f t="shared" si="101"/>
        <v>0.84977055932278067</v>
      </c>
      <c r="AC76" s="42">
        <v>0</v>
      </c>
      <c r="AD76">
        <f t="shared" si="102"/>
        <v>1.4442200069835029E-2</v>
      </c>
      <c r="AE76" s="44">
        <f t="shared" si="120"/>
        <v>1.4442200069835029E-2</v>
      </c>
      <c r="AF76" s="42">
        <f t="shared" si="103"/>
        <v>0.34500000000000003</v>
      </c>
      <c r="AG76" s="44">
        <f t="shared" si="104"/>
        <v>0.34500000000000003</v>
      </c>
      <c r="AH76" s="42">
        <f t="shared" si="105"/>
        <v>2.4551740118719551E-2</v>
      </c>
      <c r="AI76">
        <f t="shared" si="106"/>
        <v>0.5656574316758135</v>
      </c>
      <c r="AJ76" s="44">
        <f t="shared" si="121"/>
        <v>0.59020917179453303</v>
      </c>
      <c r="AK76" s="42">
        <f t="shared" si="107"/>
        <v>17.25</v>
      </c>
      <c r="AL76">
        <f t="shared" si="108"/>
        <v>150</v>
      </c>
      <c r="AM76" s="44">
        <f t="shared" si="122"/>
        <v>0.115</v>
      </c>
      <c r="AN76" s="42">
        <f t="shared" si="123"/>
        <v>2</v>
      </c>
      <c r="AO76">
        <f t="shared" si="124"/>
        <v>0.3237983117106491</v>
      </c>
      <c r="AP76">
        <f t="shared" si="125"/>
        <v>0.35515935642915175</v>
      </c>
      <c r="AQ76">
        <f t="shared" si="126"/>
        <v>0.71031871285830361</v>
      </c>
      <c r="AR76">
        <f t="shared" si="142"/>
        <v>0.7103187128583035</v>
      </c>
      <c r="AS76" s="44">
        <f t="shared" si="143"/>
        <v>0.23336188203261313</v>
      </c>
      <c r="AT76" s="42"/>
      <c r="AU76">
        <f t="shared" si="127"/>
        <v>6.8770000000000012E-6</v>
      </c>
      <c r="AV76" s="44">
        <f t="shared" si="144"/>
        <v>6.8770000000000012E-6</v>
      </c>
      <c r="AW76" s="42">
        <f t="shared" si="128"/>
        <v>0.92749999999999999</v>
      </c>
      <c r="AX76">
        <f t="shared" si="129"/>
        <v>0.161</v>
      </c>
      <c r="AY76" s="44">
        <f t="shared" si="145"/>
        <v>1.0885</v>
      </c>
      <c r="AZ76" s="42">
        <f t="shared" si="109"/>
        <v>0</v>
      </c>
      <c r="BA76">
        <f t="shared" si="110"/>
        <v>0</v>
      </c>
      <c r="BB76">
        <f t="shared" si="146"/>
        <v>0</v>
      </c>
      <c r="BC76" s="44">
        <f t="shared" si="130"/>
        <v>0</v>
      </c>
      <c r="BD76" s="42">
        <v>0</v>
      </c>
      <c r="BE76">
        <f t="shared" si="131"/>
        <v>0</v>
      </c>
      <c r="BF76" s="44">
        <f t="shared" si="147"/>
        <v>0</v>
      </c>
      <c r="BG76" s="42">
        <f t="shared" si="132"/>
        <v>0</v>
      </c>
      <c r="BH76">
        <f t="shared" si="133"/>
        <v>0</v>
      </c>
      <c r="BI76" s="44">
        <f t="shared" si="134"/>
        <v>0</v>
      </c>
      <c r="BK76" s="42">
        <f t="shared" si="111"/>
        <v>0</v>
      </c>
      <c r="BL76">
        <f t="shared" si="112"/>
        <v>0</v>
      </c>
      <c r="BM76">
        <f t="shared" si="113"/>
        <v>0</v>
      </c>
      <c r="BN76" s="44">
        <f t="shared" si="135"/>
        <v>0</v>
      </c>
      <c r="BO76" s="42">
        <v>0</v>
      </c>
      <c r="BP76">
        <f t="shared" si="136"/>
        <v>0</v>
      </c>
      <c r="BQ76" s="44">
        <f t="shared" si="148"/>
        <v>0</v>
      </c>
      <c r="BR76" s="42">
        <f t="shared" si="137"/>
        <v>0</v>
      </c>
      <c r="BS76">
        <f t="shared" si="138"/>
        <v>0</v>
      </c>
      <c r="BT76" s="44">
        <f t="shared" si="149"/>
        <v>0</v>
      </c>
      <c r="BU76" s="42">
        <f t="shared" si="114"/>
        <v>1.0831650052376272E-2</v>
      </c>
      <c r="BV76">
        <f t="shared" si="115"/>
        <v>4.3874999999999997E-2</v>
      </c>
      <c r="BW76" s="44">
        <f t="shared" si="116"/>
        <v>2.2499999999999999E-2</v>
      </c>
      <c r="BX76">
        <f t="shared" si="139"/>
        <v>0.35944220006983507</v>
      </c>
      <c r="BY76">
        <f t="shared" si="140"/>
        <v>2.4603648989167448</v>
      </c>
      <c r="BZ76">
        <f t="shared" si="141"/>
        <v>87.517405631328714</v>
      </c>
    </row>
    <row r="77" spans="17:78" x14ac:dyDescent="0.3">
      <c r="Q77">
        <v>70</v>
      </c>
      <c r="R77" s="42">
        <f t="shared" si="94"/>
        <v>17.5</v>
      </c>
      <c r="S77">
        <f t="shared" si="95"/>
        <v>50</v>
      </c>
      <c r="T77" s="44">
        <f t="shared" si="96"/>
        <v>0.35</v>
      </c>
      <c r="U77" s="42">
        <f t="shared" si="97"/>
        <v>1</v>
      </c>
      <c r="V77">
        <f t="shared" si="98"/>
        <v>0.22135943621178655</v>
      </c>
      <c r="W77">
        <f t="shared" si="99"/>
        <v>0.32613623601869884</v>
      </c>
      <c r="X77">
        <f t="shared" si="117"/>
        <v>0.4525043277695146</v>
      </c>
      <c r="Y77" s="42">
        <f t="shared" si="118"/>
        <v>1.5811388300841898</v>
      </c>
      <c r="Z77">
        <f t="shared" si="100"/>
        <v>3.1622776601683791</v>
      </c>
      <c r="AA77">
        <f t="shared" si="119"/>
        <v>3.1622776601683791</v>
      </c>
      <c r="AB77" s="44">
        <f t="shared" si="101"/>
        <v>0.85899056302885057</v>
      </c>
      <c r="AC77" s="42">
        <v>0</v>
      </c>
      <c r="AD77">
        <f t="shared" si="102"/>
        <v>1.4757295747452435E-2</v>
      </c>
      <c r="AE77" s="44">
        <f t="shared" si="120"/>
        <v>1.4757295747452435E-2</v>
      </c>
      <c r="AF77" s="42">
        <f t="shared" si="103"/>
        <v>0.35000000000000003</v>
      </c>
      <c r="AG77" s="44">
        <f t="shared" si="104"/>
        <v>0.35000000000000003</v>
      </c>
      <c r="AH77" s="42">
        <f t="shared" si="105"/>
        <v>2.5087402770669141E-2</v>
      </c>
      <c r="AI77">
        <f t="shared" si="106"/>
        <v>0.56974165389598885</v>
      </c>
      <c r="AJ77" s="44">
        <f t="shared" si="121"/>
        <v>0.59482905666665797</v>
      </c>
      <c r="AK77" s="42">
        <f t="shared" si="107"/>
        <v>17.5</v>
      </c>
      <c r="AL77">
        <f t="shared" si="108"/>
        <v>150</v>
      </c>
      <c r="AM77" s="44">
        <f t="shared" si="122"/>
        <v>0.11666666666666667</v>
      </c>
      <c r="AN77" s="42">
        <f t="shared" si="123"/>
        <v>2</v>
      </c>
      <c r="AO77">
        <f t="shared" si="124"/>
        <v>0.32613623601869879</v>
      </c>
      <c r="AP77">
        <f t="shared" si="125"/>
        <v>0.35772371721361762</v>
      </c>
      <c r="AQ77">
        <f t="shared" si="126"/>
        <v>0.71544743442723513</v>
      </c>
      <c r="AR77">
        <f t="shared" si="142"/>
        <v>0.71544743442723524</v>
      </c>
      <c r="AS77" s="44">
        <f t="shared" si="143"/>
        <v>0.23589385656808171</v>
      </c>
      <c r="AT77" s="42"/>
      <c r="AU77">
        <f t="shared" si="127"/>
        <v>7.0777777777777791E-6</v>
      </c>
      <c r="AV77" s="44">
        <f t="shared" si="144"/>
        <v>7.0777777777777791E-6</v>
      </c>
      <c r="AW77" s="42">
        <f t="shared" si="128"/>
        <v>0.92749999999999999</v>
      </c>
      <c r="AX77">
        <f t="shared" si="129"/>
        <v>0.16333333333333333</v>
      </c>
      <c r="AY77" s="44">
        <f t="shared" si="145"/>
        <v>1.0908333333333333</v>
      </c>
      <c r="AZ77" s="42">
        <f t="shared" si="109"/>
        <v>0</v>
      </c>
      <c r="BA77">
        <f t="shared" si="110"/>
        <v>0</v>
      </c>
      <c r="BB77">
        <f t="shared" si="146"/>
        <v>0</v>
      </c>
      <c r="BC77" s="44">
        <f t="shared" si="130"/>
        <v>0</v>
      </c>
      <c r="BD77" s="42">
        <v>0</v>
      </c>
      <c r="BE77">
        <f t="shared" si="131"/>
        <v>0</v>
      </c>
      <c r="BF77" s="44">
        <f t="shared" si="147"/>
        <v>0</v>
      </c>
      <c r="BG77" s="42">
        <f t="shared" si="132"/>
        <v>0</v>
      </c>
      <c r="BH77">
        <f t="shared" si="133"/>
        <v>0</v>
      </c>
      <c r="BI77" s="44">
        <f t="shared" si="134"/>
        <v>0</v>
      </c>
      <c r="BK77" s="42">
        <f t="shared" si="111"/>
        <v>0</v>
      </c>
      <c r="BL77">
        <f t="shared" si="112"/>
        <v>0</v>
      </c>
      <c r="BM77">
        <f t="shared" si="113"/>
        <v>0</v>
      </c>
      <c r="BN77" s="44">
        <f t="shared" si="135"/>
        <v>0</v>
      </c>
      <c r="BO77" s="42">
        <v>0</v>
      </c>
      <c r="BP77">
        <f t="shared" si="136"/>
        <v>0</v>
      </c>
      <c r="BQ77" s="44">
        <f t="shared" si="148"/>
        <v>0</v>
      </c>
      <c r="BR77" s="42">
        <f t="shared" si="137"/>
        <v>0</v>
      </c>
      <c r="BS77">
        <f t="shared" si="138"/>
        <v>0</v>
      </c>
      <c r="BT77" s="44">
        <f t="shared" si="149"/>
        <v>0</v>
      </c>
      <c r="BU77" s="42">
        <f t="shared" si="114"/>
        <v>1.1067971810589326E-2</v>
      </c>
      <c r="BV77">
        <f t="shared" si="115"/>
        <v>4.3874999999999997E-2</v>
      </c>
      <c r="BW77" s="44">
        <f t="shared" si="116"/>
        <v>2.2499999999999999E-2</v>
      </c>
      <c r="BX77">
        <f t="shared" si="139"/>
        <v>0.36475729574745247</v>
      </c>
      <c r="BY77">
        <f t="shared" si="140"/>
        <v>2.477869735335811</v>
      </c>
      <c r="BZ77">
        <f t="shared" si="141"/>
        <v>87.596927159090015</v>
      </c>
    </row>
    <row r="78" spans="17:78" x14ac:dyDescent="0.3">
      <c r="Q78">
        <v>71</v>
      </c>
      <c r="R78" s="42">
        <f t="shared" si="94"/>
        <v>17.75</v>
      </c>
      <c r="S78">
        <f t="shared" si="95"/>
        <v>50</v>
      </c>
      <c r="T78" s="44">
        <f t="shared" si="96"/>
        <v>0.35499999999999998</v>
      </c>
      <c r="U78" s="42">
        <f t="shared" si="97"/>
        <v>1</v>
      </c>
      <c r="V78">
        <f t="shared" si="98"/>
        <v>0.22293496809607954</v>
      </c>
      <c r="W78">
        <f t="shared" si="99"/>
        <v>0.32845751966155723</v>
      </c>
      <c r="X78">
        <f t="shared" si="117"/>
        <v>0.44860751224236328</v>
      </c>
      <c r="Y78" s="42">
        <f t="shared" si="118"/>
        <v>1.5923926292577109</v>
      </c>
      <c r="Z78">
        <f t="shared" si="100"/>
        <v>3.1847852585154222</v>
      </c>
      <c r="AA78">
        <f t="shared" si="119"/>
        <v>3.1847852585154222</v>
      </c>
      <c r="AB78" s="44">
        <f t="shared" si="101"/>
        <v>0.86817769562571889</v>
      </c>
      <c r="AC78" s="42">
        <v>0</v>
      </c>
      <c r="AD78">
        <f t="shared" si="102"/>
        <v>1.5074650223639668E-2</v>
      </c>
      <c r="AE78" s="44">
        <f t="shared" si="120"/>
        <v>1.5074650223639668E-2</v>
      </c>
      <c r="AF78" s="42">
        <f t="shared" si="103"/>
        <v>0.35499999999999998</v>
      </c>
      <c r="AG78" s="44">
        <f t="shared" si="104"/>
        <v>0.35499999999999998</v>
      </c>
      <c r="AH78" s="42">
        <f t="shared" si="105"/>
        <v>2.5626905380187436E-2</v>
      </c>
      <c r="AI78">
        <f t="shared" si="106"/>
        <v>0.57379680581038062</v>
      </c>
      <c r="AJ78" s="44">
        <f t="shared" si="121"/>
        <v>0.59942371119056803</v>
      </c>
      <c r="AK78" s="42">
        <f t="shared" si="107"/>
        <v>17.75</v>
      </c>
      <c r="AL78">
        <f t="shared" si="108"/>
        <v>150</v>
      </c>
      <c r="AM78" s="44">
        <f t="shared" si="122"/>
        <v>0.11833333333333333</v>
      </c>
      <c r="AN78" s="42">
        <f t="shared" si="123"/>
        <v>1</v>
      </c>
      <c r="AO78">
        <f t="shared" si="124"/>
        <v>0.32845751966155723</v>
      </c>
      <c r="AP78">
        <f t="shared" si="125"/>
        <v>0.36026982562391646</v>
      </c>
      <c r="AQ78">
        <f t="shared" si="126"/>
        <v>0.72053965124783315</v>
      </c>
      <c r="AR78">
        <f t="shared" si="142"/>
        <v>0.72053965124783304</v>
      </c>
      <c r="AS78" s="44">
        <f t="shared" si="143"/>
        <v>0.23841680412112115</v>
      </c>
      <c r="AT78" s="42"/>
      <c r="AU78">
        <f t="shared" si="127"/>
        <v>7.2814444444444451E-6</v>
      </c>
      <c r="AV78" s="44">
        <f t="shared" si="144"/>
        <v>7.2814444444444451E-6</v>
      </c>
      <c r="AW78" s="42">
        <f t="shared" si="128"/>
        <v>0.92749999999999999</v>
      </c>
      <c r="AX78">
        <f t="shared" si="129"/>
        <v>0.16566666666666666</v>
      </c>
      <c r="AY78" s="44">
        <f t="shared" si="145"/>
        <v>1.0931666666666666</v>
      </c>
      <c r="AZ78" s="42">
        <f t="shared" si="109"/>
        <v>0</v>
      </c>
      <c r="BA78">
        <f t="shared" si="110"/>
        <v>0</v>
      </c>
      <c r="BB78">
        <f t="shared" si="146"/>
        <v>0</v>
      </c>
      <c r="BC78" s="44">
        <f t="shared" si="130"/>
        <v>0</v>
      </c>
      <c r="BD78" s="42">
        <v>0</v>
      </c>
      <c r="BE78">
        <f t="shared" si="131"/>
        <v>0</v>
      </c>
      <c r="BF78" s="44">
        <f t="shared" si="147"/>
        <v>0</v>
      </c>
      <c r="BG78" s="42">
        <f t="shared" si="132"/>
        <v>0</v>
      </c>
      <c r="BH78">
        <f t="shared" si="133"/>
        <v>0</v>
      </c>
      <c r="BI78" s="44">
        <f t="shared" si="134"/>
        <v>0</v>
      </c>
      <c r="BK78" s="42">
        <f t="shared" si="111"/>
        <v>0</v>
      </c>
      <c r="BL78">
        <f t="shared" si="112"/>
        <v>0</v>
      </c>
      <c r="BM78">
        <f t="shared" si="113"/>
        <v>0</v>
      </c>
      <c r="BN78" s="44">
        <f t="shared" si="135"/>
        <v>0</v>
      </c>
      <c r="BO78" s="42">
        <v>0</v>
      </c>
      <c r="BP78">
        <f t="shared" si="136"/>
        <v>0</v>
      </c>
      <c r="BQ78" s="44">
        <f t="shared" si="148"/>
        <v>0</v>
      </c>
      <c r="BR78" s="42">
        <f t="shared" si="137"/>
        <v>0</v>
      </c>
      <c r="BS78">
        <f t="shared" si="138"/>
        <v>0</v>
      </c>
      <c r="BT78" s="44">
        <f t="shared" si="149"/>
        <v>0</v>
      </c>
      <c r="BU78" s="42">
        <f t="shared" si="114"/>
        <v>1.130598766772975E-2</v>
      </c>
      <c r="BV78">
        <f t="shared" si="115"/>
        <v>4.3874999999999997E-2</v>
      </c>
      <c r="BW78" s="44">
        <f t="shared" si="116"/>
        <v>2.2499999999999999E-2</v>
      </c>
      <c r="BX78">
        <f t="shared" si="139"/>
        <v>0.37007465022363967</v>
      </c>
      <c r="BY78">
        <f t="shared" si="140"/>
        <v>2.4953532971930485</v>
      </c>
      <c r="BZ78">
        <f t="shared" si="141"/>
        <v>87.674439361159372</v>
      </c>
    </row>
    <row r="79" spans="17:78" x14ac:dyDescent="0.3">
      <c r="Q79">
        <v>72</v>
      </c>
      <c r="R79" s="42">
        <f t="shared" si="94"/>
        <v>18</v>
      </c>
      <c r="S79">
        <f t="shared" si="95"/>
        <v>50</v>
      </c>
      <c r="T79" s="44">
        <f t="shared" si="96"/>
        <v>0.36</v>
      </c>
      <c r="U79" s="42">
        <f t="shared" si="97"/>
        <v>1</v>
      </c>
      <c r="V79">
        <f t="shared" si="98"/>
        <v>0.22449944320643647</v>
      </c>
      <c r="W79">
        <f t="shared" si="99"/>
        <v>0.33076251299081638</v>
      </c>
      <c r="X79">
        <f t="shared" si="117"/>
        <v>0.44473804380274717</v>
      </c>
      <c r="Y79" s="42">
        <f t="shared" si="118"/>
        <v>1.6035674514745464</v>
      </c>
      <c r="Z79">
        <f t="shared" si="100"/>
        <v>3.2071349029490928</v>
      </c>
      <c r="AA79">
        <f t="shared" si="119"/>
        <v>3.2071349029490928</v>
      </c>
      <c r="AB79" s="44">
        <f t="shared" si="101"/>
        <v>0.87733253485082974</v>
      </c>
      <c r="AC79" s="42">
        <v>0</v>
      </c>
      <c r="AD79">
        <f t="shared" si="102"/>
        <v>1.5394247534155648E-2</v>
      </c>
      <c r="AE79" s="44">
        <f t="shared" si="120"/>
        <v>1.5394247534155648E-2</v>
      </c>
      <c r="AF79" s="42">
        <f t="shared" si="103"/>
        <v>0.36</v>
      </c>
      <c r="AG79" s="44">
        <f t="shared" si="104"/>
        <v>0.36</v>
      </c>
      <c r="AH79" s="42">
        <f t="shared" si="105"/>
        <v>2.6170220808064602E-2</v>
      </c>
      <c r="AI79">
        <f t="shared" si="106"/>
        <v>0.57782349946350819</v>
      </c>
      <c r="AJ79" s="44">
        <f t="shared" si="121"/>
        <v>0.60399372027157283</v>
      </c>
      <c r="AK79" s="42">
        <f t="shared" si="107"/>
        <v>18</v>
      </c>
      <c r="AL79">
        <f t="shared" si="108"/>
        <v>150</v>
      </c>
      <c r="AM79" s="44">
        <f t="shared" si="122"/>
        <v>0.12</v>
      </c>
      <c r="AN79" s="42">
        <f t="shared" si="123"/>
        <v>2</v>
      </c>
      <c r="AO79">
        <f t="shared" si="124"/>
        <v>0.33076251299081638</v>
      </c>
      <c r="AP79">
        <f t="shared" si="125"/>
        <v>0.36279806594446751</v>
      </c>
      <c r="AQ79">
        <f t="shared" si="126"/>
        <v>0.7255961318889349</v>
      </c>
      <c r="AR79">
        <f t="shared" si="142"/>
        <v>0.72559613188893501</v>
      </c>
      <c r="AS79" s="44">
        <f t="shared" si="143"/>
        <v>0.2409308833485545</v>
      </c>
      <c r="AT79" s="42"/>
      <c r="AU79">
        <f t="shared" si="127"/>
        <v>7.488000000000001E-6</v>
      </c>
      <c r="AV79" s="44">
        <f t="shared" si="144"/>
        <v>7.488000000000001E-6</v>
      </c>
      <c r="AW79" s="42">
        <f t="shared" si="128"/>
        <v>0.92749999999999999</v>
      </c>
      <c r="AX79">
        <f t="shared" si="129"/>
        <v>0.16799999999999998</v>
      </c>
      <c r="AY79" s="44">
        <f t="shared" si="145"/>
        <v>1.0954999999999999</v>
      </c>
      <c r="AZ79" s="42">
        <f t="shared" si="109"/>
        <v>0</v>
      </c>
      <c r="BA79">
        <f t="shared" si="110"/>
        <v>0</v>
      </c>
      <c r="BB79">
        <f t="shared" si="146"/>
        <v>0</v>
      </c>
      <c r="BC79" s="44">
        <f t="shared" si="130"/>
        <v>0</v>
      </c>
      <c r="BD79" s="42">
        <v>0</v>
      </c>
      <c r="BE79">
        <f t="shared" si="131"/>
        <v>0</v>
      </c>
      <c r="BF79" s="44">
        <f t="shared" si="147"/>
        <v>0</v>
      </c>
      <c r="BG79" s="42">
        <f t="shared" si="132"/>
        <v>0</v>
      </c>
      <c r="BH79">
        <f t="shared" si="133"/>
        <v>0</v>
      </c>
      <c r="BI79" s="44">
        <f t="shared" si="134"/>
        <v>0</v>
      </c>
      <c r="BK79" s="42">
        <f t="shared" si="111"/>
        <v>0</v>
      </c>
      <c r="BL79">
        <f t="shared" si="112"/>
        <v>0</v>
      </c>
      <c r="BM79">
        <f t="shared" si="113"/>
        <v>0</v>
      </c>
      <c r="BN79" s="44">
        <f t="shared" si="135"/>
        <v>0</v>
      </c>
      <c r="BO79" s="42">
        <v>0</v>
      </c>
      <c r="BP79">
        <f t="shared" si="136"/>
        <v>0</v>
      </c>
      <c r="BQ79" s="44">
        <f t="shared" si="148"/>
        <v>0</v>
      </c>
      <c r="BR79" s="42">
        <f t="shared" si="137"/>
        <v>0</v>
      </c>
      <c r="BS79">
        <f t="shared" si="138"/>
        <v>0</v>
      </c>
      <c r="BT79" s="44">
        <f t="shared" si="149"/>
        <v>0</v>
      </c>
      <c r="BU79" s="42">
        <f t="shared" si="114"/>
        <v>1.1545685650616736E-2</v>
      </c>
      <c r="BV79">
        <f t="shared" si="115"/>
        <v>4.3874999999999997E-2</v>
      </c>
      <c r="BW79" s="44">
        <f t="shared" si="116"/>
        <v>2.2499999999999999E-2</v>
      </c>
      <c r="BX79">
        <f t="shared" si="139"/>
        <v>0.37539424753415562</v>
      </c>
      <c r="BY79">
        <f t="shared" si="140"/>
        <v>2.5128161414563448</v>
      </c>
      <c r="BZ79">
        <f t="shared" si="141"/>
        <v>87.750018699880272</v>
      </c>
    </row>
    <row r="80" spans="17:78" x14ac:dyDescent="0.3">
      <c r="Q80">
        <v>73</v>
      </c>
      <c r="R80" s="42">
        <f t="shared" si="94"/>
        <v>18.25</v>
      </c>
      <c r="S80">
        <f t="shared" si="95"/>
        <v>50</v>
      </c>
      <c r="T80" s="44">
        <f t="shared" si="96"/>
        <v>0.36499999999999999</v>
      </c>
      <c r="U80" s="42">
        <f t="shared" si="97"/>
        <v>1</v>
      </c>
      <c r="V80">
        <f t="shared" si="98"/>
        <v>0.22605309110914629</v>
      </c>
      <c r="W80">
        <f t="shared" si="99"/>
        <v>0.33305155423414218</v>
      </c>
      <c r="X80">
        <f t="shared" si="117"/>
        <v>0.44089535465671154</v>
      </c>
      <c r="Y80" s="42">
        <f t="shared" si="118"/>
        <v>1.6146649364939023</v>
      </c>
      <c r="Z80">
        <f t="shared" si="100"/>
        <v>3.2293298729878042</v>
      </c>
      <c r="AA80">
        <f t="shared" si="119"/>
        <v>3.2293298729878046</v>
      </c>
      <c r="AB80" s="44">
        <f t="shared" si="101"/>
        <v>0.88645564041695424</v>
      </c>
      <c r="AC80" s="42">
        <v>0</v>
      </c>
      <c r="AD80">
        <f t="shared" si="102"/>
        <v>1.5716072048540652E-2</v>
      </c>
      <c r="AE80" s="44">
        <f t="shared" si="120"/>
        <v>1.5716072048540652E-2</v>
      </c>
      <c r="AF80" s="42">
        <f t="shared" si="103"/>
        <v>0.36499999999999999</v>
      </c>
      <c r="AG80" s="44">
        <f t="shared" si="104"/>
        <v>0.36499999999999999</v>
      </c>
      <c r="AH80" s="42">
        <f t="shared" si="105"/>
        <v>2.6717322482519106E-2</v>
      </c>
      <c r="AI80">
        <f t="shared" si="106"/>
        <v>0.58182232572007242</v>
      </c>
      <c r="AJ80" s="44">
        <f t="shared" si="121"/>
        <v>0.60853964820259154</v>
      </c>
      <c r="AK80" s="42">
        <f t="shared" si="107"/>
        <v>18.25</v>
      </c>
      <c r="AL80">
        <f t="shared" si="108"/>
        <v>150</v>
      </c>
      <c r="AM80" s="44">
        <f t="shared" si="122"/>
        <v>0.12166666666666667</v>
      </c>
      <c r="AN80" s="42">
        <f t="shared" si="123"/>
        <v>2</v>
      </c>
      <c r="AO80">
        <f t="shared" si="124"/>
        <v>0.33305155423414218</v>
      </c>
      <c r="AP80">
        <f t="shared" si="125"/>
        <v>0.36530880916151642</v>
      </c>
      <c r="AQ80">
        <f t="shared" si="126"/>
        <v>0.73061761832303262</v>
      </c>
      <c r="AR80">
        <f t="shared" si="142"/>
        <v>0.73061761832303274</v>
      </c>
      <c r="AS80" s="44">
        <f t="shared" si="143"/>
        <v>0.24343624795731406</v>
      </c>
      <c r="AT80" s="42"/>
      <c r="AU80">
        <f t="shared" si="127"/>
        <v>7.6974444444444459E-6</v>
      </c>
      <c r="AV80" s="44">
        <f t="shared" si="144"/>
        <v>7.6974444444444459E-6</v>
      </c>
      <c r="AW80" s="42">
        <f t="shared" si="128"/>
        <v>0.92749999999999999</v>
      </c>
      <c r="AX80">
        <f t="shared" si="129"/>
        <v>0.17033333333333334</v>
      </c>
      <c r="AY80" s="44">
        <f t="shared" si="145"/>
        <v>1.0978333333333334</v>
      </c>
      <c r="AZ80" s="42">
        <f t="shared" si="109"/>
        <v>0</v>
      </c>
      <c r="BA80">
        <f t="shared" si="110"/>
        <v>0</v>
      </c>
      <c r="BB80">
        <f t="shared" si="146"/>
        <v>0</v>
      </c>
      <c r="BC80" s="44">
        <f t="shared" si="130"/>
        <v>0</v>
      </c>
      <c r="BD80" s="42">
        <v>0</v>
      </c>
      <c r="BE80">
        <f t="shared" si="131"/>
        <v>0</v>
      </c>
      <c r="BF80" s="44">
        <f t="shared" si="147"/>
        <v>0</v>
      </c>
      <c r="BG80" s="42">
        <f t="shared" si="132"/>
        <v>0</v>
      </c>
      <c r="BH80">
        <f t="shared" si="133"/>
        <v>0</v>
      </c>
      <c r="BI80" s="44">
        <f t="shared" si="134"/>
        <v>0</v>
      </c>
      <c r="BK80" s="42">
        <f t="shared" si="111"/>
        <v>0</v>
      </c>
      <c r="BL80">
        <f t="shared" si="112"/>
        <v>0</v>
      </c>
      <c r="BM80">
        <f t="shared" si="113"/>
        <v>0</v>
      </c>
      <c r="BN80" s="44">
        <f t="shared" ref="BN80:BN111" si="150">IF(EN_OUT_3=1,BK80/BL80,0)</f>
        <v>0</v>
      </c>
      <c r="BO80" s="42">
        <v>0</v>
      </c>
      <c r="BP80">
        <f t="shared" si="136"/>
        <v>0</v>
      </c>
      <c r="BQ80" s="44">
        <f t="shared" si="148"/>
        <v>0</v>
      </c>
      <c r="BR80" s="42">
        <f t="shared" si="137"/>
        <v>0</v>
      </c>
      <c r="BS80">
        <f t="shared" si="138"/>
        <v>0</v>
      </c>
      <c r="BT80" s="44">
        <f t="shared" si="149"/>
        <v>0</v>
      </c>
      <c r="BU80" s="42">
        <f t="shared" si="114"/>
        <v>1.1787054036405488E-2</v>
      </c>
      <c r="BV80">
        <f t="shared" si="115"/>
        <v>4.3874999999999997E-2</v>
      </c>
      <c r="BW80" s="44">
        <f t="shared" si="116"/>
        <v>2.2499999999999999E-2</v>
      </c>
      <c r="BX80">
        <f t="shared" si="139"/>
        <v>0.38071607204854063</v>
      </c>
      <c r="BY80">
        <f t="shared" si="140"/>
        <v>2.5302588050653156</v>
      </c>
      <c r="BZ80">
        <f t="shared" si="141"/>
        <v>87.823737765727202</v>
      </c>
    </row>
    <row r="81" spans="17:78" x14ac:dyDescent="0.3">
      <c r="Q81">
        <v>74</v>
      </c>
      <c r="R81" s="42">
        <f t="shared" si="94"/>
        <v>18.5</v>
      </c>
      <c r="S81">
        <f t="shared" si="95"/>
        <v>50</v>
      </c>
      <c r="T81" s="44">
        <f t="shared" si="96"/>
        <v>0.37</v>
      </c>
      <c r="U81" s="42">
        <f t="shared" si="97"/>
        <v>1</v>
      </c>
      <c r="V81">
        <f t="shared" si="98"/>
        <v>0.22759613353482083</v>
      </c>
      <c r="W81">
        <f t="shared" si="99"/>
        <v>0.33532497007463602</v>
      </c>
      <c r="X81">
        <f t="shared" si="117"/>
        <v>0.43707889639054309</v>
      </c>
      <c r="Y81" s="42">
        <f t="shared" si="118"/>
        <v>1.625686668105863</v>
      </c>
      <c r="Z81">
        <f t="shared" si="100"/>
        <v>3.2513733362117265</v>
      </c>
      <c r="AA81">
        <f t="shared" si="119"/>
        <v>3.2513733362117261</v>
      </c>
      <c r="AB81" s="44">
        <f t="shared" si="101"/>
        <v>0.89554755481338111</v>
      </c>
      <c r="AC81" s="42">
        <v>0</v>
      </c>
      <c r="AD81">
        <f t="shared" si="102"/>
        <v>1.6040108458644519E-2</v>
      </c>
      <c r="AE81" s="44">
        <f t="shared" si="120"/>
        <v>1.6040108458644519E-2</v>
      </c>
      <c r="AF81" s="42">
        <f t="shared" si="103"/>
        <v>0.37</v>
      </c>
      <c r="AG81" s="44">
        <f t="shared" si="104"/>
        <v>0.37</v>
      </c>
      <c r="AH81" s="42">
        <f t="shared" si="105"/>
        <v>2.7268184379695682E-2</v>
      </c>
      <c r="AI81">
        <f t="shared" si="106"/>
        <v>0.58579385527707017</v>
      </c>
      <c r="AJ81" s="44">
        <f t="shared" si="121"/>
        <v>0.61306203965676587</v>
      </c>
      <c r="AK81" s="42">
        <f t="shared" si="107"/>
        <v>18.5</v>
      </c>
      <c r="AL81">
        <f t="shared" si="108"/>
        <v>150</v>
      </c>
      <c r="AM81" s="44">
        <f t="shared" si="122"/>
        <v>0.12333333333333334</v>
      </c>
      <c r="AN81" s="42">
        <f t="shared" si="123"/>
        <v>2</v>
      </c>
      <c r="AO81">
        <f t="shared" si="124"/>
        <v>0.33532497007463608</v>
      </c>
      <c r="AP81">
        <f t="shared" si="125"/>
        <v>0.36780241359861154</v>
      </c>
      <c r="AQ81">
        <f t="shared" si="126"/>
        <v>0.73560482719722331</v>
      </c>
      <c r="AR81">
        <f t="shared" si="142"/>
        <v>0.7356048271972232</v>
      </c>
      <c r="AS81" s="44">
        <f t="shared" si="143"/>
        <v>0.24593304692446175</v>
      </c>
      <c r="AT81" s="42"/>
      <c r="AU81">
        <f t="shared" si="127"/>
        <v>7.9097777777777789E-6</v>
      </c>
      <c r="AV81" s="44">
        <f t="shared" si="144"/>
        <v>7.9097777777777789E-6</v>
      </c>
      <c r="AW81" s="42">
        <f t="shared" si="128"/>
        <v>0.92749999999999999</v>
      </c>
      <c r="AX81">
        <f t="shared" si="129"/>
        <v>0.17266666666666666</v>
      </c>
      <c r="AY81" s="44">
        <f t="shared" si="145"/>
        <v>1.1001666666666667</v>
      </c>
      <c r="AZ81" s="42">
        <f t="shared" si="109"/>
        <v>0</v>
      </c>
      <c r="BA81">
        <f t="shared" si="110"/>
        <v>0</v>
      </c>
      <c r="BB81">
        <f t="shared" si="146"/>
        <v>0</v>
      </c>
      <c r="BC81" s="44">
        <f t="shared" si="130"/>
        <v>0</v>
      </c>
      <c r="BD81" s="42">
        <v>0</v>
      </c>
      <c r="BE81">
        <f t="shared" si="131"/>
        <v>0</v>
      </c>
      <c r="BF81" s="44">
        <f t="shared" si="147"/>
        <v>0</v>
      </c>
      <c r="BG81" s="42">
        <f t="shared" si="132"/>
        <v>0</v>
      </c>
      <c r="BH81">
        <f t="shared" si="133"/>
        <v>0</v>
      </c>
      <c r="BI81" s="44">
        <f t="shared" si="134"/>
        <v>0</v>
      </c>
      <c r="BK81" s="42">
        <f t="shared" si="111"/>
        <v>0</v>
      </c>
      <c r="BL81">
        <f t="shared" si="112"/>
        <v>0</v>
      </c>
      <c r="BM81">
        <f t="shared" si="113"/>
        <v>0</v>
      </c>
      <c r="BN81" s="44">
        <f t="shared" si="150"/>
        <v>0</v>
      </c>
      <c r="BO81" s="42">
        <v>0</v>
      </c>
      <c r="BP81">
        <f t="shared" si="136"/>
        <v>0</v>
      </c>
      <c r="BQ81" s="44">
        <f t="shared" si="148"/>
        <v>0</v>
      </c>
      <c r="BR81" s="42">
        <f t="shared" si="137"/>
        <v>0</v>
      </c>
      <c r="BS81">
        <f t="shared" si="138"/>
        <v>0</v>
      </c>
      <c r="BT81" s="44">
        <f t="shared" si="149"/>
        <v>0</v>
      </c>
      <c r="BU81" s="42">
        <f t="shared" si="114"/>
        <v>1.2030081343983388E-2</v>
      </c>
      <c r="BV81">
        <f t="shared" si="115"/>
        <v>4.3874999999999997E-2</v>
      </c>
      <c r="BW81" s="44">
        <f t="shared" si="116"/>
        <v>2.2499999999999999E-2</v>
      </c>
      <c r="BX81">
        <f t="shared" si="139"/>
        <v>0.3860401084586445</v>
      </c>
      <c r="BY81">
        <f t="shared" si="140"/>
        <v>2.5476818059038386</v>
      </c>
      <c r="BZ81">
        <f t="shared" si="141"/>
        <v>87.895665520802297</v>
      </c>
    </row>
    <row r="82" spans="17:78" x14ac:dyDescent="0.3">
      <c r="Q82">
        <v>75</v>
      </c>
      <c r="R82" s="42">
        <f t="shared" si="94"/>
        <v>18.75</v>
      </c>
      <c r="S82">
        <f t="shared" si="95"/>
        <v>50</v>
      </c>
      <c r="T82" s="44">
        <f t="shared" si="96"/>
        <v>0.375</v>
      </c>
      <c r="U82" s="42">
        <f t="shared" si="97"/>
        <v>1</v>
      </c>
      <c r="V82">
        <f t="shared" si="98"/>
        <v>0.229128784747792</v>
      </c>
      <c r="W82">
        <f t="shared" si="99"/>
        <v>0.33758307619508021</v>
      </c>
      <c r="X82">
        <f t="shared" si="117"/>
        <v>0.43328813905712782</v>
      </c>
      <c r="Y82" s="42">
        <f t="shared" si="118"/>
        <v>1.636634176769943</v>
      </c>
      <c r="Z82">
        <f t="shared" si="100"/>
        <v>3.2732683535398857</v>
      </c>
      <c r="AA82">
        <f t="shared" si="119"/>
        <v>3.2732683535398861</v>
      </c>
      <c r="AB82" s="44">
        <f t="shared" si="101"/>
        <v>0.90460880406116528</v>
      </c>
      <c r="AC82" s="42">
        <v>0</v>
      </c>
      <c r="AD82">
        <f t="shared" si="102"/>
        <v>1.6366341767699435E-2</v>
      </c>
      <c r="AE82" s="44">
        <f t="shared" si="120"/>
        <v>1.6366341767699435E-2</v>
      </c>
      <c r="AF82" s="42">
        <f t="shared" si="103"/>
        <v>0.375</v>
      </c>
      <c r="AG82" s="44">
        <f t="shared" si="104"/>
        <v>0.375</v>
      </c>
      <c r="AH82" s="42">
        <f t="shared" si="105"/>
        <v>2.7822781005089042E-2</v>
      </c>
      <c r="AI82">
        <f t="shared" si="106"/>
        <v>0.5897386396145603</v>
      </c>
      <c r="AJ82" s="44">
        <f t="shared" si="121"/>
        <v>0.61756142061964936</v>
      </c>
      <c r="AK82" s="42">
        <f t="shared" si="107"/>
        <v>18.75</v>
      </c>
      <c r="AL82">
        <f t="shared" si="108"/>
        <v>150</v>
      </c>
      <c r="AM82" s="44">
        <f t="shared" si="122"/>
        <v>0.125</v>
      </c>
      <c r="AN82" s="42">
        <f t="shared" si="123"/>
        <v>2</v>
      </c>
      <c r="AO82">
        <f t="shared" si="124"/>
        <v>0.33758307619508021</v>
      </c>
      <c r="AP82">
        <f t="shared" si="125"/>
        <v>0.37027922551356174</v>
      </c>
      <c r="AQ82">
        <f t="shared" si="126"/>
        <v>0.74055845102712348</v>
      </c>
      <c r="AR82">
        <f t="shared" si="142"/>
        <v>0.74055845102712348</v>
      </c>
      <c r="AS82" s="44">
        <f t="shared" si="143"/>
        <v>0.24842142470459408</v>
      </c>
      <c r="AT82" s="42"/>
      <c r="AU82">
        <f t="shared" si="127"/>
        <v>8.125000000000001E-6</v>
      </c>
      <c r="AV82" s="44">
        <f t="shared" si="144"/>
        <v>8.125000000000001E-6</v>
      </c>
      <c r="AW82" s="42">
        <f t="shared" si="128"/>
        <v>0.92749999999999999</v>
      </c>
      <c r="AX82">
        <f t="shared" si="129"/>
        <v>0.17499999999999999</v>
      </c>
      <c r="AY82" s="44">
        <f t="shared" si="145"/>
        <v>1.1025</v>
      </c>
      <c r="AZ82" s="42">
        <f t="shared" si="109"/>
        <v>0</v>
      </c>
      <c r="BA82">
        <f t="shared" si="110"/>
        <v>0</v>
      </c>
      <c r="BB82">
        <f t="shared" si="146"/>
        <v>0</v>
      </c>
      <c r="BC82" s="44">
        <f t="shared" si="130"/>
        <v>0</v>
      </c>
      <c r="BD82" s="42">
        <v>0</v>
      </c>
      <c r="BE82">
        <f t="shared" si="131"/>
        <v>0</v>
      </c>
      <c r="BF82" s="44">
        <f t="shared" si="147"/>
        <v>0</v>
      </c>
      <c r="BG82" s="42">
        <f t="shared" si="132"/>
        <v>0</v>
      </c>
      <c r="BH82">
        <f t="shared" si="133"/>
        <v>0</v>
      </c>
      <c r="BI82" s="44">
        <f t="shared" si="134"/>
        <v>0</v>
      </c>
      <c r="BK82" s="42">
        <f t="shared" si="111"/>
        <v>0</v>
      </c>
      <c r="BL82">
        <f t="shared" si="112"/>
        <v>0</v>
      </c>
      <c r="BM82">
        <f t="shared" si="113"/>
        <v>0</v>
      </c>
      <c r="BN82" s="44">
        <f t="shared" si="150"/>
        <v>0</v>
      </c>
      <c r="BO82" s="42">
        <v>0</v>
      </c>
      <c r="BP82">
        <f t="shared" si="136"/>
        <v>0</v>
      </c>
      <c r="BQ82" s="44">
        <f t="shared" si="148"/>
        <v>0</v>
      </c>
      <c r="BR82" s="42">
        <f t="shared" si="137"/>
        <v>0</v>
      </c>
      <c r="BS82">
        <f t="shared" si="138"/>
        <v>0</v>
      </c>
      <c r="BT82" s="44">
        <f t="shared" si="149"/>
        <v>0</v>
      </c>
      <c r="BU82" s="42">
        <f t="shared" si="114"/>
        <v>1.2274756325774575E-2</v>
      </c>
      <c r="BV82">
        <f t="shared" si="115"/>
        <v>4.3874999999999997E-2</v>
      </c>
      <c r="BW82" s="44">
        <f t="shared" si="116"/>
        <v>2.2499999999999999E-2</v>
      </c>
      <c r="BX82">
        <f t="shared" si="139"/>
        <v>0.39136634176769941</v>
      </c>
      <c r="BY82">
        <f t="shared" si="140"/>
        <v>2.5650856437131235</v>
      </c>
      <c r="BZ82">
        <f t="shared" si="141"/>
        <v>87.965867524113392</v>
      </c>
    </row>
    <row r="83" spans="17:78" x14ac:dyDescent="0.3">
      <c r="Q83">
        <v>76</v>
      </c>
      <c r="R83" s="42">
        <f t="shared" si="94"/>
        <v>19</v>
      </c>
      <c r="S83">
        <f t="shared" si="95"/>
        <v>50</v>
      </c>
      <c r="T83" s="44">
        <f t="shared" si="96"/>
        <v>0.38</v>
      </c>
      <c r="U83" s="42">
        <f t="shared" si="97"/>
        <v>1</v>
      </c>
      <c r="V83">
        <f t="shared" si="98"/>
        <v>0.2306512518934159</v>
      </c>
      <c r="W83">
        <f t="shared" si="99"/>
        <v>0.33982617778963276</v>
      </c>
      <c r="X83">
        <f t="shared" si="117"/>
        <v>0.4295225703169514</v>
      </c>
      <c r="Y83" s="42">
        <f t="shared" si="118"/>
        <v>1.6475089420958282</v>
      </c>
      <c r="Z83">
        <f t="shared" si="100"/>
        <v>3.2950178841916555</v>
      </c>
      <c r="AA83">
        <f t="shared" si="119"/>
        <v>3.295017884191656</v>
      </c>
      <c r="AB83" s="44">
        <f t="shared" si="101"/>
        <v>0.91363989842564308</v>
      </c>
      <c r="AC83" s="42">
        <v>0</v>
      </c>
      <c r="AD83">
        <f t="shared" si="102"/>
        <v>1.6694757279904389E-2</v>
      </c>
      <c r="AE83" s="44">
        <f t="shared" si="120"/>
        <v>1.6694757279904389E-2</v>
      </c>
      <c r="AF83" s="42">
        <f t="shared" si="103"/>
        <v>0.38</v>
      </c>
      <c r="AG83" s="44">
        <f t="shared" si="104"/>
        <v>0.38</v>
      </c>
      <c r="AH83" s="42">
        <f t="shared" si="105"/>
        <v>2.8381087375837461E-2</v>
      </c>
      <c r="AI83">
        <f t="shared" si="106"/>
        <v>0.59365721188956455</v>
      </c>
      <c r="AJ83" s="44">
        <f t="shared" si="121"/>
        <v>0.62203829926540199</v>
      </c>
      <c r="AK83" s="42">
        <f t="shared" si="107"/>
        <v>19</v>
      </c>
      <c r="AL83">
        <f t="shared" si="108"/>
        <v>150</v>
      </c>
      <c r="AM83" s="44">
        <f t="shared" si="122"/>
        <v>0.12666666666666668</v>
      </c>
      <c r="AN83" s="42">
        <f t="shared" si="123"/>
        <v>2</v>
      </c>
      <c r="AO83">
        <f t="shared" si="124"/>
        <v>0.33982617778963276</v>
      </c>
      <c r="AP83">
        <f t="shared" si="125"/>
        <v>0.37273957965968962</v>
      </c>
      <c r="AQ83">
        <f t="shared" si="126"/>
        <v>0.74547915931937914</v>
      </c>
      <c r="AR83">
        <f t="shared" si="142"/>
        <v>0.74547915931937925</v>
      </c>
      <c r="AS83" s="44">
        <f t="shared" si="143"/>
        <v>0.25090152142551164</v>
      </c>
      <c r="AT83" s="42"/>
      <c r="AU83">
        <f t="shared" si="127"/>
        <v>8.3431111111111138E-6</v>
      </c>
      <c r="AV83" s="44">
        <f t="shared" si="144"/>
        <v>8.3431111111111138E-6</v>
      </c>
      <c r="AW83" s="42">
        <f t="shared" si="128"/>
        <v>0.92749999999999999</v>
      </c>
      <c r="AX83">
        <f t="shared" si="129"/>
        <v>0.17733333333333334</v>
      </c>
      <c r="AY83" s="44">
        <f t="shared" si="145"/>
        <v>1.1048333333333333</v>
      </c>
      <c r="AZ83" s="42">
        <f t="shared" si="109"/>
        <v>0</v>
      </c>
      <c r="BA83">
        <f t="shared" si="110"/>
        <v>0</v>
      </c>
      <c r="BB83">
        <f t="shared" si="146"/>
        <v>0</v>
      </c>
      <c r="BC83" s="44">
        <f t="shared" si="130"/>
        <v>0</v>
      </c>
      <c r="BD83" s="42">
        <v>0</v>
      </c>
      <c r="BE83">
        <f t="shared" si="131"/>
        <v>0</v>
      </c>
      <c r="BF83" s="44">
        <f t="shared" si="147"/>
        <v>0</v>
      </c>
      <c r="BG83" s="42">
        <f t="shared" si="132"/>
        <v>0</v>
      </c>
      <c r="BH83">
        <f t="shared" si="133"/>
        <v>0</v>
      </c>
      <c r="BI83" s="44">
        <f t="shared" si="134"/>
        <v>0</v>
      </c>
      <c r="BK83" s="42">
        <f t="shared" si="111"/>
        <v>0</v>
      </c>
      <c r="BL83">
        <f t="shared" si="112"/>
        <v>0</v>
      </c>
      <c r="BM83">
        <f t="shared" si="113"/>
        <v>0</v>
      </c>
      <c r="BN83" s="44">
        <f t="shared" si="150"/>
        <v>0</v>
      </c>
      <c r="BO83" s="42">
        <v>0</v>
      </c>
      <c r="BP83">
        <f t="shared" si="136"/>
        <v>0</v>
      </c>
      <c r="BQ83" s="44">
        <f t="shared" si="148"/>
        <v>0</v>
      </c>
      <c r="BR83" s="42">
        <f t="shared" si="137"/>
        <v>0</v>
      </c>
      <c r="BS83">
        <f t="shared" si="138"/>
        <v>0</v>
      </c>
      <c r="BT83" s="44">
        <f t="shared" si="149"/>
        <v>0</v>
      </c>
      <c r="BU83" s="42">
        <f t="shared" si="114"/>
        <v>1.2521067959928292E-2</v>
      </c>
      <c r="BV83">
        <f t="shared" si="115"/>
        <v>4.3874999999999997E-2</v>
      </c>
      <c r="BW83" s="44">
        <f t="shared" si="116"/>
        <v>2.2499999999999999E-2</v>
      </c>
      <c r="BX83">
        <f t="shared" si="139"/>
        <v>0.39669475727990439</v>
      </c>
      <c r="BY83">
        <f t="shared" si="140"/>
        <v>2.5824708009496788</v>
      </c>
      <c r="BZ83">
        <f t="shared" si="141"/>
        <v>88.034406140208731</v>
      </c>
    </row>
    <row r="84" spans="17:78" x14ac:dyDescent="0.3">
      <c r="Q84">
        <v>77</v>
      </c>
      <c r="R84" s="42">
        <f t="shared" si="94"/>
        <v>19.25</v>
      </c>
      <c r="S84">
        <f t="shared" si="95"/>
        <v>50</v>
      </c>
      <c r="T84" s="44">
        <f t="shared" si="96"/>
        <v>0.38500000000000001</v>
      </c>
      <c r="U84" s="42">
        <f t="shared" si="97"/>
        <v>1</v>
      </c>
      <c r="V84">
        <f t="shared" si="98"/>
        <v>0.232163735324878</v>
      </c>
      <c r="W84">
        <f t="shared" si="99"/>
        <v>0.34205457004532025</v>
      </c>
      <c r="X84">
        <f t="shared" si="117"/>
        <v>0.42578169462980175</v>
      </c>
      <c r="Y84" s="42">
        <f t="shared" si="118"/>
        <v>1.6583123951776999</v>
      </c>
      <c r="Z84">
        <f t="shared" si="100"/>
        <v>3.3166247903554003</v>
      </c>
      <c r="AA84">
        <f t="shared" si="119"/>
        <v>3.3166247903553998</v>
      </c>
      <c r="AB84" s="44">
        <f t="shared" si="101"/>
        <v>0.92264133308916563</v>
      </c>
      <c r="AC84" s="42">
        <v>0</v>
      </c>
      <c r="AD84">
        <f t="shared" si="102"/>
        <v>1.7025340590491055E-2</v>
      </c>
      <c r="AE84" s="44">
        <f t="shared" si="120"/>
        <v>1.7025340590491055E-2</v>
      </c>
      <c r="AF84" s="42">
        <f t="shared" si="103"/>
        <v>0.38500000000000001</v>
      </c>
      <c r="AG84" s="44">
        <f t="shared" si="104"/>
        <v>0.38500000000000001</v>
      </c>
      <c r="AH84" s="42">
        <f t="shared" si="105"/>
        <v>2.8943079003834794E-2</v>
      </c>
      <c r="AI84">
        <f t="shared" si="106"/>
        <v>0.59755008777720919</v>
      </c>
      <c r="AJ84" s="44">
        <f t="shared" si="121"/>
        <v>0.62649316678104394</v>
      </c>
      <c r="AK84" s="42">
        <f t="shared" si="107"/>
        <v>19.25</v>
      </c>
      <c r="AL84">
        <f t="shared" si="108"/>
        <v>150</v>
      </c>
      <c r="AM84" s="44">
        <f t="shared" si="122"/>
        <v>0.12833333333333333</v>
      </c>
      <c r="AN84" s="42">
        <f t="shared" si="123"/>
        <v>2</v>
      </c>
      <c r="AO84">
        <f t="shared" si="124"/>
        <v>0.34205457004532019</v>
      </c>
      <c r="AP84">
        <f t="shared" si="125"/>
        <v>0.37518379981395927</v>
      </c>
      <c r="AQ84">
        <f t="shared" si="126"/>
        <v>0.75036759962791844</v>
      </c>
      <c r="AR84">
        <f t="shared" si="142"/>
        <v>0.75036759962791844</v>
      </c>
      <c r="AS84" s="44">
        <f t="shared" si="143"/>
        <v>0.25337347307296249</v>
      </c>
      <c r="AT84" s="42"/>
      <c r="AU84">
        <f t="shared" si="127"/>
        <v>8.5641111111111104E-6</v>
      </c>
      <c r="AV84" s="44">
        <f t="shared" si="144"/>
        <v>8.5641111111111104E-6</v>
      </c>
      <c r="AW84" s="42">
        <f t="shared" si="128"/>
        <v>0.92749999999999999</v>
      </c>
      <c r="AX84">
        <f t="shared" si="129"/>
        <v>0.17966666666666664</v>
      </c>
      <c r="AY84" s="44">
        <f t="shared" si="145"/>
        <v>1.1071666666666666</v>
      </c>
      <c r="AZ84" s="42">
        <f t="shared" si="109"/>
        <v>0</v>
      </c>
      <c r="BA84">
        <f t="shared" si="110"/>
        <v>0</v>
      </c>
      <c r="BB84">
        <f t="shared" si="146"/>
        <v>0</v>
      </c>
      <c r="BC84" s="44">
        <f t="shared" si="130"/>
        <v>0</v>
      </c>
      <c r="BD84" s="42">
        <v>0</v>
      </c>
      <c r="BE84">
        <f t="shared" si="131"/>
        <v>0</v>
      </c>
      <c r="BF84" s="44">
        <f t="shared" si="147"/>
        <v>0</v>
      </c>
      <c r="BG84" s="42">
        <f t="shared" si="132"/>
        <v>0</v>
      </c>
      <c r="BH84">
        <f t="shared" si="133"/>
        <v>0</v>
      </c>
      <c r="BI84" s="44">
        <f t="shared" si="134"/>
        <v>0</v>
      </c>
      <c r="BK84" s="42">
        <f t="shared" si="111"/>
        <v>0</v>
      </c>
      <c r="BL84">
        <f t="shared" si="112"/>
        <v>0</v>
      </c>
      <c r="BM84">
        <f t="shared" si="113"/>
        <v>0</v>
      </c>
      <c r="BN84" s="44">
        <f t="shared" si="150"/>
        <v>0</v>
      </c>
      <c r="BO84" s="42">
        <v>0</v>
      </c>
      <c r="BP84">
        <f t="shared" si="136"/>
        <v>0</v>
      </c>
      <c r="BQ84" s="44">
        <f t="shared" si="148"/>
        <v>0</v>
      </c>
      <c r="BR84" s="42">
        <f t="shared" si="137"/>
        <v>0</v>
      </c>
      <c r="BS84">
        <f t="shared" si="138"/>
        <v>0</v>
      </c>
      <c r="BT84" s="44">
        <f t="shared" si="149"/>
        <v>0</v>
      </c>
      <c r="BU84" s="42">
        <f t="shared" si="114"/>
        <v>1.2769005442868291E-2</v>
      </c>
      <c r="BV84">
        <f t="shared" si="115"/>
        <v>4.3874999999999997E-2</v>
      </c>
      <c r="BW84" s="44">
        <f t="shared" si="116"/>
        <v>2.2499999999999999E-2</v>
      </c>
      <c r="BX84">
        <f t="shared" si="139"/>
        <v>0.40202534059049105</v>
      </c>
      <c r="BY84">
        <f t="shared" si="140"/>
        <v>2.5998377435921807</v>
      </c>
      <c r="BZ84">
        <f t="shared" si="141"/>
        <v>88.10134073258908</v>
      </c>
    </row>
    <row r="85" spans="17:78" x14ac:dyDescent="0.3">
      <c r="Q85">
        <v>78</v>
      </c>
      <c r="R85" s="42">
        <f t="shared" si="94"/>
        <v>19.5</v>
      </c>
      <c r="S85">
        <f t="shared" si="95"/>
        <v>50</v>
      </c>
      <c r="T85" s="44">
        <f t="shared" si="96"/>
        <v>0.39</v>
      </c>
      <c r="U85" s="42">
        <f t="shared" si="97"/>
        <v>1</v>
      </c>
      <c r="V85">
        <f t="shared" si="98"/>
        <v>0.23366642891095846</v>
      </c>
      <c r="W85">
        <f t="shared" si="99"/>
        <v>0.34426853859547879</v>
      </c>
      <c r="X85">
        <f t="shared" si="117"/>
        <v>0.42206503249356275</v>
      </c>
      <c r="Y85" s="42">
        <f t="shared" si="118"/>
        <v>1.6690459207925603</v>
      </c>
      <c r="Z85">
        <f t="shared" si="100"/>
        <v>3.3380918415851211</v>
      </c>
      <c r="AA85">
        <f t="shared" si="119"/>
        <v>3.3380918415851211</v>
      </c>
      <c r="AB85" s="44">
        <f t="shared" si="101"/>
        <v>0.93161358878675193</v>
      </c>
      <c r="AC85" s="42">
        <v>0</v>
      </c>
      <c r="AD85">
        <f t="shared" si="102"/>
        <v>1.735807757624263E-2</v>
      </c>
      <c r="AE85" s="44">
        <f t="shared" si="120"/>
        <v>1.735807757624263E-2</v>
      </c>
      <c r="AF85" s="42">
        <f t="shared" si="103"/>
        <v>0.39</v>
      </c>
      <c r="AG85" s="44">
        <f t="shared" si="104"/>
        <v>0.39</v>
      </c>
      <c r="AH85" s="42">
        <f t="shared" si="105"/>
        <v>2.950873187961247E-2</v>
      </c>
      <c r="AI85">
        <f t="shared" si="106"/>
        <v>0.60141776626286103</v>
      </c>
      <c r="AJ85" s="44">
        <f t="shared" si="121"/>
        <v>0.63092649814247348</v>
      </c>
      <c r="AK85" s="42">
        <f t="shared" si="107"/>
        <v>19.5</v>
      </c>
      <c r="AL85">
        <f t="shared" si="108"/>
        <v>150</v>
      </c>
      <c r="AM85" s="44">
        <f t="shared" si="122"/>
        <v>0.13</v>
      </c>
      <c r="AN85" s="42">
        <f t="shared" si="123"/>
        <v>2</v>
      </c>
      <c r="AO85">
        <f t="shared" si="124"/>
        <v>0.34426853859547879</v>
      </c>
      <c r="AP85">
        <f t="shared" si="125"/>
        <v>0.37761219927433493</v>
      </c>
      <c r="AQ85">
        <f t="shared" si="126"/>
        <v>0.75522439854866996</v>
      </c>
      <c r="AR85">
        <f t="shared" si="142"/>
        <v>0.75522439854866996</v>
      </c>
      <c r="AS85" s="44">
        <f t="shared" si="143"/>
        <v>0.25583741166520468</v>
      </c>
      <c r="AT85" s="42"/>
      <c r="AU85">
        <f t="shared" si="127"/>
        <v>8.7880000000000012E-6</v>
      </c>
      <c r="AV85" s="44">
        <f t="shared" si="144"/>
        <v>8.7880000000000012E-6</v>
      </c>
      <c r="AW85" s="42">
        <f t="shared" si="128"/>
        <v>0.92749999999999999</v>
      </c>
      <c r="AX85">
        <f t="shared" si="129"/>
        <v>0.182</v>
      </c>
      <c r="AY85" s="44">
        <f t="shared" si="145"/>
        <v>1.1094999999999999</v>
      </c>
      <c r="AZ85" s="42">
        <f t="shared" si="109"/>
        <v>0</v>
      </c>
      <c r="BA85">
        <f t="shared" si="110"/>
        <v>0</v>
      </c>
      <c r="BB85">
        <f t="shared" si="146"/>
        <v>0</v>
      </c>
      <c r="BC85" s="44">
        <f t="shared" si="130"/>
        <v>0</v>
      </c>
      <c r="BD85" s="42">
        <v>0</v>
      </c>
      <c r="BE85">
        <f t="shared" si="131"/>
        <v>0</v>
      </c>
      <c r="BF85" s="44">
        <f t="shared" si="147"/>
        <v>0</v>
      </c>
      <c r="BG85" s="42">
        <f t="shared" si="132"/>
        <v>0</v>
      </c>
      <c r="BH85">
        <f t="shared" si="133"/>
        <v>0</v>
      </c>
      <c r="BI85" s="44">
        <f t="shared" si="134"/>
        <v>0</v>
      </c>
      <c r="BK85" s="42">
        <f t="shared" si="111"/>
        <v>0</v>
      </c>
      <c r="BL85">
        <f t="shared" si="112"/>
        <v>0</v>
      </c>
      <c r="BM85">
        <f t="shared" si="113"/>
        <v>0</v>
      </c>
      <c r="BN85" s="44">
        <f t="shared" si="150"/>
        <v>0</v>
      </c>
      <c r="BO85" s="42">
        <v>0</v>
      </c>
      <c r="BP85">
        <f t="shared" si="136"/>
        <v>0</v>
      </c>
      <c r="BQ85" s="44">
        <f t="shared" si="148"/>
        <v>0</v>
      </c>
      <c r="BR85" s="42">
        <f t="shared" si="137"/>
        <v>0</v>
      </c>
      <c r="BS85">
        <f t="shared" si="138"/>
        <v>0</v>
      </c>
      <c r="BT85" s="44">
        <f t="shared" si="149"/>
        <v>0</v>
      </c>
      <c r="BU85" s="42">
        <f t="shared" si="114"/>
        <v>1.301855818218197E-2</v>
      </c>
      <c r="BV85">
        <f t="shared" si="115"/>
        <v>4.3874999999999997E-2</v>
      </c>
      <c r="BW85" s="44">
        <f t="shared" si="116"/>
        <v>2.2499999999999999E-2</v>
      </c>
      <c r="BX85">
        <f t="shared" si="139"/>
        <v>0.40735807757624265</v>
      </c>
      <c r="BY85">
        <f t="shared" si="140"/>
        <v>2.6171869219008981</v>
      </c>
      <c r="BZ85">
        <f t="shared" si="141"/>
        <v>88.166727843181064</v>
      </c>
    </row>
    <row r="86" spans="17:78" x14ac:dyDescent="0.3">
      <c r="Q86">
        <v>79</v>
      </c>
      <c r="R86" s="42">
        <f t="shared" si="94"/>
        <v>19.75</v>
      </c>
      <c r="S86">
        <f t="shared" si="95"/>
        <v>50</v>
      </c>
      <c r="T86" s="44">
        <f t="shared" si="96"/>
        <v>0.39500000000000002</v>
      </c>
      <c r="U86" s="42">
        <f t="shared" si="97"/>
        <v>1</v>
      </c>
      <c r="V86">
        <f t="shared" si="98"/>
        <v>0.23515952032609694</v>
      </c>
      <c r="W86">
        <f t="shared" si="99"/>
        <v>0.34646835994711611</v>
      </c>
      <c r="X86">
        <f t="shared" si="117"/>
        <v>0.4183721197267869</v>
      </c>
      <c r="Y86" s="42">
        <f t="shared" si="118"/>
        <v>1.6797108594721211</v>
      </c>
      <c r="Z86">
        <f t="shared" si="100"/>
        <v>3.3594217189442417</v>
      </c>
      <c r="AA86">
        <f t="shared" si="119"/>
        <v>3.3594217189442421</v>
      </c>
      <c r="AB86" s="44">
        <f t="shared" si="101"/>
        <v>0.94055713240716199</v>
      </c>
      <c r="AC86" s="42">
        <v>0</v>
      </c>
      <c r="AD86">
        <f t="shared" si="102"/>
        <v>1.7692954386439672E-2</v>
      </c>
      <c r="AE86" s="44">
        <f t="shared" si="120"/>
        <v>1.7692954386439672E-2</v>
      </c>
      <c r="AF86" s="42">
        <f t="shared" si="103"/>
        <v>0.39500000000000002</v>
      </c>
      <c r="AG86" s="44">
        <f t="shared" si="104"/>
        <v>0.39500000000000002</v>
      </c>
      <c r="AH86" s="42">
        <f t="shared" si="105"/>
        <v>3.0078022456947445E-2</v>
      </c>
      <c r="AI86">
        <f t="shared" si="106"/>
        <v>0.60526073038870487</v>
      </c>
      <c r="AJ86" s="44">
        <f t="shared" si="121"/>
        <v>0.63533875284565233</v>
      </c>
      <c r="AK86" s="42">
        <f t="shared" si="107"/>
        <v>19.75</v>
      </c>
      <c r="AL86">
        <f t="shared" si="108"/>
        <v>150</v>
      </c>
      <c r="AM86" s="44">
        <f t="shared" si="122"/>
        <v>0.13166666666666665</v>
      </c>
      <c r="AN86" s="42">
        <f t="shared" si="123"/>
        <v>2</v>
      </c>
      <c r="AO86">
        <f t="shared" si="124"/>
        <v>0.34646835994711611</v>
      </c>
      <c r="AP86">
        <f t="shared" si="125"/>
        <v>0.38002508132853419</v>
      </c>
      <c r="AQ86">
        <f t="shared" si="126"/>
        <v>0.76005016265706837</v>
      </c>
      <c r="AR86">
        <f t="shared" si="142"/>
        <v>0.76005016265706837</v>
      </c>
      <c r="AS86" s="44">
        <f t="shared" si="143"/>
        <v>0.25829346541807052</v>
      </c>
      <c r="AT86" s="42"/>
      <c r="AU86">
        <f t="shared" si="127"/>
        <v>9.0147777777777777E-6</v>
      </c>
      <c r="AV86" s="44">
        <f t="shared" si="144"/>
        <v>9.0147777777777777E-6</v>
      </c>
      <c r="AW86" s="42">
        <f t="shared" si="128"/>
        <v>0.92749999999999999</v>
      </c>
      <c r="AX86">
        <f t="shared" si="129"/>
        <v>0.18433333333333329</v>
      </c>
      <c r="AY86" s="44">
        <f t="shared" si="145"/>
        <v>1.1118333333333332</v>
      </c>
      <c r="AZ86" s="42">
        <f t="shared" si="109"/>
        <v>0</v>
      </c>
      <c r="BA86">
        <f t="shared" si="110"/>
        <v>0</v>
      </c>
      <c r="BB86">
        <f t="shared" si="146"/>
        <v>0</v>
      </c>
      <c r="BC86" s="44">
        <f t="shared" si="130"/>
        <v>0</v>
      </c>
      <c r="BD86" s="42">
        <v>0</v>
      </c>
      <c r="BE86">
        <f t="shared" si="131"/>
        <v>0</v>
      </c>
      <c r="BF86" s="44">
        <f t="shared" si="147"/>
        <v>0</v>
      </c>
      <c r="BG86" s="42">
        <f t="shared" si="132"/>
        <v>0</v>
      </c>
      <c r="BH86">
        <f t="shared" si="133"/>
        <v>0</v>
      </c>
      <c r="BI86" s="44">
        <f t="shared" si="134"/>
        <v>0</v>
      </c>
      <c r="BK86" s="42">
        <f t="shared" si="111"/>
        <v>0</v>
      </c>
      <c r="BL86">
        <f t="shared" si="112"/>
        <v>0</v>
      </c>
      <c r="BM86">
        <f t="shared" si="113"/>
        <v>0</v>
      </c>
      <c r="BN86" s="44">
        <f t="shared" si="150"/>
        <v>0</v>
      </c>
      <c r="BO86" s="42">
        <v>0</v>
      </c>
      <c r="BP86">
        <f t="shared" si="136"/>
        <v>0</v>
      </c>
      <c r="BQ86" s="44">
        <f t="shared" si="148"/>
        <v>0</v>
      </c>
      <c r="BR86" s="42">
        <f t="shared" si="137"/>
        <v>0</v>
      </c>
      <c r="BS86">
        <f t="shared" si="138"/>
        <v>0</v>
      </c>
      <c r="BT86" s="44">
        <f t="shared" si="149"/>
        <v>0</v>
      </c>
      <c r="BU86" s="42">
        <f t="shared" si="114"/>
        <v>1.3269715789829753E-2</v>
      </c>
      <c r="BV86">
        <f t="shared" si="115"/>
        <v>4.3874999999999997E-2</v>
      </c>
      <c r="BW86" s="44">
        <f t="shared" si="116"/>
        <v>2.2499999999999999E-2</v>
      </c>
      <c r="BX86">
        <f t="shared" si="139"/>
        <v>0.41269295438643971</v>
      </c>
      <c r="BY86">
        <f t="shared" si="140"/>
        <v>2.6345187711330325</v>
      </c>
      <c r="BZ86">
        <f t="shared" si="141"/>
        <v>88.230621359032767</v>
      </c>
    </row>
    <row r="87" spans="17:78" x14ac:dyDescent="0.3">
      <c r="Q87">
        <v>80</v>
      </c>
      <c r="R87" s="42">
        <f t="shared" si="94"/>
        <v>20</v>
      </c>
      <c r="S87">
        <f t="shared" si="95"/>
        <v>50</v>
      </c>
      <c r="T87" s="44">
        <f t="shared" si="96"/>
        <v>0.4</v>
      </c>
      <c r="U87" s="42">
        <f t="shared" si="97"/>
        <v>1</v>
      </c>
      <c r="V87">
        <f t="shared" si="98"/>
        <v>0.23664319132398465</v>
      </c>
      <c r="W87">
        <f t="shared" si="99"/>
        <v>0.34865430188400404</v>
      </c>
      <c r="X87">
        <f t="shared" si="117"/>
        <v>0.41470250679201137</v>
      </c>
      <c r="Y87" s="42">
        <f t="shared" si="118"/>
        <v>1.6903085094570331</v>
      </c>
      <c r="Z87">
        <f t="shared" si="100"/>
        <v>3.3806170189140663</v>
      </c>
      <c r="AA87">
        <f t="shared" si="119"/>
        <v>3.3806170189140663</v>
      </c>
      <c r="AB87" s="44">
        <f t="shared" si="101"/>
        <v>0.94947241756167811</v>
      </c>
      <c r="AC87" s="42">
        <v>0</v>
      </c>
      <c r="AD87">
        <f t="shared" si="102"/>
        <v>1.8029957434208353E-2</v>
      </c>
      <c r="AE87" s="44">
        <f t="shared" si="120"/>
        <v>1.8029957434208353E-2</v>
      </c>
      <c r="AF87" s="42">
        <f t="shared" si="103"/>
        <v>0.4</v>
      </c>
      <c r="AG87" s="44">
        <f t="shared" si="104"/>
        <v>0.4</v>
      </c>
      <c r="AH87" s="42">
        <f t="shared" si="105"/>
        <v>3.0650927638154201E-2</v>
      </c>
      <c r="AI87">
        <f t="shared" si="106"/>
        <v>0.60907944795792246</v>
      </c>
      <c r="AJ87" s="44">
        <f t="shared" si="121"/>
        <v>0.63973037559607671</v>
      </c>
      <c r="AK87" s="42">
        <f t="shared" si="107"/>
        <v>20</v>
      </c>
      <c r="AL87">
        <f t="shared" si="108"/>
        <v>150</v>
      </c>
      <c r="AM87" s="44">
        <f t="shared" si="122"/>
        <v>0.13333333333333333</v>
      </c>
      <c r="AN87" s="42">
        <f t="shared" si="123"/>
        <v>2</v>
      </c>
      <c r="AO87">
        <f t="shared" si="124"/>
        <v>0.34865430188400404</v>
      </c>
      <c r="AP87">
        <f t="shared" si="125"/>
        <v>0.38242273969616136</v>
      </c>
      <c r="AQ87">
        <f t="shared" si="126"/>
        <v>0.76484547939232284</v>
      </c>
      <c r="AR87">
        <f t="shared" si="142"/>
        <v>0.76484547939232272</v>
      </c>
      <c r="AS87" s="44">
        <f t="shared" si="143"/>
        <v>0.26074175890116469</v>
      </c>
      <c r="AT87" s="42"/>
      <c r="AU87">
        <f t="shared" si="127"/>
        <v>9.2444444444444448E-6</v>
      </c>
      <c r="AV87" s="44">
        <f t="shared" si="144"/>
        <v>9.2444444444444448E-6</v>
      </c>
      <c r="AW87" s="42">
        <f t="shared" si="128"/>
        <v>0.92749999999999999</v>
      </c>
      <c r="AX87">
        <f t="shared" si="129"/>
        <v>0.18666666666666665</v>
      </c>
      <c r="AY87" s="44">
        <f t="shared" si="145"/>
        <v>1.1141666666666667</v>
      </c>
      <c r="AZ87" s="42">
        <f t="shared" si="109"/>
        <v>0</v>
      </c>
      <c r="BA87">
        <f t="shared" si="110"/>
        <v>0</v>
      </c>
      <c r="BB87">
        <f t="shared" si="146"/>
        <v>0</v>
      </c>
      <c r="BC87" s="44">
        <f t="shared" si="130"/>
        <v>0</v>
      </c>
      <c r="BD87" s="42">
        <v>0</v>
      </c>
      <c r="BE87">
        <f t="shared" si="131"/>
        <v>0</v>
      </c>
      <c r="BF87" s="44">
        <f t="shared" si="147"/>
        <v>0</v>
      </c>
      <c r="BG87" s="42">
        <f t="shared" si="132"/>
        <v>0</v>
      </c>
      <c r="BH87">
        <f t="shared" si="133"/>
        <v>0</v>
      </c>
      <c r="BI87" s="44">
        <f t="shared" si="134"/>
        <v>0</v>
      </c>
      <c r="BK87" s="42">
        <f t="shared" si="111"/>
        <v>0</v>
      </c>
      <c r="BL87">
        <f t="shared" si="112"/>
        <v>0</v>
      </c>
      <c r="BM87">
        <f t="shared" si="113"/>
        <v>0</v>
      </c>
      <c r="BN87" s="44">
        <f t="shared" si="150"/>
        <v>0</v>
      </c>
      <c r="BO87" s="42">
        <v>0</v>
      </c>
      <c r="BP87">
        <f t="shared" si="136"/>
        <v>0</v>
      </c>
      <c r="BQ87" s="44">
        <f t="shared" si="148"/>
        <v>0</v>
      </c>
      <c r="BR87" s="42">
        <f t="shared" si="137"/>
        <v>0</v>
      </c>
      <c r="BS87">
        <f t="shared" si="138"/>
        <v>0</v>
      </c>
      <c r="BT87" s="44">
        <f t="shared" si="149"/>
        <v>0</v>
      </c>
      <c r="BU87" s="42">
        <f t="shared" si="114"/>
        <v>1.3522468075656264E-2</v>
      </c>
      <c r="BV87">
        <f t="shared" si="115"/>
        <v>4.3874999999999997E-2</v>
      </c>
      <c r="BW87" s="44">
        <f t="shared" si="116"/>
        <v>2.2499999999999999E-2</v>
      </c>
      <c r="BX87">
        <f t="shared" si="139"/>
        <v>0.4180299574342084</v>
      </c>
      <c r="BY87">
        <f t="shared" si="140"/>
        <v>2.6518337122170523</v>
      </c>
      <c r="BZ87">
        <f t="shared" si="141"/>
        <v>88.293072667283397</v>
      </c>
    </row>
    <row r="88" spans="17:78" x14ac:dyDescent="0.3">
      <c r="Q88">
        <v>81</v>
      </c>
      <c r="R88" s="42">
        <f t="shared" si="94"/>
        <v>20.25</v>
      </c>
      <c r="S88">
        <f t="shared" si="95"/>
        <v>50</v>
      </c>
      <c r="T88" s="44">
        <f t="shared" si="96"/>
        <v>0.40500000000000003</v>
      </c>
      <c r="U88" s="42">
        <f t="shared" si="97"/>
        <v>1</v>
      </c>
      <c r="V88">
        <f t="shared" si="98"/>
        <v>0.23811761799581316</v>
      </c>
      <c r="W88">
        <f t="shared" si="99"/>
        <v>0.35082662384716473</v>
      </c>
      <c r="X88">
        <f t="shared" si="117"/>
        <v>0.41105575815702217</v>
      </c>
      <c r="Y88" s="42">
        <f t="shared" si="118"/>
        <v>1.7008401285415224</v>
      </c>
      <c r="Z88">
        <f t="shared" si="100"/>
        <v>3.4016802570830449</v>
      </c>
      <c r="AA88">
        <f t="shared" si="119"/>
        <v>3.4016802570830449</v>
      </c>
      <c r="AB88" s="44">
        <f t="shared" si="101"/>
        <v>0.95835988512271431</v>
      </c>
      <c r="AC88" s="42">
        <v>0</v>
      </c>
      <c r="AD88">
        <f t="shared" si="102"/>
        <v>1.8369073388248443E-2</v>
      </c>
      <c r="AE88" s="44">
        <f t="shared" si="120"/>
        <v>1.8369073388248443E-2</v>
      </c>
      <c r="AF88" s="42">
        <f t="shared" si="103"/>
        <v>0.40500000000000003</v>
      </c>
      <c r="AG88" s="44">
        <f t="shared" si="104"/>
        <v>0.40500000000000003</v>
      </c>
      <c r="AH88" s="42">
        <f t="shared" si="105"/>
        <v>3.1227424760022354E-2</v>
      </c>
      <c r="AI88">
        <f t="shared" si="106"/>
        <v>0.61287437219938201</v>
      </c>
      <c r="AJ88" s="44">
        <f t="shared" si="121"/>
        <v>0.64410179695940439</v>
      </c>
      <c r="AK88" s="42">
        <f t="shared" si="107"/>
        <v>20.25</v>
      </c>
      <c r="AL88">
        <f t="shared" si="108"/>
        <v>150</v>
      </c>
      <c r="AM88" s="44">
        <f t="shared" si="122"/>
        <v>0.13500000000000001</v>
      </c>
      <c r="AN88" s="42">
        <f t="shared" si="123"/>
        <v>2</v>
      </c>
      <c r="AO88">
        <f t="shared" si="124"/>
        <v>0.35082662384716473</v>
      </c>
      <c r="AP88">
        <f t="shared" si="125"/>
        <v>0.38480545894604584</v>
      </c>
      <c r="AQ88">
        <f t="shared" si="126"/>
        <v>0.76961091789209168</v>
      </c>
      <c r="AR88">
        <f t="shared" si="142"/>
        <v>0.76961091789209168</v>
      </c>
      <c r="AS88" s="44">
        <f t="shared" si="143"/>
        <v>0.26318241318577551</v>
      </c>
      <c r="AT88" s="42"/>
      <c r="AU88">
        <f t="shared" si="127"/>
        <v>9.4770000000000026E-6</v>
      </c>
      <c r="AV88" s="44">
        <f t="shared" si="144"/>
        <v>9.4770000000000026E-6</v>
      </c>
      <c r="AW88" s="42">
        <f t="shared" si="128"/>
        <v>0.92749999999999999</v>
      </c>
      <c r="AX88">
        <f t="shared" si="129"/>
        <v>0.189</v>
      </c>
      <c r="AY88" s="44">
        <f t="shared" si="145"/>
        <v>1.1165</v>
      </c>
      <c r="AZ88" s="42">
        <f t="shared" si="109"/>
        <v>0</v>
      </c>
      <c r="BA88">
        <f t="shared" si="110"/>
        <v>0</v>
      </c>
      <c r="BB88">
        <f t="shared" si="146"/>
        <v>0</v>
      </c>
      <c r="BC88" s="44">
        <f t="shared" si="130"/>
        <v>0</v>
      </c>
      <c r="BD88" s="42">
        <v>0</v>
      </c>
      <c r="BE88">
        <f t="shared" si="131"/>
        <v>0</v>
      </c>
      <c r="BF88" s="44">
        <f t="shared" si="147"/>
        <v>0</v>
      </c>
      <c r="BG88" s="42">
        <f t="shared" si="132"/>
        <v>0</v>
      </c>
      <c r="BH88">
        <f t="shared" si="133"/>
        <v>0</v>
      </c>
      <c r="BI88" s="44">
        <f t="shared" si="134"/>
        <v>0</v>
      </c>
      <c r="BK88" s="42">
        <f t="shared" si="111"/>
        <v>0</v>
      </c>
      <c r="BL88">
        <f t="shared" si="112"/>
        <v>0</v>
      </c>
      <c r="BM88">
        <f t="shared" si="113"/>
        <v>0</v>
      </c>
      <c r="BN88" s="44">
        <f t="shared" si="150"/>
        <v>0</v>
      </c>
      <c r="BO88" s="42">
        <v>0</v>
      </c>
      <c r="BP88">
        <f t="shared" si="136"/>
        <v>0</v>
      </c>
      <c r="BQ88" s="44">
        <f t="shared" si="148"/>
        <v>0</v>
      </c>
      <c r="BR88" s="42">
        <f t="shared" si="137"/>
        <v>0</v>
      </c>
      <c r="BS88">
        <f t="shared" si="138"/>
        <v>0</v>
      </c>
      <c r="BT88" s="44">
        <f t="shared" si="149"/>
        <v>0</v>
      </c>
      <c r="BU88" s="42">
        <f t="shared" si="114"/>
        <v>1.3776805041186332E-2</v>
      </c>
      <c r="BV88">
        <f t="shared" si="115"/>
        <v>4.3874999999999997E-2</v>
      </c>
      <c r="BW88" s="44">
        <f t="shared" si="116"/>
        <v>2.2499999999999999E-2</v>
      </c>
      <c r="BX88">
        <f t="shared" si="139"/>
        <v>0.42336907338824847</v>
      </c>
      <c r="BY88">
        <f t="shared" si="140"/>
        <v>2.6691321523888396</v>
      </c>
      <c r="BZ88">
        <f t="shared" si="141"/>
        <v>88.354130799360831</v>
      </c>
    </row>
    <row r="89" spans="17:78" x14ac:dyDescent="0.3">
      <c r="Q89">
        <v>82</v>
      </c>
      <c r="R89" s="42">
        <f t="shared" si="94"/>
        <v>20.5</v>
      </c>
      <c r="S89">
        <f t="shared" si="95"/>
        <v>50</v>
      </c>
      <c r="T89" s="44">
        <f t="shared" si="96"/>
        <v>0.41</v>
      </c>
      <c r="U89" s="42">
        <f t="shared" si="97"/>
        <v>1</v>
      </c>
      <c r="V89">
        <f t="shared" si="98"/>
        <v>0.2395829710142188</v>
      </c>
      <c r="W89">
        <f t="shared" si="99"/>
        <v>0.35298557729428237</v>
      </c>
      <c r="X89">
        <f t="shared" si="117"/>
        <v>0.40743145169149886</v>
      </c>
      <c r="Y89" s="42">
        <f t="shared" si="118"/>
        <v>1.7113069358158484</v>
      </c>
      <c r="Z89">
        <f t="shared" si="100"/>
        <v>3.4226138716316972</v>
      </c>
      <c r="AA89">
        <f t="shared" si="119"/>
        <v>3.4226138716316967</v>
      </c>
      <c r="AB89" s="44">
        <f t="shared" si="101"/>
        <v>0.96721996373420516</v>
      </c>
      <c r="AC89" s="42">
        <v>0</v>
      </c>
      <c r="AD89">
        <f t="shared" si="102"/>
        <v>1.8710289164919944E-2</v>
      </c>
      <c r="AE89" s="44">
        <f t="shared" si="120"/>
        <v>1.8710289164919944E-2</v>
      </c>
      <c r="AF89" s="42">
        <f t="shared" si="103"/>
        <v>0.41000000000000003</v>
      </c>
      <c r="AG89" s="44">
        <f t="shared" si="104"/>
        <v>0.41000000000000003</v>
      </c>
      <c r="AH89" s="42">
        <f t="shared" si="105"/>
        <v>3.1807491580363903E-2</v>
      </c>
      <c r="AI89">
        <f t="shared" si="106"/>
        <v>0.61664594239550929</v>
      </c>
      <c r="AJ89" s="44">
        <f t="shared" si="121"/>
        <v>0.64845343397587318</v>
      </c>
      <c r="AK89" s="42">
        <f t="shared" si="107"/>
        <v>20.5</v>
      </c>
      <c r="AL89">
        <f t="shared" si="108"/>
        <v>150</v>
      </c>
      <c r="AM89" s="44">
        <f t="shared" si="122"/>
        <v>0.13666666666666666</v>
      </c>
      <c r="AN89" s="42">
        <f t="shared" si="123"/>
        <v>2</v>
      </c>
      <c r="AO89">
        <f t="shared" si="124"/>
        <v>0.35298557729428232</v>
      </c>
      <c r="AP89">
        <f t="shared" si="125"/>
        <v>0.38717351489046348</v>
      </c>
      <c r="AQ89">
        <f t="shared" si="126"/>
        <v>0.77434702978092684</v>
      </c>
      <c r="AR89">
        <f t="shared" si="142"/>
        <v>0.77434702978092695</v>
      </c>
      <c r="AS89" s="44">
        <f t="shared" si="143"/>
        <v>0.26561554598503628</v>
      </c>
      <c r="AT89" s="42"/>
      <c r="AU89">
        <f t="shared" si="127"/>
        <v>9.7124444444444444E-6</v>
      </c>
      <c r="AV89" s="44">
        <f t="shared" si="144"/>
        <v>9.7124444444444444E-6</v>
      </c>
      <c r="AW89" s="42">
        <f t="shared" si="128"/>
        <v>0.92749999999999999</v>
      </c>
      <c r="AX89">
        <f t="shared" si="129"/>
        <v>0.1913333333333333</v>
      </c>
      <c r="AY89" s="44">
        <f t="shared" si="145"/>
        <v>1.1188333333333333</v>
      </c>
      <c r="AZ89" s="42">
        <f t="shared" si="109"/>
        <v>0</v>
      </c>
      <c r="BA89">
        <f t="shared" si="110"/>
        <v>0</v>
      </c>
      <c r="BB89">
        <f t="shared" si="146"/>
        <v>0</v>
      </c>
      <c r="BC89" s="44">
        <f t="shared" si="130"/>
        <v>0</v>
      </c>
      <c r="BD89" s="42">
        <v>0</v>
      </c>
      <c r="BE89">
        <f t="shared" si="131"/>
        <v>0</v>
      </c>
      <c r="BF89" s="44">
        <f t="shared" si="147"/>
        <v>0</v>
      </c>
      <c r="BG89" s="42">
        <f t="shared" si="132"/>
        <v>0</v>
      </c>
      <c r="BH89">
        <f t="shared" si="133"/>
        <v>0</v>
      </c>
      <c r="BI89" s="44">
        <f t="shared" si="134"/>
        <v>0</v>
      </c>
      <c r="BK89" s="42">
        <f t="shared" si="111"/>
        <v>0</v>
      </c>
      <c r="BL89">
        <f t="shared" si="112"/>
        <v>0</v>
      </c>
      <c r="BM89">
        <f t="shared" si="113"/>
        <v>0</v>
      </c>
      <c r="BN89" s="44">
        <f t="shared" si="150"/>
        <v>0</v>
      </c>
      <c r="BO89" s="42">
        <v>0</v>
      </c>
      <c r="BP89">
        <f t="shared" si="136"/>
        <v>0</v>
      </c>
      <c r="BQ89" s="44">
        <f t="shared" si="148"/>
        <v>0</v>
      </c>
      <c r="BR89" s="42">
        <f t="shared" si="137"/>
        <v>0</v>
      </c>
      <c r="BS89">
        <f t="shared" si="138"/>
        <v>0</v>
      </c>
      <c r="BT89" s="44">
        <f t="shared" si="149"/>
        <v>0</v>
      </c>
      <c r="BU89" s="42">
        <f t="shared" si="114"/>
        <v>1.4032716873689956E-2</v>
      </c>
      <c r="BV89">
        <f t="shared" si="115"/>
        <v>4.3874999999999997E-2</v>
      </c>
      <c r="BW89" s="44">
        <f t="shared" si="116"/>
        <v>2.2499999999999999E-2</v>
      </c>
      <c r="BX89">
        <f t="shared" si="139"/>
        <v>0.42871028916491999</v>
      </c>
      <c r="BY89">
        <f t="shared" si="140"/>
        <v>2.6864144857922612</v>
      </c>
      <c r="BZ89">
        <f t="shared" si="141"/>
        <v>88.413842565272887</v>
      </c>
    </row>
    <row r="90" spans="17:78" x14ac:dyDescent="0.3">
      <c r="Q90">
        <v>83</v>
      </c>
      <c r="R90" s="42">
        <f t="shared" si="94"/>
        <v>20.75</v>
      </c>
      <c r="S90">
        <f t="shared" si="95"/>
        <v>50</v>
      </c>
      <c r="T90" s="44">
        <f t="shared" si="96"/>
        <v>0.41499999999999998</v>
      </c>
      <c r="U90" s="42">
        <f t="shared" si="97"/>
        <v>1</v>
      </c>
      <c r="V90">
        <f t="shared" si="98"/>
        <v>0.241039415863879</v>
      </c>
      <c r="W90">
        <f t="shared" si="99"/>
        <v>0.35513140603944837</v>
      </c>
      <c r="X90">
        <f t="shared" si="117"/>
        <v>0.40382917809667263</v>
      </c>
      <c r="Y90" s="42">
        <f t="shared" si="118"/>
        <v>1.7217101133134214</v>
      </c>
      <c r="Z90">
        <f t="shared" si="100"/>
        <v>3.4434202266268428</v>
      </c>
      <c r="AA90">
        <f t="shared" si="119"/>
        <v>3.4434202266268428</v>
      </c>
      <c r="AB90" s="44">
        <f t="shared" si="101"/>
        <v>0.97605307029557908</v>
      </c>
      <c r="AC90" s="42">
        <v>0</v>
      </c>
      <c r="AD90">
        <f t="shared" si="102"/>
        <v>1.9053591920668533E-2</v>
      </c>
      <c r="AE90" s="44">
        <f t="shared" si="120"/>
        <v>1.9053591920668533E-2</v>
      </c>
      <c r="AF90" s="42">
        <f t="shared" si="103"/>
        <v>0.41500000000000004</v>
      </c>
      <c r="AG90" s="44">
        <f t="shared" si="104"/>
        <v>0.41500000000000004</v>
      </c>
      <c r="AH90" s="42">
        <f t="shared" si="105"/>
        <v>3.2391106265136506E-2</v>
      </c>
      <c r="AI90">
        <f t="shared" si="106"/>
        <v>0.62039458447580342</v>
      </c>
      <c r="AJ90" s="44">
        <f t="shared" si="121"/>
        <v>0.65278569074093995</v>
      </c>
      <c r="AK90" s="42">
        <f t="shared" si="107"/>
        <v>20.75</v>
      </c>
      <c r="AL90">
        <f t="shared" si="108"/>
        <v>150</v>
      </c>
      <c r="AM90" s="44">
        <f t="shared" si="122"/>
        <v>0.13833333333333334</v>
      </c>
      <c r="AN90" s="42">
        <f t="shared" si="123"/>
        <v>2</v>
      </c>
      <c r="AO90">
        <f t="shared" si="124"/>
        <v>0.35513140603944843</v>
      </c>
      <c r="AP90">
        <f t="shared" si="125"/>
        <v>0.3895271749577876</v>
      </c>
      <c r="AQ90">
        <f t="shared" si="126"/>
        <v>0.77905434991557543</v>
      </c>
      <c r="AR90">
        <f t="shared" si="142"/>
        <v>0.77905434991557532</v>
      </c>
      <c r="AS90" s="44">
        <f t="shared" si="143"/>
        <v>0.26804127178683329</v>
      </c>
      <c r="AT90" s="42"/>
      <c r="AU90">
        <f t="shared" si="127"/>
        <v>9.9507777777777785E-6</v>
      </c>
      <c r="AV90" s="44">
        <f t="shared" si="144"/>
        <v>9.9507777777777785E-6</v>
      </c>
      <c r="AW90" s="42">
        <f t="shared" si="128"/>
        <v>0.92749999999999999</v>
      </c>
      <c r="AX90">
        <f t="shared" si="129"/>
        <v>0.19366666666666665</v>
      </c>
      <c r="AY90" s="44">
        <f t="shared" si="145"/>
        <v>1.1211666666666666</v>
      </c>
      <c r="AZ90" s="42">
        <f t="shared" si="109"/>
        <v>0</v>
      </c>
      <c r="BA90">
        <f t="shared" si="110"/>
        <v>0</v>
      </c>
      <c r="BB90">
        <f t="shared" si="146"/>
        <v>0</v>
      </c>
      <c r="BC90" s="44">
        <f t="shared" si="130"/>
        <v>0</v>
      </c>
      <c r="BD90" s="42">
        <v>0</v>
      </c>
      <c r="BE90">
        <f t="shared" si="131"/>
        <v>0</v>
      </c>
      <c r="BF90" s="44">
        <f t="shared" si="147"/>
        <v>0</v>
      </c>
      <c r="BG90" s="42">
        <f t="shared" si="132"/>
        <v>0</v>
      </c>
      <c r="BH90">
        <f t="shared" si="133"/>
        <v>0</v>
      </c>
      <c r="BI90" s="44">
        <f t="shared" si="134"/>
        <v>0</v>
      </c>
      <c r="BK90" s="42">
        <f t="shared" si="111"/>
        <v>0</v>
      </c>
      <c r="BL90">
        <f t="shared" si="112"/>
        <v>0</v>
      </c>
      <c r="BM90">
        <f t="shared" si="113"/>
        <v>0</v>
      </c>
      <c r="BN90" s="44">
        <f t="shared" si="150"/>
        <v>0</v>
      </c>
      <c r="BO90" s="42">
        <v>0</v>
      </c>
      <c r="BP90">
        <f t="shared" si="136"/>
        <v>0</v>
      </c>
      <c r="BQ90" s="44">
        <f t="shared" si="148"/>
        <v>0</v>
      </c>
      <c r="BR90" s="42">
        <f t="shared" si="137"/>
        <v>0</v>
      </c>
      <c r="BS90">
        <f t="shared" si="138"/>
        <v>0</v>
      </c>
      <c r="BT90" s="44">
        <f t="shared" si="149"/>
        <v>0</v>
      </c>
      <c r="BU90" s="42">
        <f t="shared" si="114"/>
        <v>1.4290193940501399E-2</v>
      </c>
      <c r="BV90">
        <f t="shared" si="115"/>
        <v>4.3874999999999997E-2</v>
      </c>
      <c r="BW90" s="44">
        <f t="shared" si="116"/>
        <v>2.2499999999999999E-2</v>
      </c>
      <c r="BX90">
        <f t="shared" si="139"/>
        <v>0.43405359192066856</v>
      </c>
      <c r="BY90">
        <f t="shared" si="140"/>
        <v>2.7036810940465541</v>
      </c>
      <c r="BZ90">
        <f t="shared" si="141"/>
        <v>88.472252678779483</v>
      </c>
    </row>
    <row r="91" spans="17:78" x14ac:dyDescent="0.3">
      <c r="Q91">
        <v>84</v>
      </c>
      <c r="R91" s="42">
        <f t="shared" si="94"/>
        <v>21</v>
      </c>
      <c r="S91">
        <f t="shared" si="95"/>
        <v>50</v>
      </c>
      <c r="T91" s="44">
        <f t="shared" si="96"/>
        <v>0.42</v>
      </c>
      <c r="U91" s="42">
        <f t="shared" si="97"/>
        <v>1</v>
      </c>
      <c r="V91">
        <f t="shared" si="98"/>
        <v>0.24248711305964282</v>
      </c>
      <c r="W91">
        <f t="shared" si="99"/>
        <v>0.35726434657454043</v>
      </c>
      <c r="X91">
        <f t="shared" si="117"/>
        <v>0.4002485403658167</v>
      </c>
      <c r="Y91" s="42">
        <f t="shared" si="118"/>
        <v>1.7320508075688774</v>
      </c>
      <c r="Z91">
        <f t="shared" si="100"/>
        <v>3.4641016151377544</v>
      </c>
      <c r="AA91">
        <f t="shared" si="119"/>
        <v>3.4641016151377544</v>
      </c>
      <c r="AB91" s="44">
        <f t="shared" si="101"/>
        <v>0.98485961042098336</v>
      </c>
      <c r="AC91" s="42">
        <v>0</v>
      </c>
      <c r="AD91">
        <f t="shared" si="102"/>
        <v>1.9398969044771421E-2</v>
      </c>
      <c r="AE91" s="44">
        <f t="shared" si="120"/>
        <v>1.9398969044771421E-2</v>
      </c>
      <c r="AF91" s="42">
        <f t="shared" si="103"/>
        <v>0.42</v>
      </c>
      <c r="AG91" s="44">
        <f t="shared" si="104"/>
        <v>0.42</v>
      </c>
      <c r="AH91" s="42">
        <f t="shared" si="105"/>
        <v>3.2978247376111422E-2</v>
      </c>
      <c r="AI91">
        <f t="shared" si="106"/>
        <v>0.62412071157826832</v>
      </c>
      <c r="AJ91" s="44">
        <f t="shared" si="121"/>
        <v>0.65709895895437975</v>
      </c>
      <c r="AK91" s="42">
        <f t="shared" si="107"/>
        <v>21</v>
      </c>
      <c r="AL91">
        <f t="shared" si="108"/>
        <v>150</v>
      </c>
      <c r="AM91" s="44">
        <f t="shared" si="122"/>
        <v>0.14000000000000001</v>
      </c>
      <c r="AN91" s="42">
        <f t="shared" si="123"/>
        <v>2</v>
      </c>
      <c r="AO91">
        <f t="shared" si="124"/>
        <v>0.35726434657454043</v>
      </c>
      <c r="AP91">
        <f t="shared" si="125"/>
        <v>0.3918666985449949</v>
      </c>
      <c r="AQ91">
        <f t="shared" si="126"/>
        <v>0.7837333970899899</v>
      </c>
      <c r="AR91">
        <f t="shared" si="142"/>
        <v>0.78373339708998979</v>
      </c>
      <c r="AS91" s="44">
        <f t="shared" si="143"/>
        <v>0.27045970197991731</v>
      </c>
      <c r="AT91" s="42"/>
      <c r="AU91">
        <f t="shared" si="127"/>
        <v>1.0192000000000003E-5</v>
      </c>
      <c r="AV91" s="44">
        <f t="shared" si="144"/>
        <v>1.0192000000000003E-5</v>
      </c>
      <c r="AW91" s="42">
        <f t="shared" si="128"/>
        <v>0.92749999999999999</v>
      </c>
      <c r="AX91">
        <f t="shared" si="129"/>
        <v>0.19600000000000001</v>
      </c>
      <c r="AY91" s="44">
        <f t="shared" si="145"/>
        <v>1.1234999999999999</v>
      </c>
      <c r="AZ91" s="42">
        <f t="shared" si="109"/>
        <v>0</v>
      </c>
      <c r="BA91">
        <f t="shared" si="110"/>
        <v>0</v>
      </c>
      <c r="BB91">
        <f t="shared" si="146"/>
        <v>0</v>
      </c>
      <c r="BC91" s="44">
        <f t="shared" si="130"/>
        <v>0</v>
      </c>
      <c r="BD91" s="42">
        <v>0</v>
      </c>
      <c r="BE91">
        <f t="shared" si="131"/>
        <v>0</v>
      </c>
      <c r="BF91" s="44">
        <f t="shared" si="147"/>
        <v>0</v>
      </c>
      <c r="BG91" s="42">
        <f t="shared" si="132"/>
        <v>0</v>
      </c>
      <c r="BH91">
        <f t="shared" si="133"/>
        <v>0</v>
      </c>
      <c r="BI91" s="44">
        <f t="shared" si="134"/>
        <v>0</v>
      </c>
      <c r="BK91" s="42">
        <f t="shared" si="111"/>
        <v>0</v>
      </c>
      <c r="BL91">
        <f t="shared" si="112"/>
        <v>0</v>
      </c>
      <c r="BM91">
        <f t="shared" si="113"/>
        <v>0</v>
      </c>
      <c r="BN91" s="44">
        <f t="shared" si="150"/>
        <v>0</v>
      </c>
      <c r="BO91" s="42">
        <v>0</v>
      </c>
      <c r="BP91">
        <f t="shared" si="136"/>
        <v>0</v>
      </c>
      <c r="BQ91" s="44">
        <f t="shared" si="148"/>
        <v>0</v>
      </c>
      <c r="BR91" s="42">
        <f t="shared" si="137"/>
        <v>0</v>
      </c>
      <c r="BS91">
        <f t="shared" si="138"/>
        <v>0</v>
      </c>
      <c r="BT91" s="44">
        <f t="shared" si="149"/>
        <v>0</v>
      </c>
      <c r="BU91" s="42">
        <f t="shared" si="114"/>
        <v>1.4549226783578565E-2</v>
      </c>
      <c r="BV91">
        <f t="shared" si="115"/>
        <v>4.3874999999999997E-2</v>
      </c>
      <c r="BW91" s="44">
        <f t="shared" si="116"/>
        <v>2.2499999999999999E-2</v>
      </c>
      <c r="BX91">
        <f t="shared" si="139"/>
        <v>0.43939896904477138</v>
      </c>
      <c r="BY91">
        <f t="shared" si="140"/>
        <v>2.7209323467827295</v>
      </c>
      <c r="BZ91">
        <f t="shared" si="141"/>
        <v>88.529403874161943</v>
      </c>
    </row>
    <row r="92" spans="17:78" x14ac:dyDescent="0.3">
      <c r="Q92">
        <v>85</v>
      </c>
      <c r="R92" s="42">
        <f t="shared" si="94"/>
        <v>21.25</v>
      </c>
      <c r="S92">
        <f t="shared" si="95"/>
        <v>50</v>
      </c>
      <c r="T92" s="44">
        <f t="shared" si="96"/>
        <v>0.42499999999999999</v>
      </c>
      <c r="U92" s="42">
        <f t="shared" si="97"/>
        <v>1</v>
      </c>
      <c r="V92">
        <f t="shared" si="98"/>
        <v>0.24392621835300934</v>
      </c>
      <c r="W92">
        <f t="shared" si="99"/>
        <v>0.35938462837343377</v>
      </c>
      <c r="X92">
        <f t="shared" si="117"/>
        <v>0.39668915327355692</v>
      </c>
      <c r="Y92" s="42">
        <f t="shared" si="118"/>
        <v>1.742330131092924</v>
      </c>
      <c r="Z92">
        <f t="shared" si="100"/>
        <v>3.484660262185848</v>
      </c>
      <c r="AA92">
        <f t="shared" si="119"/>
        <v>3.484660262185848</v>
      </c>
      <c r="AB92" s="44">
        <f t="shared" si="101"/>
        <v>0.99363997887530853</v>
      </c>
      <c r="AC92" s="42">
        <v>0</v>
      </c>
      <c r="AD92">
        <f t="shared" si="102"/>
        <v>1.9746408152386472E-2</v>
      </c>
      <c r="AE92" s="44">
        <f t="shared" si="120"/>
        <v>1.9746408152386472E-2</v>
      </c>
      <c r="AF92" s="42">
        <f t="shared" si="103"/>
        <v>0.42499999999999999</v>
      </c>
      <c r="AG92" s="44">
        <f t="shared" si="104"/>
        <v>0.42499999999999999</v>
      </c>
      <c r="AH92" s="42">
        <f t="shared" si="105"/>
        <v>3.3568893859057002E-2</v>
      </c>
      <c r="AI92">
        <f t="shared" si="106"/>
        <v>0.62782472458085237</v>
      </c>
      <c r="AJ92" s="44">
        <f t="shared" si="121"/>
        <v>0.6613936184399094</v>
      </c>
      <c r="AK92" s="42">
        <f t="shared" si="107"/>
        <v>21.25</v>
      </c>
      <c r="AL92">
        <f t="shared" si="108"/>
        <v>150</v>
      </c>
      <c r="AM92" s="44">
        <f t="shared" si="122"/>
        <v>0.14166666666666666</v>
      </c>
      <c r="AN92" s="42">
        <f t="shared" si="123"/>
        <v>2</v>
      </c>
      <c r="AO92">
        <f t="shared" si="124"/>
        <v>0.35938462837343382</v>
      </c>
      <c r="AP92">
        <f t="shared" si="125"/>
        <v>0.39419233735134024</v>
      </c>
      <c r="AQ92">
        <f t="shared" si="126"/>
        <v>0.7883846747026807</v>
      </c>
      <c r="AR92">
        <f t="shared" si="142"/>
        <v>0.78838467470268059</v>
      </c>
      <c r="AS92" s="44">
        <f t="shared" si="143"/>
        <v>0.27287094497364267</v>
      </c>
      <c r="AT92" s="42"/>
      <c r="AU92">
        <f t="shared" si="127"/>
        <v>1.043611111111111E-5</v>
      </c>
      <c r="AV92" s="44">
        <f t="shared" si="144"/>
        <v>1.043611111111111E-5</v>
      </c>
      <c r="AW92" s="42">
        <f t="shared" si="128"/>
        <v>0.92749999999999999</v>
      </c>
      <c r="AX92">
        <f t="shared" si="129"/>
        <v>0.19833333333333331</v>
      </c>
      <c r="AY92" s="44">
        <f t="shared" si="145"/>
        <v>1.1258333333333332</v>
      </c>
      <c r="AZ92" s="42">
        <f t="shared" si="109"/>
        <v>0</v>
      </c>
      <c r="BA92">
        <f t="shared" si="110"/>
        <v>0</v>
      </c>
      <c r="BB92">
        <f t="shared" si="146"/>
        <v>0</v>
      </c>
      <c r="BC92" s="44">
        <f t="shared" si="130"/>
        <v>0</v>
      </c>
      <c r="BD92" s="42">
        <v>0</v>
      </c>
      <c r="BE92">
        <f t="shared" si="131"/>
        <v>0</v>
      </c>
      <c r="BF92" s="44">
        <f t="shared" si="147"/>
        <v>0</v>
      </c>
      <c r="BG92" s="42">
        <f t="shared" si="132"/>
        <v>0</v>
      </c>
      <c r="BH92">
        <f t="shared" si="133"/>
        <v>0</v>
      </c>
      <c r="BI92" s="44">
        <f t="shared" si="134"/>
        <v>0</v>
      </c>
      <c r="BK92" s="42">
        <f t="shared" si="111"/>
        <v>0</v>
      </c>
      <c r="BL92">
        <f t="shared" si="112"/>
        <v>0</v>
      </c>
      <c r="BM92">
        <f t="shared" si="113"/>
        <v>0</v>
      </c>
      <c r="BN92" s="44">
        <f t="shared" si="150"/>
        <v>0</v>
      </c>
      <c r="BO92" s="42">
        <v>0</v>
      </c>
      <c r="BP92">
        <f t="shared" si="136"/>
        <v>0</v>
      </c>
      <c r="BQ92" s="44">
        <f t="shared" si="148"/>
        <v>0</v>
      </c>
      <c r="BR92" s="42">
        <f t="shared" si="137"/>
        <v>0</v>
      </c>
      <c r="BS92">
        <f t="shared" si="138"/>
        <v>0</v>
      </c>
      <c r="BT92" s="44">
        <f t="shared" si="149"/>
        <v>0</v>
      </c>
      <c r="BU92" s="42">
        <f t="shared" si="114"/>
        <v>1.4809806114289854E-2</v>
      </c>
      <c r="BV92">
        <f t="shared" si="115"/>
        <v>4.3874999999999997E-2</v>
      </c>
      <c r="BW92" s="44">
        <f t="shared" si="116"/>
        <v>2.2499999999999999E-2</v>
      </c>
      <c r="BX92">
        <f t="shared" si="139"/>
        <v>0.44474640815238647</v>
      </c>
      <c r="BY92">
        <f t="shared" si="140"/>
        <v>2.7381686021510299</v>
      </c>
      <c r="BZ92">
        <f t="shared" si="141"/>
        <v>88.585337015242189</v>
      </c>
    </row>
    <row r="93" spans="17:78" x14ac:dyDescent="0.3">
      <c r="Q93">
        <v>86</v>
      </c>
      <c r="R93" s="42">
        <f t="shared" si="94"/>
        <v>21.5</v>
      </c>
      <c r="S93">
        <f t="shared" si="95"/>
        <v>50</v>
      </c>
      <c r="T93" s="44">
        <f t="shared" si="96"/>
        <v>0.43</v>
      </c>
      <c r="U93" s="42">
        <f t="shared" si="97"/>
        <v>1</v>
      </c>
      <c r="V93">
        <f t="shared" si="98"/>
        <v>0.24535688292770594</v>
      </c>
      <c r="W93">
        <f t="shared" si="99"/>
        <v>0.3614924741801534</v>
      </c>
      <c r="X93">
        <f t="shared" si="117"/>
        <v>0.39315064289214063</v>
      </c>
      <c r="Y93" s="42">
        <f t="shared" si="118"/>
        <v>1.7525491637693282</v>
      </c>
      <c r="Z93">
        <f t="shared" si="100"/>
        <v>3.5050983275386565</v>
      </c>
      <c r="AA93">
        <f t="shared" si="119"/>
        <v>3.5050983275386565</v>
      </c>
      <c r="AB93" s="44">
        <f t="shared" si="101"/>
        <v>1.0023945599884383</v>
      </c>
      <c r="AC93" s="42">
        <v>0</v>
      </c>
      <c r="AD93">
        <f t="shared" si="102"/>
        <v>2.0095897077888298E-2</v>
      </c>
      <c r="AE93" s="44">
        <f t="shared" si="120"/>
        <v>2.0095897077888298E-2</v>
      </c>
      <c r="AF93" s="42">
        <f t="shared" si="103"/>
        <v>0.43</v>
      </c>
      <c r="AG93" s="44">
        <f t="shared" si="104"/>
        <v>0.43</v>
      </c>
      <c r="AH93" s="42">
        <f t="shared" si="105"/>
        <v>3.4163025032410109E-2</v>
      </c>
      <c r="AI93">
        <f t="shared" si="106"/>
        <v>0.63150701260483422</v>
      </c>
      <c r="AJ93" s="44">
        <f t="shared" si="121"/>
        <v>0.66567003763724431</v>
      </c>
      <c r="AK93" s="42">
        <f t="shared" si="107"/>
        <v>21.5</v>
      </c>
      <c r="AL93">
        <f t="shared" si="108"/>
        <v>150</v>
      </c>
      <c r="AM93" s="44">
        <f t="shared" si="122"/>
        <v>0.14333333333333334</v>
      </c>
      <c r="AN93" s="42">
        <f t="shared" si="123"/>
        <v>2</v>
      </c>
      <c r="AO93">
        <f t="shared" si="124"/>
        <v>0.3614924741801534</v>
      </c>
      <c r="AP93">
        <f t="shared" si="125"/>
        <v>0.39650433569441818</v>
      </c>
      <c r="AQ93">
        <f t="shared" si="126"/>
        <v>0.79300867138883624</v>
      </c>
      <c r="AR93">
        <f t="shared" si="142"/>
        <v>0.79300867138883624</v>
      </c>
      <c r="AS93" s="44">
        <f t="shared" si="143"/>
        <v>0.27527510631172819</v>
      </c>
      <c r="AT93" s="42"/>
      <c r="AU93">
        <f t="shared" si="127"/>
        <v>1.0683111111111113E-5</v>
      </c>
      <c r="AV93" s="44">
        <f t="shared" si="144"/>
        <v>1.0683111111111113E-5</v>
      </c>
      <c r="AW93" s="42">
        <f t="shared" si="128"/>
        <v>0.92749999999999999</v>
      </c>
      <c r="AX93">
        <f t="shared" si="129"/>
        <v>0.20066666666666666</v>
      </c>
      <c r="AY93" s="44">
        <f t="shared" si="145"/>
        <v>1.1281666666666665</v>
      </c>
      <c r="AZ93" s="42">
        <f t="shared" si="109"/>
        <v>0</v>
      </c>
      <c r="BA93">
        <f t="shared" si="110"/>
        <v>0</v>
      </c>
      <c r="BB93">
        <f t="shared" si="146"/>
        <v>0</v>
      </c>
      <c r="BC93" s="44">
        <f t="shared" si="130"/>
        <v>0</v>
      </c>
      <c r="BD93" s="42">
        <v>0</v>
      </c>
      <c r="BE93">
        <f t="shared" si="131"/>
        <v>0</v>
      </c>
      <c r="BF93" s="44">
        <f t="shared" si="147"/>
        <v>0</v>
      </c>
      <c r="BG93" s="42">
        <f t="shared" si="132"/>
        <v>0</v>
      </c>
      <c r="BH93">
        <f t="shared" si="133"/>
        <v>0</v>
      </c>
      <c r="BI93" s="44">
        <f t="shared" si="134"/>
        <v>0</v>
      </c>
      <c r="BK93" s="42">
        <f t="shared" si="111"/>
        <v>0</v>
      </c>
      <c r="BL93">
        <f t="shared" si="112"/>
        <v>0</v>
      </c>
      <c r="BM93">
        <f t="shared" si="113"/>
        <v>0</v>
      </c>
      <c r="BN93" s="44">
        <f t="shared" si="150"/>
        <v>0</v>
      </c>
      <c r="BO93" s="42">
        <v>0</v>
      </c>
      <c r="BP93">
        <f t="shared" si="136"/>
        <v>0</v>
      </c>
      <c r="BQ93" s="44">
        <f t="shared" si="148"/>
        <v>0</v>
      </c>
      <c r="BR93" s="42">
        <f t="shared" si="137"/>
        <v>0</v>
      </c>
      <c r="BS93">
        <f t="shared" si="138"/>
        <v>0</v>
      </c>
      <c r="BT93" s="44">
        <f t="shared" si="149"/>
        <v>0</v>
      </c>
      <c r="BU93" s="42">
        <f t="shared" si="114"/>
        <v>1.5071922808416223E-2</v>
      </c>
      <c r="BV93">
        <f t="shared" si="115"/>
        <v>4.3874999999999997E-2</v>
      </c>
      <c r="BW93" s="44">
        <f t="shared" si="116"/>
        <v>2.2499999999999999E-2</v>
      </c>
      <c r="BX93">
        <f t="shared" si="139"/>
        <v>0.45009589707788827</v>
      </c>
      <c r="BY93">
        <f t="shared" si="140"/>
        <v>2.755390207301327</v>
      </c>
      <c r="BZ93">
        <f t="shared" si="141"/>
        <v>88.640091197246946</v>
      </c>
    </row>
    <row r="94" spans="17:78" x14ac:dyDescent="0.3">
      <c r="Q94">
        <v>87</v>
      </c>
      <c r="R94" s="42">
        <f t="shared" si="94"/>
        <v>21.75</v>
      </c>
      <c r="S94">
        <f t="shared" si="95"/>
        <v>50</v>
      </c>
      <c r="T94" s="44">
        <f t="shared" si="96"/>
        <v>0.435</v>
      </c>
      <c r="U94" s="42">
        <f t="shared" si="97"/>
        <v>1</v>
      </c>
      <c r="V94">
        <f t="shared" si="98"/>
        <v>0.24677925358506134</v>
      </c>
      <c r="W94">
        <f t="shared" si="99"/>
        <v>0.36358810028199035</v>
      </c>
      <c r="X94">
        <f t="shared" si="117"/>
        <v>0.38963264613294829</v>
      </c>
      <c r="Y94" s="42">
        <f t="shared" si="118"/>
        <v>1.7627089541790093</v>
      </c>
      <c r="Z94">
        <f t="shared" si="100"/>
        <v>3.525417908358019</v>
      </c>
      <c r="AA94">
        <f t="shared" si="119"/>
        <v>3.525417908358019</v>
      </c>
      <c r="AB94" s="44">
        <f t="shared" si="101"/>
        <v>1.0111237280490581</v>
      </c>
      <c r="AC94" s="42">
        <v>0</v>
      </c>
      <c r="AD94">
        <f t="shared" si="102"/>
        <v>2.0447423868476516E-2</v>
      </c>
      <c r="AE94" s="44">
        <f t="shared" si="120"/>
        <v>2.0447423868476516E-2</v>
      </c>
      <c r="AF94" s="42">
        <f t="shared" si="103"/>
        <v>0.435</v>
      </c>
      <c r="AG94" s="44">
        <f t="shared" si="104"/>
        <v>0.435</v>
      </c>
      <c r="AH94" s="42">
        <f t="shared" si="105"/>
        <v>3.4760620576410078E-2</v>
      </c>
      <c r="AI94">
        <f t="shared" si="106"/>
        <v>0.63516795349194155</v>
      </c>
      <c r="AJ94" s="44">
        <f t="shared" si="121"/>
        <v>0.6699285740683516</v>
      </c>
      <c r="AK94" s="42">
        <f t="shared" si="107"/>
        <v>21.75</v>
      </c>
      <c r="AL94">
        <f t="shared" si="108"/>
        <v>150</v>
      </c>
      <c r="AM94" s="44">
        <f t="shared" si="122"/>
        <v>0.14499999999999999</v>
      </c>
      <c r="AN94" s="42">
        <f t="shared" si="123"/>
        <v>2</v>
      </c>
      <c r="AO94">
        <f t="shared" si="124"/>
        <v>0.36358810028199035</v>
      </c>
      <c r="AP94">
        <f t="shared" si="125"/>
        <v>0.39880293080973062</v>
      </c>
      <c r="AQ94">
        <f t="shared" si="126"/>
        <v>0.79760586161946134</v>
      </c>
      <c r="AR94">
        <f t="shared" si="142"/>
        <v>0.79760586161946123</v>
      </c>
      <c r="AS94" s="44">
        <f t="shared" si="143"/>
        <v>0.27767228878040379</v>
      </c>
      <c r="AT94" s="42"/>
      <c r="AU94">
        <f t="shared" si="127"/>
        <v>1.0933E-5</v>
      </c>
      <c r="AV94" s="44">
        <f t="shared" si="144"/>
        <v>1.0933E-5</v>
      </c>
      <c r="AW94" s="42">
        <f t="shared" si="128"/>
        <v>0.92749999999999999</v>
      </c>
      <c r="AX94">
        <f t="shared" si="129"/>
        <v>0.20299999999999999</v>
      </c>
      <c r="AY94" s="44">
        <f t="shared" si="145"/>
        <v>1.1305000000000001</v>
      </c>
      <c r="AZ94" s="42">
        <f t="shared" si="109"/>
        <v>0</v>
      </c>
      <c r="BA94">
        <f t="shared" si="110"/>
        <v>0</v>
      </c>
      <c r="BB94">
        <f t="shared" si="146"/>
        <v>0</v>
      </c>
      <c r="BC94" s="44">
        <f t="shared" si="130"/>
        <v>0</v>
      </c>
      <c r="BD94" s="42">
        <v>0</v>
      </c>
      <c r="BE94">
        <f t="shared" si="131"/>
        <v>0</v>
      </c>
      <c r="BF94" s="44">
        <f t="shared" si="147"/>
        <v>0</v>
      </c>
      <c r="BG94" s="42">
        <f t="shared" si="132"/>
        <v>0</v>
      </c>
      <c r="BH94">
        <f t="shared" si="133"/>
        <v>0</v>
      </c>
      <c r="BI94" s="44">
        <f t="shared" si="134"/>
        <v>0</v>
      </c>
      <c r="BK94" s="42">
        <f t="shared" si="111"/>
        <v>0</v>
      </c>
      <c r="BL94">
        <f t="shared" si="112"/>
        <v>0</v>
      </c>
      <c r="BM94">
        <f t="shared" si="113"/>
        <v>0</v>
      </c>
      <c r="BN94" s="44">
        <f t="shared" si="150"/>
        <v>0</v>
      </c>
      <c r="BO94" s="42">
        <v>0</v>
      </c>
      <c r="BP94">
        <f t="shared" si="136"/>
        <v>0</v>
      </c>
      <c r="BQ94" s="44">
        <f t="shared" si="148"/>
        <v>0</v>
      </c>
      <c r="BR94" s="42">
        <f t="shared" si="137"/>
        <v>0</v>
      </c>
      <c r="BS94">
        <f t="shared" si="138"/>
        <v>0</v>
      </c>
      <c r="BT94" s="44">
        <f t="shared" si="149"/>
        <v>0</v>
      </c>
      <c r="BU94" s="42">
        <f t="shared" si="114"/>
        <v>1.5335567901357386E-2</v>
      </c>
      <c r="BV94">
        <f t="shared" si="115"/>
        <v>4.3874999999999997E-2</v>
      </c>
      <c r="BW94" s="44">
        <f t="shared" si="116"/>
        <v>2.2499999999999999E-2</v>
      </c>
      <c r="BX94">
        <f t="shared" si="139"/>
        <v>0.45544742386847653</v>
      </c>
      <c r="BY94">
        <f t="shared" si="140"/>
        <v>2.7725974988381856</v>
      </c>
      <c r="BZ94">
        <f t="shared" si="141"/>
        <v>88.693703842060188</v>
      </c>
    </row>
    <row r="95" spans="17:78" x14ac:dyDescent="0.3">
      <c r="Q95">
        <v>88</v>
      </c>
      <c r="R95" s="42">
        <f t="shared" si="94"/>
        <v>22</v>
      </c>
      <c r="S95">
        <f t="shared" si="95"/>
        <v>50</v>
      </c>
      <c r="T95" s="44">
        <f t="shared" si="96"/>
        <v>0.44</v>
      </c>
      <c r="U95" s="42">
        <f t="shared" si="97"/>
        <v>1</v>
      </c>
      <c r="V95">
        <f t="shared" si="98"/>
        <v>0.24819347291981714</v>
      </c>
      <c r="W95">
        <f t="shared" si="99"/>
        <v>0.36567171676853061</v>
      </c>
      <c r="X95">
        <f t="shared" si="117"/>
        <v>0.3861348103116522</v>
      </c>
      <c r="Y95" s="42">
        <f t="shared" si="118"/>
        <v>1.7728105208558367</v>
      </c>
      <c r="Z95">
        <f t="shared" si="100"/>
        <v>3.5456210417116734</v>
      </c>
      <c r="AA95">
        <f t="shared" si="119"/>
        <v>3.5456210417116734</v>
      </c>
      <c r="AB95" s="44">
        <f t="shared" si="101"/>
        <v>1.0198278476792497</v>
      </c>
      <c r="AC95" s="42">
        <v>0</v>
      </c>
      <c r="AD95">
        <f t="shared" si="102"/>
        <v>2.0800976778041821E-2</v>
      </c>
      <c r="AE95" s="44">
        <f t="shared" si="120"/>
        <v>2.0800976778041821E-2</v>
      </c>
      <c r="AF95" s="42">
        <f t="shared" si="103"/>
        <v>0.44</v>
      </c>
      <c r="AG95" s="44">
        <f t="shared" si="104"/>
        <v>0.44</v>
      </c>
      <c r="AH95" s="42">
        <f t="shared" si="105"/>
        <v>3.5361660522671097E-2</v>
      </c>
      <c r="AI95">
        <f t="shared" si="106"/>
        <v>0.63880791425686045</v>
      </c>
      <c r="AJ95" s="44">
        <f t="shared" si="121"/>
        <v>0.67416957477953154</v>
      </c>
      <c r="AK95" s="42">
        <f t="shared" si="107"/>
        <v>22</v>
      </c>
      <c r="AL95">
        <f t="shared" si="108"/>
        <v>150</v>
      </c>
      <c r="AM95" s="44">
        <f t="shared" si="122"/>
        <v>0.14666666666666667</v>
      </c>
      <c r="AN95" s="42">
        <f t="shared" si="123"/>
        <v>2</v>
      </c>
      <c r="AO95">
        <f t="shared" si="124"/>
        <v>0.36567171676853055</v>
      </c>
      <c r="AP95">
        <f t="shared" si="125"/>
        <v>0.40108835313480468</v>
      </c>
      <c r="AQ95">
        <f t="shared" si="126"/>
        <v>0.80217670626960935</v>
      </c>
      <c r="AR95">
        <f t="shared" si="142"/>
        <v>0.80217670626960935</v>
      </c>
      <c r="AS95" s="44">
        <f t="shared" si="143"/>
        <v>0.28006259251128052</v>
      </c>
      <c r="AT95" s="42"/>
      <c r="AU95">
        <f t="shared" si="127"/>
        <v>1.1185777777777779E-5</v>
      </c>
      <c r="AV95" s="44">
        <f t="shared" si="144"/>
        <v>1.1185777777777779E-5</v>
      </c>
      <c r="AW95" s="42">
        <f t="shared" si="128"/>
        <v>0.92749999999999999</v>
      </c>
      <c r="AX95">
        <f t="shared" si="129"/>
        <v>0.20533333333333331</v>
      </c>
      <c r="AY95" s="44">
        <f t="shared" si="145"/>
        <v>1.1328333333333334</v>
      </c>
      <c r="AZ95" s="42">
        <f t="shared" si="109"/>
        <v>0</v>
      </c>
      <c r="BA95">
        <f t="shared" si="110"/>
        <v>0</v>
      </c>
      <c r="BB95">
        <f t="shared" si="146"/>
        <v>0</v>
      </c>
      <c r="BC95" s="44">
        <f t="shared" si="130"/>
        <v>0</v>
      </c>
      <c r="BD95" s="42">
        <v>0</v>
      </c>
      <c r="BE95">
        <f t="shared" si="131"/>
        <v>0</v>
      </c>
      <c r="BF95" s="44">
        <f t="shared" si="147"/>
        <v>0</v>
      </c>
      <c r="BG95" s="42">
        <f t="shared" si="132"/>
        <v>0</v>
      </c>
      <c r="BH95">
        <f t="shared" si="133"/>
        <v>0</v>
      </c>
      <c r="BI95" s="44">
        <f t="shared" si="134"/>
        <v>0</v>
      </c>
      <c r="BK95" s="42">
        <f t="shared" si="111"/>
        <v>0</v>
      </c>
      <c r="BL95">
        <f t="shared" si="112"/>
        <v>0</v>
      </c>
      <c r="BM95">
        <f t="shared" si="113"/>
        <v>0</v>
      </c>
      <c r="BN95" s="44">
        <f t="shared" si="150"/>
        <v>0</v>
      </c>
      <c r="BO95" s="42">
        <v>0</v>
      </c>
      <c r="BP95">
        <f t="shared" si="136"/>
        <v>0</v>
      </c>
      <c r="BQ95" s="44">
        <f t="shared" si="148"/>
        <v>0</v>
      </c>
      <c r="BR95" s="42">
        <f t="shared" si="137"/>
        <v>0</v>
      </c>
      <c r="BS95">
        <f t="shared" si="138"/>
        <v>0</v>
      </c>
      <c r="BT95" s="44">
        <f t="shared" si="149"/>
        <v>0</v>
      </c>
      <c r="BU95" s="42">
        <f t="shared" si="114"/>
        <v>1.5600732583531365E-2</v>
      </c>
      <c r="BV95">
        <f t="shared" si="115"/>
        <v>4.3874999999999997E-2</v>
      </c>
      <c r="BW95" s="44">
        <f t="shared" si="116"/>
        <v>2.2499999999999999E-2</v>
      </c>
      <c r="BX95">
        <f t="shared" si="139"/>
        <v>0.46080097677804183</v>
      </c>
      <c r="BY95">
        <f t="shared" si="140"/>
        <v>2.7897908032522158</v>
      </c>
      <c r="BZ95">
        <f t="shared" si="141"/>
        <v>88.746210787360823</v>
      </c>
    </row>
    <row r="96" spans="17:78" x14ac:dyDescent="0.3">
      <c r="Q96">
        <v>89</v>
      </c>
      <c r="R96" s="42">
        <f t="shared" si="94"/>
        <v>22.25</v>
      </c>
      <c r="S96">
        <f t="shared" si="95"/>
        <v>50</v>
      </c>
      <c r="T96" s="44">
        <f t="shared" si="96"/>
        <v>0.44500000000000001</v>
      </c>
      <c r="U96" s="42">
        <f t="shared" si="97"/>
        <v>1</v>
      </c>
      <c r="V96">
        <f t="shared" si="98"/>
        <v>0.2495996794869737</v>
      </c>
      <c r="W96">
        <f t="shared" si="99"/>
        <v>0.3677435277774746</v>
      </c>
      <c r="X96">
        <f t="shared" si="117"/>
        <v>0.3826567927355517</v>
      </c>
      <c r="Y96" s="42">
        <f t="shared" si="118"/>
        <v>1.7828548534783837</v>
      </c>
      <c r="Z96">
        <f t="shared" si="100"/>
        <v>3.5657097069567669</v>
      </c>
      <c r="AA96">
        <f t="shared" si="119"/>
        <v>3.5657097069567669</v>
      </c>
      <c r="AB96" s="44">
        <f t="shared" si="101"/>
        <v>1.0285072741910193</v>
      </c>
      <c r="AC96" s="42">
        <v>0</v>
      </c>
      <c r="AD96">
        <f t="shared" si="102"/>
        <v>2.1156544261276809E-2</v>
      </c>
      <c r="AE96" s="44">
        <f t="shared" si="120"/>
        <v>2.1156544261276809E-2</v>
      </c>
      <c r="AF96" s="42">
        <f t="shared" si="103"/>
        <v>0.44500000000000001</v>
      </c>
      <c r="AG96" s="44">
        <f t="shared" si="104"/>
        <v>0.44500000000000001</v>
      </c>
      <c r="AH96" s="42">
        <f t="shared" si="105"/>
        <v>3.5966125244170574E-2</v>
      </c>
      <c r="AI96">
        <f t="shared" si="106"/>
        <v>0.64242725151666746</v>
      </c>
      <c r="AJ96" s="44">
        <f t="shared" si="121"/>
        <v>0.678393376760838</v>
      </c>
      <c r="AK96" s="42">
        <f t="shared" si="107"/>
        <v>22.25</v>
      </c>
      <c r="AL96">
        <f t="shared" si="108"/>
        <v>150</v>
      </c>
      <c r="AM96" s="44">
        <f t="shared" si="122"/>
        <v>0.14833333333333334</v>
      </c>
      <c r="AN96" s="42">
        <f t="shared" si="123"/>
        <v>2</v>
      </c>
      <c r="AO96">
        <f t="shared" si="124"/>
        <v>0.3677435277774746</v>
      </c>
      <c r="AP96">
        <f t="shared" si="125"/>
        <v>0.40336082657881983</v>
      </c>
      <c r="AQ96">
        <f t="shared" si="126"/>
        <v>0.80672165315763977</v>
      </c>
      <c r="AR96">
        <f t="shared" si="142"/>
        <v>0.80672165315763977</v>
      </c>
      <c r="AS96" s="44">
        <f t="shared" si="143"/>
        <v>0.28244611507926004</v>
      </c>
      <c r="AT96" s="42"/>
      <c r="AU96">
        <f t="shared" si="127"/>
        <v>1.1441444444444448E-5</v>
      </c>
      <c r="AV96" s="44">
        <f t="shared" si="144"/>
        <v>1.1441444444444448E-5</v>
      </c>
      <c r="AW96" s="42">
        <f t="shared" si="128"/>
        <v>0.92749999999999999</v>
      </c>
      <c r="AX96">
        <f t="shared" si="129"/>
        <v>0.20766666666666667</v>
      </c>
      <c r="AY96" s="44">
        <f t="shared" si="145"/>
        <v>1.1351666666666667</v>
      </c>
      <c r="AZ96" s="42">
        <f t="shared" si="109"/>
        <v>0</v>
      </c>
      <c r="BA96">
        <f t="shared" si="110"/>
        <v>0</v>
      </c>
      <c r="BB96">
        <f t="shared" si="146"/>
        <v>0</v>
      </c>
      <c r="BC96" s="44">
        <f t="shared" si="130"/>
        <v>0</v>
      </c>
      <c r="BD96" s="42">
        <v>0</v>
      </c>
      <c r="BE96">
        <f t="shared" si="131"/>
        <v>0</v>
      </c>
      <c r="BF96" s="44">
        <f t="shared" si="147"/>
        <v>0</v>
      </c>
      <c r="BG96" s="42">
        <f t="shared" si="132"/>
        <v>0</v>
      </c>
      <c r="BH96">
        <f t="shared" si="133"/>
        <v>0</v>
      </c>
      <c r="BI96" s="44">
        <f t="shared" si="134"/>
        <v>0</v>
      </c>
      <c r="BK96" s="42">
        <f t="shared" si="111"/>
        <v>0</v>
      </c>
      <c r="BL96">
        <f t="shared" si="112"/>
        <v>0</v>
      </c>
      <c r="BM96">
        <f t="shared" si="113"/>
        <v>0</v>
      </c>
      <c r="BN96" s="44">
        <f t="shared" si="150"/>
        <v>0</v>
      </c>
      <c r="BO96" s="42">
        <v>0</v>
      </c>
      <c r="BP96">
        <f t="shared" si="136"/>
        <v>0</v>
      </c>
      <c r="BQ96" s="44">
        <f t="shared" si="148"/>
        <v>0</v>
      </c>
      <c r="BR96" s="42">
        <f t="shared" si="137"/>
        <v>0</v>
      </c>
      <c r="BS96">
        <f t="shared" si="138"/>
        <v>0</v>
      </c>
      <c r="BT96" s="44">
        <f t="shared" si="149"/>
        <v>0</v>
      </c>
      <c r="BU96" s="42">
        <f t="shared" si="114"/>
        <v>1.5867408195957607E-2</v>
      </c>
      <c r="BV96">
        <f t="shared" si="115"/>
        <v>4.3874999999999997E-2</v>
      </c>
      <c r="BW96" s="44">
        <f t="shared" si="116"/>
        <v>2.2499999999999999E-2</v>
      </c>
      <c r="BX96">
        <f t="shared" si="139"/>
        <v>0.46615654426127684</v>
      </c>
      <c r="BY96">
        <f t="shared" si="140"/>
        <v>2.8069704373291833</v>
      </c>
      <c r="BZ96">
        <f t="shared" si="141"/>
        <v>88.797646370099727</v>
      </c>
    </row>
    <row r="97" spans="17:78" x14ac:dyDescent="0.3">
      <c r="Q97">
        <v>90</v>
      </c>
      <c r="R97" s="42">
        <f t="shared" si="94"/>
        <v>22.5</v>
      </c>
      <c r="S97">
        <f t="shared" si="95"/>
        <v>50</v>
      </c>
      <c r="T97" s="44">
        <f t="shared" si="96"/>
        <v>0.45</v>
      </c>
      <c r="U97" s="42">
        <f t="shared" si="97"/>
        <v>1</v>
      </c>
      <c r="V97">
        <f t="shared" si="98"/>
        <v>0.25099800796022265</v>
      </c>
      <c r="W97">
        <f t="shared" si="99"/>
        <v>0.36980373172806136</v>
      </c>
      <c r="X97">
        <f t="shared" si="117"/>
        <v>0.379198260311716</v>
      </c>
      <c r="Y97" s="42">
        <f t="shared" si="118"/>
        <v>1.7928429140015905</v>
      </c>
      <c r="Z97">
        <f t="shared" si="100"/>
        <v>3.5856858280031809</v>
      </c>
      <c r="AA97">
        <f t="shared" si="119"/>
        <v>3.5856858280031809</v>
      </c>
      <c r="AB97" s="44">
        <f t="shared" si="101"/>
        <v>1.0371623539258232</v>
      </c>
      <c r="AC97" s="42">
        <v>0</v>
      </c>
      <c r="AD97">
        <f t="shared" si="102"/>
        <v>2.1514114968019093E-2</v>
      </c>
      <c r="AE97" s="44">
        <f t="shared" si="120"/>
        <v>2.1514114968019093E-2</v>
      </c>
      <c r="AF97" s="42">
        <f t="shared" si="103"/>
        <v>0.45</v>
      </c>
      <c r="AG97" s="44">
        <f t="shared" si="104"/>
        <v>0.45</v>
      </c>
      <c r="AH97" s="42">
        <f t="shared" si="105"/>
        <v>3.657399544563246E-2</v>
      </c>
      <c r="AI97">
        <f t="shared" si="106"/>
        <v>0.64602631189860882</v>
      </c>
      <c r="AJ97" s="44">
        <f t="shared" si="121"/>
        <v>0.68260030734424126</v>
      </c>
      <c r="AK97" s="42">
        <f t="shared" si="107"/>
        <v>22.5</v>
      </c>
      <c r="AL97">
        <f t="shared" si="108"/>
        <v>150</v>
      </c>
      <c r="AM97" s="44">
        <f t="shared" si="122"/>
        <v>0.15</v>
      </c>
      <c r="AN97" s="42">
        <f t="shared" si="123"/>
        <v>2</v>
      </c>
      <c r="AO97">
        <f t="shared" si="124"/>
        <v>0.36980373172806136</v>
      </c>
      <c r="AP97">
        <f t="shared" si="125"/>
        <v>0.40562056877864039</v>
      </c>
      <c r="AQ97">
        <f t="shared" si="126"/>
        <v>0.81124113755728067</v>
      </c>
      <c r="AR97">
        <f t="shared" si="142"/>
        <v>0.81124113755728078</v>
      </c>
      <c r="AS97" s="44">
        <f t="shared" si="143"/>
        <v>0.28482295159577298</v>
      </c>
      <c r="AT97" s="42"/>
      <c r="AU97">
        <f t="shared" si="127"/>
        <v>1.1700000000000001E-5</v>
      </c>
      <c r="AV97" s="44">
        <f t="shared" si="144"/>
        <v>1.1700000000000001E-5</v>
      </c>
      <c r="AW97" s="42">
        <f t="shared" si="128"/>
        <v>0.92749999999999999</v>
      </c>
      <c r="AX97">
        <f t="shared" si="129"/>
        <v>0.21</v>
      </c>
      <c r="AY97" s="44">
        <f t="shared" si="145"/>
        <v>1.1375</v>
      </c>
      <c r="AZ97" s="42">
        <f t="shared" si="109"/>
        <v>0</v>
      </c>
      <c r="BA97">
        <f t="shared" si="110"/>
        <v>0</v>
      </c>
      <c r="BB97">
        <f t="shared" si="146"/>
        <v>0</v>
      </c>
      <c r="BC97" s="44">
        <f t="shared" si="130"/>
        <v>0</v>
      </c>
      <c r="BD97" s="42">
        <v>0</v>
      </c>
      <c r="BE97">
        <f t="shared" si="131"/>
        <v>0</v>
      </c>
      <c r="BF97" s="44">
        <f t="shared" si="147"/>
        <v>0</v>
      </c>
      <c r="BG97" s="42">
        <f t="shared" si="132"/>
        <v>0</v>
      </c>
      <c r="BH97">
        <f t="shared" si="133"/>
        <v>0</v>
      </c>
      <c r="BI97" s="44">
        <f t="shared" si="134"/>
        <v>0</v>
      </c>
      <c r="BK97" s="42">
        <f t="shared" si="111"/>
        <v>0</v>
      </c>
      <c r="BL97">
        <f t="shared" si="112"/>
        <v>0</v>
      </c>
      <c r="BM97">
        <f t="shared" si="113"/>
        <v>0</v>
      </c>
      <c r="BN97" s="44">
        <f t="shared" si="150"/>
        <v>0</v>
      </c>
      <c r="BO97" s="42">
        <v>0</v>
      </c>
      <c r="BP97">
        <f t="shared" si="136"/>
        <v>0</v>
      </c>
      <c r="BQ97" s="44">
        <f t="shared" si="148"/>
        <v>0</v>
      </c>
      <c r="BR97" s="42">
        <f t="shared" si="137"/>
        <v>0</v>
      </c>
      <c r="BS97">
        <f t="shared" si="138"/>
        <v>0</v>
      </c>
      <c r="BT97" s="44">
        <f t="shared" si="149"/>
        <v>0</v>
      </c>
      <c r="BU97" s="42">
        <f t="shared" si="114"/>
        <v>1.6135586226014319E-2</v>
      </c>
      <c r="BV97">
        <f t="shared" si="115"/>
        <v>4.3874999999999997E-2</v>
      </c>
      <c r="BW97" s="44">
        <f t="shared" si="116"/>
        <v>2.2499999999999999E-2</v>
      </c>
      <c r="BX97">
        <f t="shared" si="139"/>
        <v>0.47151411496801909</v>
      </c>
      <c r="BY97">
        <f t="shared" si="140"/>
        <v>2.8241367085382745</v>
      </c>
      <c r="BZ97">
        <f t="shared" si="141"/>
        <v>88.848043504732416</v>
      </c>
    </row>
    <row r="98" spans="17:78" x14ac:dyDescent="0.3">
      <c r="Q98">
        <v>91</v>
      </c>
      <c r="R98" s="42">
        <f t="shared" si="94"/>
        <v>22.75</v>
      </c>
      <c r="S98">
        <f t="shared" si="95"/>
        <v>50</v>
      </c>
      <c r="T98" s="44">
        <f t="shared" si="96"/>
        <v>0.45500000000000002</v>
      </c>
      <c r="U98" s="42">
        <f t="shared" si="97"/>
        <v>1</v>
      </c>
      <c r="V98">
        <f t="shared" si="98"/>
        <v>0.25238858928247926</v>
      </c>
      <c r="W98">
        <f t="shared" si="99"/>
        <v>0.37185252154285275</v>
      </c>
      <c r="X98">
        <f t="shared" si="117"/>
        <v>0.37575888917466793</v>
      </c>
      <c r="Y98" s="42">
        <f t="shared" si="118"/>
        <v>1.8027756377319946</v>
      </c>
      <c r="Z98">
        <f t="shared" si="100"/>
        <v>3.6055512754639891</v>
      </c>
      <c r="AA98">
        <f t="shared" si="119"/>
        <v>3.6055512754639891</v>
      </c>
      <c r="AB98" s="44">
        <f t="shared" si="101"/>
        <v>1.0457934245780778</v>
      </c>
      <c r="AC98" s="42">
        <v>0</v>
      </c>
      <c r="AD98">
        <f t="shared" si="102"/>
        <v>2.1873677737814873E-2</v>
      </c>
      <c r="AE98" s="44">
        <f t="shared" si="120"/>
        <v>2.1873677737814873E-2</v>
      </c>
      <c r="AF98" s="42">
        <f t="shared" si="103"/>
        <v>0.45500000000000002</v>
      </c>
      <c r="AG98" s="44">
        <f t="shared" si="104"/>
        <v>0.45500000000000002</v>
      </c>
      <c r="AH98" s="42">
        <f t="shared" si="105"/>
        <v>3.7185252154285288E-2</v>
      </c>
      <c r="AI98">
        <f t="shared" si="106"/>
        <v>0.64960543242754498</v>
      </c>
      <c r="AJ98" s="44">
        <f t="shared" si="121"/>
        <v>0.68679068458183024</v>
      </c>
      <c r="AK98" s="42">
        <f t="shared" si="107"/>
        <v>22.75</v>
      </c>
      <c r="AL98">
        <f t="shared" si="108"/>
        <v>150</v>
      </c>
      <c r="AM98" s="44">
        <f t="shared" si="122"/>
        <v>0.15166666666666667</v>
      </c>
      <c r="AN98" s="42">
        <f t="shared" si="123"/>
        <v>2</v>
      </c>
      <c r="AO98">
        <f t="shared" si="124"/>
        <v>0.37185252154285275</v>
      </c>
      <c r="AP98">
        <f t="shared" si="125"/>
        <v>0.40786779134208029</v>
      </c>
      <c r="AQ98">
        <f t="shared" si="126"/>
        <v>0.81573558268416047</v>
      </c>
      <c r="AR98">
        <f t="shared" si="142"/>
        <v>0.81573558268416058</v>
      </c>
      <c r="AS98" s="44">
        <f t="shared" si="143"/>
        <v>0.28719319479762245</v>
      </c>
      <c r="AT98" s="42"/>
      <c r="AU98">
        <f t="shared" si="127"/>
        <v>1.1961444444444446E-5</v>
      </c>
      <c r="AV98" s="44">
        <f t="shared" si="144"/>
        <v>1.1961444444444446E-5</v>
      </c>
      <c r="AW98" s="42">
        <f t="shared" si="128"/>
        <v>0.92749999999999999</v>
      </c>
      <c r="AX98">
        <f t="shared" si="129"/>
        <v>0.21233333333333332</v>
      </c>
      <c r="AY98" s="44">
        <f t="shared" si="145"/>
        <v>1.1398333333333333</v>
      </c>
      <c r="AZ98" s="42">
        <f t="shared" si="109"/>
        <v>0</v>
      </c>
      <c r="BA98">
        <f t="shared" si="110"/>
        <v>0</v>
      </c>
      <c r="BB98">
        <f>IF(EN_OUT_2=1,AZ98/BA98,0)</f>
        <v>0</v>
      </c>
      <c r="BC98" s="44">
        <f t="shared" si="130"/>
        <v>0</v>
      </c>
      <c r="BD98" s="42">
        <v>0</v>
      </c>
      <c r="BE98">
        <f t="shared" si="131"/>
        <v>0</v>
      </c>
      <c r="BF98" s="44">
        <f t="shared" si="147"/>
        <v>0</v>
      </c>
      <c r="BG98" s="42">
        <f t="shared" si="132"/>
        <v>0</v>
      </c>
      <c r="BH98">
        <f t="shared" si="133"/>
        <v>0</v>
      </c>
      <c r="BI98" s="44">
        <f t="shared" si="134"/>
        <v>0</v>
      </c>
      <c r="BK98" s="42">
        <f t="shared" si="111"/>
        <v>0</v>
      </c>
      <c r="BL98">
        <f t="shared" si="112"/>
        <v>0</v>
      </c>
      <c r="BM98">
        <f t="shared" si="113"/>
        <v>0</v>
      </c>
      <c r="BN98" s="44">
        <f t="shared" si="150"/>
        <v>0</v>
      </c>
      <c r="BO98" s="42">
        <v>0</v>
      </c>
      <c r="BP98">
        <f t="shared" si="136"/>
        <v>0</v>
      </c>
      <c r="BQ98" s="44">
        <f t="shared" si="148"/>
        <v>0</v>
      </c>
      <c r="BR98" s="42">
        <f t="shared" si="137"/>
        <v>0</v>
      </c>
      <c r="BS98">
        <f t="shared" si="138"/>
        <v>0</v>
      </c>
      <c r="BT98" s="44">
        <f t="shared" si="149"/>
        <v>0</v>
      </c>
      <c r="BU98" s="42">
        <f t="shared" si="114"/>
        <v>1.6405258303361155E-2</v>
      </c>
      <c r="BV98">
        <f t="shared" si="115"/>
        <v>4.3874999999999997E-2</v>
      </c>
      <c r="BW98" s="44">
        <f t="shared" si="116"/>
        <v>2.2499999999999999E-2</v>
      </c>
      <c r="BX98">
        <f t="shared" si="139"/>
        <v>0.47687367773781486</v>
      </c>
      <c r="BY98">
        <f t="shared" si="140"/>
        <v>2.8412899154007842</v>
      </c>
      <c r="BZ98">
        <f t="shared" si="141"/>
        <v>88.897433756588782</v>
      </c>
    </row>
    <row r="99" spans="17:78" x14ac:dyDescent="0.3">
      <c r="Q99">
        <v>92</v>
      </c>
      <c r="R99" s="42">
        <f t="shared" si="94"/>
        <v>23</v>
      </c>
      <c r="S99">
        <f t="shared" si="95"/>
        <v>50</v>
      </c>
      <c r="T99" s="44">
        <f t="shared" si="96"/>
        <v>0.46</v>
      </c>
      <c r="U99" s="42">
        <f t="shared" si="97"/>
        <v>1</v>
      </c>
      <c r="V99">
        <f t="shared" si="98"/>
        <v>0.25377155080899039</v>
      </c>
      <c r="W99">
        <f t="shared" si="99"/>
        <v>0.37389008485857916</v>
      </c>
      <c r="X99">
        <f t="shared" si="117"/>
        <v>0.37233836433243045</v>
      </c>
      <c r="Y99" s="42">
        <f t="shared" si="118"/>
        <v>1.8126539343499317</v>
      </c>
      <c r="Z99">
        <f t="shared" si="100"/>
        <v>3.6253078686998625</v>
      </c>
      <c r="AA99">
        <f t="shared" si="119"/>
        <v>3.625307868699863</v>
      </c>
      <c r="AB99" s="44">
        <f t="shared" si="101"/>
        <v>1.0544008155035847</v>
      </c>
      <c r="AC99" s="42">
        <v>0</v>
      </c>
      <c r="AD99">
        <f t="shared" si="102"/>
        <v>2.2235221594692489E-2</v>
      </c>
      <c r="AE99" s="44">
        <f t="shared" si="120"/>
        <v>2.2235221594692489E-2</v>
      </c>
      <c r="AF99" s="42">
        <f t="shared" si="103"/>
        <v>0.46</v>
      </c>
      <c r="AG99" s="44">
        <f t="shared" si="104"/>
        <v>0.46</v>
      </c>
      <c r="AH99" s="42">
        <f t="shared" si="105"/>
        <v>3.7799876710977232E-2</v>
      </c>
      <c r="AI99">
        <f t="shared" si="106"/>
        <v>0.65316494089428656</v>
      </c>
      <c r="AJ99" s="44">
        <f t="shared" si="121"/>
        <v>0.69096481760526385</v>
      </c>
      <c r="AK99" s="42">
        <f t="shared" si="107"/>
        <v>23</v>
      </c>
      <c r="AL99">
        <f t="shared" si="108"/>
        <v>150</v>
      </c>
      <c r="AM99" s="44">
        <f t="shared" si="122"/>
        <v>0.15333333333333332</v>
      </c>
      <c r="AN99" s="42">
        <f t="shared" si="123"/>
        <v>2</v>
      </c>
      <c r="AO99">
        <f t="shared" si="124"/>
        <v>0.37389008485857911</v>
      </c>
      <c r="AP99">
        <f t="shared" si="125"/>
        <v>0.4101027000791701</v>
      </c>
      <c r="AQ99">
        <f t="shared" si="126"/>
        <v>0.82020540015833987</v>
      </c>
      <c r="AR99">
        <f t="shared" si="142"/>
        <v>0.82020540015834009</v>
      </c>
      <c r="AS99" s="44">
        <f t="shared" si="143"/>
        <v>0.28955693513168113</v>
      </c>
      <c r="AT99" s="42"/>
      <c r="AU99">
        <f t="shared" si="127"/>
        <v>1.2225777777777778E-5</v>
      </c>
      <c r="AV99" s="44">
        <f t="shared" si="144"/>
        <v>1.2225777777777778E-5</v>
      </c>
      <c r="AW99" s="42">
        <f t="shared" si="128"/>
        <v>0.92749999999999999</v>
      </c>
      <c r="AX99">
        <f t="shared" si="129"/>
        <v>0.21466666666666664</v>
      </c>
      <c r="AY99" s="44">
        <f t="shared" si="145"/>
        <v>1.1421666666666666</v>
      </c>
      <c r="AZ99" s="42">
        <f t="shared" si="109"/>
        <v>0</v>
      </c>
      <c r="BA99">
        <f t="shared" si="110"/>
        <v>0</v>
      </c>
      <c r="BB99">
        <f t="shared" si="146"/>
        <v>0</v>
      </c>
      <c r="BC99" s="44">
        <f t="shared" si="130"/>
        <v>0</v>
      </c>
      <c r="BD99" s="42">
        <v>0</v>
      </c>
      <c r="BE99">
        <f t="shared" si="131"/>
        <v>0</v>
      </c>
      <c r="BF99" s="44">
        <f t="shared" si="147"/>
        <v>0</v>
      </c>
      <c r="BG99" s="42">
        <f t="shared" si="132"/>
        <v>0</v>
      </c>
      <c r="BH99">
        <f t="shared" si="133"/>
        <v>0</v>
      </c>
      <c r="BI99" s="44">
        <f t="shared" si="134"/>
        <v>0</v>
      </c>
      <c r="BK99" s="42">
        <f t="shared" si="111"/>
        <v>0</v>
      </c>
      <c r="BL99">
        <f t="shared" si="112"/>
        <v>0</v>
      </c>
      <c r="BM99">
        <f t="shared" si="113"/>
        <v>0</v>
      </c>
      <c r="BN99" s="44">
        <f t="shared" si="150"/>
        <v>0</v>
      </c>
      <c r="BO99" s="42">
        <v>0</v>
      </c>
      <c r="BP99">
        <f t="shared" si="136"/>
        <v>0</v>
      </c>
      <c r="BQ99" s="44">
        <f t="shared" si="148"/>
        <v>0</v>
      </c>
      <c r="BR99" s="42">
        <f t="shared" si="137"/>
        <v>0</v>
      </c>
      <c r="BS99">
        <f t="shared" si="138"/>
        <v>0</v>
      </c>
      <c r="BT99" s="44">
        <f t="shared" si="149"/>
        <v>0</v>
      </c>
      <c r="BU99" s="42">
        <f t="shared" si="114"/>
        <v>1.6676416196019367E-2</v>
      </c>
      <c r="BV99">
        <f t="shared" si="115"/>
        <v>4.3874999999999997E-2</v>
      </c>
      <c r="BW99" s="44">
        <f t="shared" si="116"/>
        <v>2.2499999999999999E-2</v>
      </c>
      <c r="BX99">
        <f t="shared" si="139"/>
        <v>0.48223522159469251</v>
      </c>
      <c r="BY99">
        <f t="shared" si="140"/>
        <v>2.8584303478404203</v>
      </c>
      <c r="BZ99">
        <f t="shared" si="141"/>
        <v>88.94584741072984</v>
      </c>
    </row>
    <row r="100" spans="17:78" x14ac:dyDescent="0.3">
      <c r="Q100">
        <v>93</v>
      </c>
      <c r="R100" s="42">
        <f t="shared" si="94"/>
        <v>23.25</v>
      </c>
      <c r="S100">
        <f t="shared" si="95"/>
        <v>50</v>
      </c>
      <c r="T100" s="44">
        <f t="shared" si="96"/>
        <v>0.46500000000000002</v>
      </c>
      <c r="U100" s="42">
        <f t="shared" si="97"/>
        <v>1</v>
      </c>
      <c r="V100">
        <f t="shared" si="98"/>
        <v>0.25514701644346149</v>
      </c>
      <c r="W100">
        <f t="shared" si="99"/>
        <v>0.37591660422669992</v>
      </c>
      <c r="X100">
        <f t="shared" si="117"/>
        <v>0.36893637932983858</v>
      </c>
      <c r="Y100" s="42">
        <f t="shared" si="118"/>
        <v>1.8224786888818674</v>
      </c>
      <c r="Z100">
        <f t="shared" si="100"/>
        <v>3.6449573777637356</v>
      </c>
      <c r="AA100">
        <f t="shared" si="119"/>
        <v>3.6449573777637352</v>
      </c>
      <c r="AB100" s="44">
        <f t="shared" si="101"/>
        <v>1.0629848480137232</v>
      </c>
      <c r="AC100" s="42">
        <v>0</v>
      </c>
      <c r="AD100">
        <f t="shared" si="102"/>
        <v>2.2598735742135161E-2</v>
      </c>
      <c r="AE100" s="44">
        <f t="shared" si="120"/>
        <v>2.2598735742135161E-2</v>
      </c>
      <c r="AF100" s="42">
        <f t="shared" si="103"/>
        <v>0.46500000000000002</v>
      </c>
      <c r="AG100" s="44">
        <f t="shared" si="104"/>
        <v>0.46500000000000002</v>
      </c>
      <c r="AH100" s="42">
        <f t="shared" si="105"/>
        <v>3.8417850761629777E-2</v>
      </c>
      <c r="AI100">
        <f t="shared" si="106"/>
        <v>0.65670515620596115</v>
      </c>
      <c r="AJ100" s="44">
        <f t="shared" si="121"/>
        <v>0.69512300696759088</v>
      </c>
      <c r="AK100" s="42">
        <f t="shared" si="107"/>
        <v>23.25</v>
      </c>
      <c r="AL100">
        <f t="shared" si="108"/>
        <v>150</v>
      </c>
      <c r="AM100" s="44">
        <f t="shared" si="122"/>
        <v>0.155</v>
      </c>
      <c r="AN100" s="42">
        <f t="shared" si="123"/>
        <v>2</v>
      </c>
      <c r="AO100">
        <f t="shared" si="124"/>
        <v>0.37591660422669992</v>
      </c>
      <c r="AP100">
        <f t="shared" si="125"/>
        <v>0.41232549522214196</v>
      </c>
      <c r="AQ100">
        <f t="shared" si="126"/>
        <v>0.82465099044428414</v>
      </c>
      <c r="AR100">
        <f t="shared" si="142"/>
        <v>0.82465099044428403</v>
      </c>
      <c r="AS100" s="44">
        <f t="shared" si="143"/>
        <v>0.29191426083568217</v>
      </c>
      <c r="AT100" s="42"/>
      <c r="AU100">
        <f t="shared" si="127"/>
        <v>1.2493000000000002E-5</v>
      </c>
      <c r="AV100" s="44">
        <f t="shared" si="144"/>
        <v>1.2493000000000002E-5</v>
      </c>
      <c r="AW100" s="42">
        <f t="shared" si="128"/>
        <v>0.92749999999999999</v>
      </c>
      <c r="AX100">
        <f t="shared" si="129"/>
        <v>0.217</v>
      </c>
      <c r="AY100" s="44">
        <f t="shared" si="145"/>
        <v>1.1445000000000001</v>
      </c>
      <c r="AZ100" s="42">
        <f t="shared" si="109"/>
        <v>0</v>
      </c>
      <c r="BA100">
        <f t="shared" si="110"/>
        <v>0</v>
      </c>
      <c r="BB100">
        <f t="shared" si="146"/>
        <v>0</v>
      </c>
      <c r="BC100" s="44">
        <f t="shared" si="130"/>
        <v>0</v>
      </c>
      <c r="BD100" s="42">
        <v>0</v>
      </c>
      <c r="BE100">
        <f t="shared" si="131"/>
        <v>0</v>
      </c>
      <c r="BF100" s="44">
        <f t="shared" si="147"/>
        <v>0</v>
      </c>
      <c r="BG100" s="42">
        <f t="shared" si="132"/>
        <v>0</v>
      </c>
      <c r="BH100">
        <f t="shared" si="133"/>
        <v>0</v>
      </c>
      <c r="BI100" s="44">
        <f t="shared" si="134"/>
        <v>0</v>
      </c>
      <c r="BK100" s="42">
        <f t="shared" si="111"/>
        <v>0</v>
      </c>
      <c r="BL100">
        <f t="shared" si="112"/>
        <v>0</v>
      </c>
      <c r="BM100">
        <f t="shared" si="113"/>
        <v>0</v>
      </c>
      <c r="BN100" s="44">
        <f t="shared" si="150"/>
        <v>0</v>
      </c>
      <c r="BO100" s="42">
        <v>0</v>
      </c>
      <c r="BP100">
        <f t="shared" si="136"/>
        <v>0</v>
      </c>
      <c r="BQ100" s="44">
        <f t="shared" si="148"/>
        <v>0</v>
      </c>
      <c r="BR100" s="42">
        <f t="shared" si="137"/>
        <v>0</v>
      </c>
      <c r="BS100">
        <f t="shared" si="138"/>
        <v>0</v>
      </c>
      <c r="BT100" s="44">
        <f t="shared" si="149"/>
        <v>0</v>
      </c>
      <c r="BU100" s="42">
        <f t="shared" si="114"/>
        <v>1.6949051806601369E-2</v>
      </c>
      <c r="BV100">
        <f t="shared" si="115"/>
        <v>4.3874999999999997E-2</v>
      </c>
      <c r="BW100" s="44">
        <f t="shared" si="116"/>
        <v>2.2499999999999999E-2</v>
      </c>
      <c r="BX100">
        <f t="shared" si="139"/>
        <v>0.48759873574213519</v>
      </c>
      <c r="BY100">
        <f t="shared" si="140"/>
        <v>2.8755582875163275</v>
      </c>
      <c r="BZ100">
        <f t="shared" si="141"/>
        <v>88.993313536613044</v>
      </c>
    </row>
    <row r="101" spans="17:78" x14ac:dyDescent="0.3">
      <c r="Q101">
        <v>94</v>
      </c>
      <c r="R101" s="42">
        <f t="shared" si="94"/>
        <v>23.5</v>
      </c>
      <c r="S101">
        <f t="shared" si="95"/>
        <v>50</v>
      </c>
      <c r="T101" s="44">
        <f t="shared" si="96"/>
        <v>0.47</v>
      </c>
      <c r="U101" s="42">
        <f t="shared" si="97"/>
        <v>1</v>
      </c>
      <c r="V101">
        <f t="shared" si="98"/>
        <v>0.25651510676761319</v>
      </c>
      <c r="W101">
        <f t="shared" si="99"/>
        <v>0.37793225730428343</v>
      </c>
      <c r="X101">
        <f t="shared" si="117"/>
        <v>0.36555263592810333</v>
      </c>
      <c r="Y101" s="42">
        <f t="shared" si="118"/>
        <v>1.8322507626258087</v>
      </c>
      <c r="Z101">
        <f t="shared" si="100"/>
        <v>3.6645015252516169</v>
      </c>
      <c r="AA101">
        <f t="shared" si="119"/>
        <v>3.6645015252516169</v>
      </c>
      <c r="AB101" s="44">
        <f t="shared" si="101"/>
        <v>1.0715458356562138</v>
      </c>
      <c r="AC101" s="42">
        <v>0</v>
      </c>
      <c r="AD101">
        <f t="shared" si="102"/>
        <v>2.2964209558243468E-2</v>
      </c>
      <c r="AE101" s="44">
        <f t="shared" si="120"/>
        <v>2.2964209558243468E-2</v>
      </c>
      <c r="AF101" s="42">
        <f t="shared" si="103"/>
        <v>0.47000000000000003</v>
      </c>
      <c r="AG101" s="44">
        <f t="shared" si="104"/>
        <v>0.47000000000000003</v>
      </c>
      <c r="AH101" s="42">
        <f t="shared" si="105"/>
        <v>3.9039156249013898E-2</v>
      </c>
      <c r="AI101">
        <f t="shared" si="106"/>
        <v>0.6602263887194717</v>
      </c>
      <c r="AJ101" s="44">
        <f t="shared" si="121"/>
        <v>0.69926554496848559</v>
      </c>
      <c r="AK101" s="42">
        <f t="shared" si="107"/>
        <v>23.5</v>
      </c>
      <c r="AL101">
        <f t="shared" si="108"/>
        <v>150</v>
      </c>
      <c r="AM101" s="44">
        <f t="shared" si="122"/>
        <v>0.15666666666666668</v>
      </c>
      <c r="AN101" s="42">
        <f t="shared" si="123"/>
        <v>2</v>
      </c>
      <c r="AO101">
        <f t="shared" si="124"/>
        <v>0.37793225730428348</v>
      </c>
      <c r="AP101">
        <f t="shared" si="125"/>
        <v>0.41453637163479834</v>
      </c>
      <c r="AQ101">
        <f t="shared" si="126"/>
        <v>0.82907274326959679</v>
      </c>
      <c r="AR101">
        <f t="shared" si="142"/>
        <v>0.82907274326959679</v>
      </c>
      <c r="AS101" s="44">
        <f t="shared" si="143"/>
        <v>0.29426525801532294</v>
      </c>
      <c r="AT101" s="42"/>
      <c r="AU101">
        <f t="shared" si="127"/>
        <v>1.2763111111111115E-5</v>
      </c>
      <c r="AV101" s="44">
        <f t="shared" si="144"/>
        <v>1.2763111111111115E-5</v>
      </c>
      <c r="AW101" s="42">
        <f t="shared" si="128"/>
        <v>0.92749999999999999</v>
      </c>
      <c r="AX101">
        <f t="shared" si="129"/>
        <v>0.21933333333333332</v>
      </c>
      <c r="AY101" s="44">
        <f t="shared" si="145"/>
        <v>1.1468333333333334</v>
      </c>
      <c r="AZ101" s="42">
        <f t="shared" si="109"/>
        <v>0</v>
      </c>
      <c r="BA101">
        <f t="shared" si="110"/>
        <v>0</v>
      </c>
      <c r="BB101">
        <f t="shared" si="146"/>
        <v>0</v>
      </c>
      <c r="BC101" s="44">
        <f t="shared" si="130"/>
        <v>0</v>
      </c>
      <c r="BD101" s="42">
        <v>0</v>
      </c>
      <c r="BE101">
        <f t="shared" si="131"/>
        <v>0</v>
      </c>
      <c r="BF101" s="44">
        <f t="shared" si="147"/>
        <v>0</v>
      </c>
      <c r="BG101" s="42">
        <f t="shared" si="132"/>
        <v>0</v>
      </c>
      <c r="BH101">
        <f t="shared" si="133"/>
        <v>0</v>
      </c>
      <c r="BI101" s="44">
        <f t="shared" si="134"/>
        <v>0</v>
      </c>
      <c r="BK101" s="42">
        <f t="shared" si="111"/>
        <v>0</v>
      </c>
      <c r="BL101">
        <f t="shared" si="112"/>
        <v>0</v>
      </c>
      <c r="BM101">
        <f t="shared" si="113"/>
        <v>0</v>
      </c>
      <c r="BN101" s="44">
        <f t="shared" si="150"/>
        <v>0</v>
      </c>
      <c r="BO101" s="42">
        <v>0</v>
      </c>
      <c r="BP101">
        <f t="shared" si="136"/>
        <v>0</v>
      </c>
      <c r="BQ101" s="44">
        <f t="shared" si="148"/>
        <v>0</v>
      </c>
      <c r="BR101" s="42">
        <f t="shared" si="137"/>
        <v>0</v>
      </c>
      <c r="BS101">
        <f t="shared" si="138"/>
        <v>0</v>
      </c>
      <c r="BT101" s="44">
        <f t="shared" si="149"/>
        <v>0</v>
      </c>
      <c r="BU101" s="42">
        <f t="shared" si="114"/>
        <v>1.7223157168682598E-2</v>
      </c>
      <c r="BV101">
        <f t="shared" si="115"/>
        <v>4.3874999999999997E-2</v>
      </c>
      <c r="BW101" s="44">
        <f t="shared" si="116"/>
        <v>2.2499999999999999E-2</v>
      </c>
      <c r="BX101">
        <f t="shared" si="139"/>
        <v>0.49296420955824349</v>
      </c>
      <c r="BY101">
        <f t="shared" si="140"/>
        <v>2.8926740081398568</v>
      </c>
      <c r="BZ101">
        <f t="shared" si="141"/>
        <v>89.039860048861598</v>
      </c>
    </row>
    <row r="102" spans="17:78" x14ac:dyDescent="0.3">
      <c r="Q102">
        <v>95</v>
      </c>
      <c r="R102" s="42">
        <f t="shared" si="94"/>
        <v>23.75</v>
      </c>
      <c r="S102">
        <f t="shared" si="95"/>
        <v>50</v>
      </c>
      <c r="T102" s="44">
        <f t="shared" si="96"/>
        <v>0.47499999999999998</v>
      </c>
      <c r="U102" s="42">
        <f t="shared" si="97"/>
        <v>1</v>
      </c>
      <c r="V102">
        <f t="shared" si="98"/>
        <v>0.25787593916455254</v>
      </c>
      <c r="W102">
        <f t="shared" si="99"/>
        <v>0.37993721703577404</v>
      </c>
      <c r="X102">
        <f t="shared" si="117"/>
        <v>0.36218684379967342</v>
      </c>
      <c r="Y102" s="42">
        <f t="shared" si="118"/>
        <v>1.841970994032518</v>
      </c>
      <c r="Z102">
        <f t="shared" si="100"/>
        <v>3.6839419880650364</v>
      </c>
      <c r="AA102">
        <f t="shared" si="119"/>
        <v>3.6839419880650359</v>
      </c>
      <c r="AB102" s="44">
        <f t="shared" si="101"/>
        <v>1.0800840844832071</v>
      </c>
      <c r="AC102" s="42">
        <v>0</v>
      </c>
      <c r="AD102">
        <f t="shared" si="102"/>
        <v>2.3331632591078556E-2</v>
      </c>
      <c r="AE102" s="44">
        <f t="shared" si="120"/>
        <v>2.3331632591078556E-2</v>
      </c>
      <c r="AF102" s="42">
        <f t="shared" si="103"/>
        <v>0.47500000000000003</v>
      </c>
      <c r="AG102" s="44">
        <f t="shared" si="104"/>
        <v>0.47500000000000003</v>
      </c>
      <c r="AH102" s="42">
        <f t="shared" si="105"/>
        <v>3.9663775404833547E-2</v>
      </c>
      <c r="AI102">
        <f t="shared" si="106"/>
        <v>0.6637289405590312</v>
      </c>
      <c r="AJ102" s="44">
        <f t="shared" si="121"/>
        <v>0.70339271596386477</v>
      </c>
      <c r="AK102" s="42">
        <f t="shared" si="107"/>
        <v>23.75</v>
      </c>
      <c r="AL102">
        <f t="shared" si="108"/>
        <v>150</v>
      </c>
      <c r="AM102" s="44">
        <f t="shared" si="122"/>
        <v>0.15833333333333333</v>
      </c>
      <c r="AN102" s="42">
        <f t="shared" si="123"/>
        <v>2</v>
      </c>
      <c r="AO102">
        <f t="shared" si="124"/>
        <v>0.37993721703577404</v>
      </c>
      <c r="AP102">
        <f t="shared" si="125"/>
        <v>0.41673551901188194</v>
      </c>
      <c r="AQ102">
        <f t="shared" si="126"/>
        <v>0.83347103802376377</v>
      </c>
      <c r="AR102">
        <f t="shared" si="142"/>
        <v>0.83347103802376377</v>
      </c>
      <c r="AS102" s="44">
        <f t="shared" si="143"/>
        <v>0.29661001071788512</v>
      </c>
      <c r="AT102" s="42"/>
      <c r="AU102">
        <f t="shared" si="127"/>
        <v>1.3036111111111111E-5</v>
      </c>
      <c r="AV102" s="44">
        <f t="shared" si="144"/>
        <v>1.3036111111111111E-5</v>
      </c>
      <c r="AW102" s="42">
        <f t="shared" si="128"/>
        <v>0.92749999999999999</v>
      </c>
      <c r="AX102">
        <f t="shared" si="129"/>
        <v>0.22166666666666665</v>
      </c>
      <c r="AY102" s="44">
        <f t="shared" si="145"/>
        <v>1.1491666666666667</v>
      </c>
      <c r="AZ102" s="42">
        <f t="shared" si="109"/>
        <v>0</v>
      </c>
      <c r="BA102">
        <f t="shared" si="110"/>
        <v>0</v>
      </c>
      <c r="BB102">
        <f t="shared" si="146"/>
        <v>0</v>
      </c>
      <c r="BC102" s="44">
        <f t="shared" si="130"/>
        <v>0</v>
      </c>
      <c r="BD102" s="42">
        <v>0</v>
      </c>
      <c r="BE102">
        <f t="shared" si="131"/>
        <v>0</v>
      </c>
      <c r="BF102" s="44">
        <f t="shared" si="147"/>
        <v>0</v>
      </c>
      <c r="BG102" s="42">
        <f t="shared" si="132"/>
        <v>0</v>
      </c>
      <c r="BH102">
        <f t="shared" si="133"/>
        <v>0</v>
      </c>
      <c r="BI102" s="44">
        <f t="shared" si="134"/>
        <v>0</v>
      </c>
      <c r="BK102" s="42">
        <f t="shared" si="111"/>
        <v>0</v>
      </c>
      <c r="BL102">
        <f t="shared" si="112"/>
        <v>0</v>
      </c>
      <c r="BM102">
        <f t="shared" si="113"/>
        <v>0</v>
      </c>
      <c r="BN102" s="44">
        <f t="shared" si="150"/>
        <v>0</v>
      </c>
      <c r="BO102" s="42">
        <v>0</v>
      </c>
      <c r="BP102">
        <f t="shared" si="136"/>
        <v>0</v>
      </c>
      <c r="BQ102" s="44">
        <f t="shared" si="148"/>
        <v>0</v>
      </c>
      <c r="BR102" s="42">
        <f t="shared" si="137"/>
        <v>0</v>
      </c>
      <c r="BS102">
        <f t="shared" si="138"/>
        <v>0</v>
      </c>
      <c r="BT102" s="44">
        <f t="shared" si="149"/>
        <v>0</v>
      </c>
      <c r="BU102" s="42">
        <f t="shared" si="114"/>
        <v>1.7498724443308914E-2</v>
      </c>
      <c r="BV102">
        <f t="shared" si="115"/>
        <v>4.3874999999999997E-2</v>
      </c>
      <c r="BW102" s="44">
        <f t="shared" si="116"/>
        <v>2.2499999999999999E-2</v>
      </c>
      <c r="BX102">
        <f t="shared" si="139"/>
        <v>0.4983316325910786</v>
      </c>
      <c r="BY102">
        <f t="shared" si="140"/>
        <v>2.9097777757760301</v>
      </c>
      <c r="BZ102">
        <f t="shared" si="141"/>
        <v>89.085513764409725</v>
      </c>
    </row>
    <row r="103" spans="17:78" x14ac:dyDescent="0.3">
      <c r="Q103">
        <v>96</v>
      </c>
      <c r="R103" s="42">
        <f t="shared" ref="R103:R134" si="151">AK103+AZ103+BK103</f>
        <v>24</v>
      </c>
      <c r="S103">
        <f t="shared" si="95"/>
        <v>50</v>
      </c>
      <c r="T103" s="44">
        <f t="shared" ref="T103:T134" si="152">(R103)/(S103*EFF_est)</f>
        <v>0.48</v>
      </c>
      <c r="U103" s="42">
        <f t="shared" ref="U103:U134" si="153">IF(R103&lt;((((Np/NS1_)*(AL103)/((S103+((Np/NS1_)*(AL103)))))^2)*(S103^2))/(2*Lm*Fsw),1,2)</f>
        <v>1</v>
      </c>
      <c r="V103">
        <f t="shared" ref="V103:V134" si="154">CHOOSE(U103,SQRT((2*Lm*R103*Fsw)/((S103^2)*EFF_est)),(((Np/NS1_)*(AL103))/(S103+((Np/NS1_)*(AL103)))))</f>
        <v>0.25922962793631438</v>
      </c>
      <c r="W103">
        <f t="shared" ref="W103:W134" si="155">CHOOSE(U103,(NS1_*S103*V103)/(Np*AL103),1-V103)</f>
        <v>0.38193165182616984</v>
      </c>
      <c r="X103">
        <f t="shared" si="117"/>
        <v>0.35883872023751573</v>
      </c>
      <c r="Y103" s="42">
        <f t="shared" si="118"/>
        <v>1.8516401995451031</v>
      </c>
      <c r="Z103">
        <f t="shared" ref="Z103:Z134" si="156">(S103*V103)/(Lm*Fsw)</f>
        <v>3.7032803990902052</v>
      </c>
      <c r="AA103">
        <f t="shared" si="119"/>
        <v>3.7032803990902057</v>
      </c>
      <c r="AB103" s="44">
        <f t="shared" ref="AB103:AB134" si="157">CHOOSE(U103,AA103*SQRT(V103/3),SQRT(V103*((AA103^2)+((Z103^2)/(3))-(AA103*Z103))))</f>
        <v>1.0885998933073922</v>
      </c>
      <c r="AC103" s="42">
        <v>0</v>
      </c>
      <c r="AD103">
        <f t="shared" ref="AD103:AD134" si="158">(AB103^2)*Rdcr</f>
        <v>2.3700994554177315E-2</v>
      </c>
      <c r="AE103" s="44">
        <f t="shared" si="120"/>
        <v>2.3700994554177315E-2</v>
      </c>
      <c r="AF103" s="42">
        <f t="shared" ref="AF103:AF134" si="159">R103*0.02</f>
        <v>0.48</v>
      </c>
      <c r="AG103" s="44">
        <f t="shared" ref="AG103:AG134" si="160">R103*0.02</f>
        <v>0.48</v>
      </c>
      <c r="AH103" s="42">
        <f t="shared" ref="AH103:AH134" si="161">(AB103^2)*RDS_on</f>
        <v>4.0291690742101434E-2</v>
      </c>
      <c r="AI103">
        <f t="shared" ref="AI103:AI134" si="162">((Y103*(S103+((Np/NS1_)*VOUT1)))/2)*Fsw*(tr_sw+tf_sw)</f>
        <v>0.66721310591869609</v>
      </c>
      <c r="AJ103" s="44">
        <f t="shared" si="121"/>
        <v>0.70750479666079757</v>
      </c>
      <c r="AK103" s="42">
        <f t="shared" ref="AK103:AK134" si="163">Q103*$B$11</f>
        <v>24</v>
      </c>
      <c r="AL103">
        <f t="shared" si="108"/>
        <v>150</v>
      </c>
      <c r="AM103" s="44">
        <f t="shared" si="122"/>
        <v>0.16</v>
      </c>
      <c r="AN103" s="42">
        <f t="shared" si="123"/>
        <v>2</v>
      </c>
      <c r="AO103">
        <f t="shared" si="124"/>
        <v>0.38193165182616984</v>
      </c>
      <c r="AP103">
        <f t="shared" si="125"/>
        <v>0.41892312206902788</v>
      </c>
      <c r="AQ103">
        <f t="shared" si="126"/>
        <v>0.83784624413805553</v>
      </c>
      <c r="AR103">
        <f t="shared" si="142"/>
        <v>0.83784624413805564</v>
      </c>
      <c r="AS103" s="44">
        <f t="shared" si="143"/>
        <v>0.29894860100256804</v>
      </c>
      <c r="AT103" s="42"/>
      <c r="AU103">
        <f t="shared" si="127"/>
        <v>1.3312000000000002E-5</v>
      </c>
      <c r="AV103" s="44">
        <f t="shared" si="144"/>
        <v>1.3312000000000002E-5</v>
      </c>
      <c r="AW103" s="42">
        <f t="shared" si="128"/>
        <v>0.92749999999999999</v>
      </c>
      <c r="AX103">
        <f t="shared" si="129"/>
        <v>0.22399999999999998</v>
      </c>
      <c r="AY103" s="44">
        <f t="shared" si="145"/>
        <v>1.1515</v>
      </c>
      <c r="AZ103" s="42">
        <f t="shared" ref="AZ103:AZ134" si="164">IF(EN_OUT_2=1,Q103*$B$15,0)</f>
        <v>0</v>
      </c>
      <c r="BA103">
        <f t="shared" ref="BA103:BA134" si="165">IF(EN_OUT_2=1,VOUT2,0)</f>
        <v>0</v>
      </c>
      <c r="BB103">
        <f t="shared" si="146"/>
        <v>0</v>
      </c>
      <c r="BC103" s="44">
        <f t="shared" si="130"/>
        <v>0</v>
      </c>
      <c r="BD103" s="42">
        <v>0</v>
      </c>
      <c r="BE103">
        <f t="shared" si="131"/>
        <v>0</v>
      </c>
      <c r="BF103" s="44">
        <f t="shared" si="147"/>
        <v>0</v>
      </c>
      <c r="BG103" s="42">
        <f t="shared" si="132"/>
        <v>0</v>
      </c>
      <c r="BH103">
        <f t="shared" si="133"/>
        <v>0</v>
      </c>
      <c r="BI103" s="44">
        <f t="shared" si="134"/>
        <v>0</v>
      </c>
      <c r="BK103" s="42">
        <f t="shared" ref="BK103:BK134" si="166">IF(EN_OUT_3=1,Q103*$B$19,0)</f>
        <v>0</v>
      </c>
      <c r="BL103">
        <f t="shared" si="112"/>
        <v>0</v>
      </c>
      <c r="BM103">
        <f t="shared" ref="BM103:BM134" si="167">IF(EN_OUT_3=1,BK103/BL103,0)</f>
        <v>0</v>
      </c>
      <c r="BN103" s="44">
        <f t="shared" si="150"/>
        <v>0</v>
      </c>
      <c r="BO103" s="42">
        <v>0</v>
      </c>
      <c r="BP103">
        <f t="shared" si="136"/>
        <v>0</v>
      </c>
      <c r="BQ103" s="44">
        <f t="shared" si="148"/>
        <v>0</v>
      </c>
      <c r="BR103" s="42">
        <f t="shared" si="137"/>
        <v>0</v>
      </c>
      <c r="BS103">
        <f t="shared" si="138"/>
        <v>0</v>
      </c>
      <c r="BT103" s="44">
        <f t="shared" si="149"/>
        <v>0</v>
      </c>
      <c r="BU103" s="42">
        <f t="shared" ref="BU103:BU134" si="168">(AB103^2)*R_cs</f>
        <v>1.7775745915632985E-2</v>
      </c>
      <c r="BV103">
        <f t="shared" si="115"/>
        <v>4.3874999999999997E-2</v>
      </c>
      <c r="BW103" s="44">
        <f t="shared" ref="BW103:BW134" si="169">IQ*S103</f>
        <v>2.2499999999999999E-2</v>
      </c>
      <c r="BX103">
        <f t="shared" si="139"/>
        <v>0.50370099455417727</v>
      </c>
      <c r="BY103">
        <f t="shared" si="140"/>
        <v>2.926869849130608</v>
      </c>
      <c r="BZ103">
        <f t="shared" si="141"/>
        <v>89.130300456274142</v>
      </c>
    </row>
    <row r="104" spans="17:78" x14ac:dyDescent="0.3">
      <c r="Q104">
        <v>97</v>
      </c>
      <c r="R104" s="42">
        <f t="shared" si="151"/>
        <v>24.25</v>
      </c>
      <c r="S104">
        <f t="shared" si="95"/>
        <v>50</v>
      </c>
      <c r="T104" s="44">
        <f t="shared" si="152"/>
        <v>0.48499999999999999</v>
      </c>
      <c r="U104" s="42">
        <f t="shared" si="153"/>
        <v>1</v>
      </c>
      <c r="V104">
        <f t="shared" si="154"/>
        <v>0.26057628441590769</v>
      </c>
      <c r="W104">
        <f t="shared" si="155"/>
        <v>0.38391572570610399</v>
      </c>
      <c r="X104">
        <f t="shared" si="117"/>
        <v>0.35550798987798837</v>
      </c>
      <c r="Y104" s="42">
        <f t="shared" ref="Y104:Y135" si="170">R104/(S104*EFF_est*V104)</f>
        <v>1.8612591743993403</v>
      </c>
      <c r="Z104">
        <f t="shared" si="156"/>
        <v>3.722518348798681</v>
      </c>
      <c r="AA104">
        <f t="shared" si="119"/>
        <v>3.7225183487986806</v>
      </c>
      <c r="AB104" s="44">
        <f t="shared" si="157"/>
        <v>1.0970935539467788</v>
      </c>
      <c r="AC104" s="42">
        <v>0</v>
      </c>
      <c r="AD104">
        <f t="shared" si="158"/>
        <v>2.4072285322231473E-2</v>
      </c>
      <c r="AE104" s="44">
        <f t="shared" si="120"/>
        <v>2.4072285322231473E-2</v>
      </c>
      <c r="AF104" s="42">
        <f t="shared" si="159"/>
        <v>0.48499999999999999</v>
      </c>
      <c r="AG104" s="44">
        <f t="shared" si="160"/>
        <v>0.48499999999999999</v>
      </c>
      <c r="AH104" s="42">
        <f t="shared" si="161"/>
        <v>4.0922885047793504E-2</v>
      </c>
      <c r="AI104">
        <f t="shared" si="162"/>
        <v>0.67067917135075261</v>
      </c>
      <c r="AJ104" s="44">
        <f t="shared" si="121"/>
        <v>0.71160205639854612</v>
      </c>
      <c r="AK104" s="42">
        <f t="shared" si="163"/>
        <v>24.25</v>
      </c>
      <c r="AL104">
        <f t="shared" si="108"/>
        <v>150</v>
      </c>
      <c r="AM104" s="44">
        <f t="shared" ref="AM104:AM135" si="171">AK104/AL104</f>
        <v>0.16166666666666665</v>
      </c>
      <c r="AN104" s="42">
        <f t="shared" ref="AN104:AN135" si="172">IF(((AL104*AO104)/(Fsw*$AO$2))/2&gt;AP104,1,2)</f>
        <v>2</v>
      </c>
      <c r="AO104">
        <f t="shared" ref="AO104:AO135" si="173">AM104/AP104</f>
        <v>0.38391572570610394</v>
      </c>
      <c r="AP104">
        <f t="shared" ref="AP104:AP135" si="174">Np*$Y104*AK104/(R104*NS1_)</f>
        <v>0.42109936072383264</v>
      </c>
      <c r="AQ104">
        <f t="shared" ref="AQ104:AQ135" si="175">(AL104*AO104)/(Fsw*$AO$2)</f>
        <v>0.84219872144766539</v>
      </c>
      <c r="AR104">
        <f t="shared" si="142"/>
        <v>0.84219872144766539</v>
      </c>
      <c r="AS104" s="44">
        <f t="shared" si="143"/>
        <v>0.30128110900770905</v>
      </c>
      <c r="AT104" s="42"/>
      <c r="AU104">
        <f t="shared" ref="AU104:AU135" si="176">(AM104^2)*Rdcr1</f>
        <v>1.3590777777777778E-5</v>
      </c>
      <c r="AV104" s="44">
        <f t="shared" si="144"/>
        <v>1.3590777777777778E-5</v>
      </c>
      <c r="AW104" s="42">
        <f t="shared" ref="AW104:AW135" si="177">(VOUT1+((NS1_/Np)*S104))*QRR1_*Fsw</f>
        <v>0.92749999999999999</v>
      </c>
      <c r="AX104">
        <f t="shared" ref="AX104:AX135" si="178">AM104*VD1_</f>
        <v>0.2263333333333333</v>
      </c>
      <c r="AY104" s="44">
        <f t="shared" si="145"/>
        <v>1.1538333333333333</v>
      </c>
      <c r="AZ104" s="42">
        <f t="shared" si="164"/>
        <v>0</v>
      </c>
      <c r="BA104">
        <f t="shared" si="165"/>
        <v>0</v>
      </c>
      <c r="BB104">
        <f t="shared" si="146"/>
        <v>0</v>
      </c>
      <c r="BC104" s="44">
        <f t="shared" ref="BC104:BC135" si="179">IF(EN_OUT_2=1,AZ104/BA104,0)</f>
        <v>0</v>
      </c>
      <c r="BD104" s="42">
        <v>0</v>
      </c>
      <c r="BE104">
        <f t="shared" ref="BE104:BE135" si="180">(BB104^2)*Rdcr2</f>
        <v>0</v>
      </c>
      <c r="BF104" s="44">
        <f t="shared" si="147"/>
        <v>0</v>
      </c>
      <c r="BG104" s="42">
        <f t="shared" ref="BG104:BG135" si="181">(VOUT2+((NS2_/Np)*S104))*QRR2_*Fsw</f>
        <v>0</v>
      </c>
      <c r="BH104">
        <f t="shared" ref="BH104:BH135" si="182">BB104*VD2_</f>
        <v>0</v>
      </c>
      <c r="BI104" s="44">
        <f t="shared" ref="BI104:BI135" si="183">BH104+BG104</f>
        <v>0</v>
      </c>
      <c r="BK104" s="42">
        <f t="shared" si="166"/>
        <v>0</v>
      </c>
      <c r="BL104">
        <f t="shared" si="112"/>
        <v>0</v>
      </c>
      <c r="BM104">
        <f t="shared" si="167"/>
        <v>0</v>
      </c>
      <c r="BN104" s="44">
        <f t="shared" si="150"/>
        <v>0</v>
      </c>
      <c r="BO104" s="42">
        <v>0</v>
      </c>
      <c r="BP104">
        <f t="shared" ref="BP104:BP135" si="184">(BM104^2)*Rdcr3</f>
        <v>0</v>
      </c>
      <c r="BQ104" s="44">
        <f t="shared" si="148"/>
        <v>0</v>
      </c>
      <c r="BR104" s="42">
        <f t="shared" ref="BR104:BR135" si="185">(VOUT3+((NS3_/Np)*S104))*QRR3_*Fsw</f>
        <v>0</v>
      </c>
      <c r="BS104">
        <f t="shared" ref="BS104:BS135" si="186">BM104*VD3_</f>
        <v>0</v>
      </c>
      <c r="BT104" s="44">
        <f t="shared" si="149"/>
        <v>0</v>
      </c>
      <c r="BU104" s="42">
        <f t="shared" si="168"/>
        <v>1.8054213991673604E-2</v>
      </c>
      <c r="BV104">
        <f t="shared" si="115"/>
        <v>4.3874999999999997E-2</v>
      </c>
      <c r="BW104" s="44">
        <f t="shared" si="169"/>
        <v>2.2499999999999999E-2</v>
      </c>
      <c r="BX104">
        <f t="shared" si="139"/>
        <v>0.50907228532223148</v>
      </c>
      <c r="BY104">
        <f t="shared" si="140"/>
        <v>2.9439504798235623</v>
      </c>
      <c r="BZ104">
        <f t="shared" ref="BZ104:BZ135" si="187">(R104/(R104+BY104))*100</f>
        <v>89.174244904182586</v>
      </c>
    </row>
    <row r="105" spans="17:78" x14ac:dyDescent="0.3">
      <c r="Q105">
        <v>98</v>
      </c>
      <c r="R105" s="42">
        <f t="shared" si="151"/>
        <v>24.5</v>
      </c>
      <c r="S105">
        <f t="shared" si="95"/>
        <v>50</v>
      </c>
      <c r="T105" s="44">
        <f t="shared" si="152"/>
        <v>0.49</v>
      </c>
      <c r="U105" s="42">
        <f t="shared" si="153"/>
        <v>1</v>
      </c>
      <c r="V105">
        <f t="shared" si="154"/>
        <v>0.26191601707417589</v>
      </c>
      <c r="W105">
        <f t="shared" si="155"/>
        <v>0.38588959848928583</v>
      </c>
      <c r="X105">
        <f t="shared" si="117"/>
        <v>0.35219438443653828</v>
      </c>
      <c r="Y105" s="42">
        <f t="shared" si="170"/>
        <v>1.8708286933869707</v>
      </c>
      <c r="Z105">
        <f t="shared" si="156"/>
        <v>3.7416573867739413</v>
      </c>
      <c r="AA105">
        <f t="shared" si="119"/>
        <v>3.7416573867739413</v>
      </c>
      <c r="AB105" s="44">
        <f t="shared" si="157"/>
        <v>1.1055653514587702</v>
      </c>
      <c r="AC105" s="42">
        <v>0</v>
      </c>
      <c r="AD105">
        <f t="shared" si="158"/>
        <v>2.4445494926923082E-2</v>
      </c>
      <c r="AE105" s="44">
        <f t="shared" si="120"/>
        <v>2.4445494926923082E-2</v>
      </c>
      <c r="AF105" s="42">
        <f t="shared" si="159"/>
        <v>0.49</v>
      </c>
      <c r="AG105" s="44">
        <f t="shared" si="160"/>
        <v>0.49</v>
      </c>
      <c r="AH105" s="42">
        <f t="shared" si="161"/>
        <v>4.155734137576924E-2</v>
      </c>
      <c r="AI105">
        <f t="shared" si="162"/>
        <v>0.67412741604075954</v>
      </c>
      <c r="AJ105" s="44">
        <f t="shared" si="121"/>
        <v>0.71568475741652882</v>
      </c>
      <c r="AK105" s="42">
        <f t="shared" si="163"/>
        <v>24.5</v>
      </c>
      <c r="AL105">
        <f t="shared" si="108"/>
        <v>150</v>
      </c>
      <c r="AM105" s="44">
        <f t="shared" si="171"/>
        <v>0.16333333333333333</v>
      </c>
      <c r="AN105" s="42">
        <f t="shared" si="172"/>
        <v>2</v>
      </c>
      <c r="AO105">
        <f t="shared" si="173"/>
        <v>0.38588959848928578</v>
      </c>
      <c r="AP105">
        <f t="shared" si="174"/>
        <v>0.42326441026854544</v>
      </c>
      <c r="AQ105">
        <f t="shared" si="175"/>
        <v>0.84652882053709078</v>
      </c>
      <c r="AR105">
        <f t="shared" si="142"/>
        <v>0.84652882053709089</v>
      </c>
      <c r="AS105" s="44">
        <f t="shared" si="143"/>
        <v>0.303607613015065</v>
      </c>
      <c r="AT105" s="42"/>
      <c r="AU105">
        <f t="shared" si="176"/>
        <v>1.3872444444444445E-5</v>
      </c>
      <c r="AV105" s="44">
        <f t="shared" si="144"/>
        <v>1.3872444444444445E-5</v>
      </c>
      <c r="AW105" s="42">
        <f t="shared" si="177"/>
        <v>0.92749999999999999</v>
      </c>
      <c r="AX105">
        <f t="shared" si="178"/>
        <v>0.22866666666666666</v>
      </c>
      <c r="AY105" s="44">
        <f t="shared" si="145"/>
        <v>1.1561666666666666</v>
      </c>
      <c r="AZ105" s="42">
        <f t="shared" si="164"/>
        <v>0</v>
      </c>
      <c r="BA105">
        <f t="shared" si="165"/>
        <v>0</v>
      </c>
      <c r="BB105">
        <f t="shared" si="146"/>
        <v>0</v>
      </c>
      <c r="BC105" s="44">
        <f t="shared" si="179"/>
        <v>0</v>
      </c>
      <c r="BD105" s="42">
        <v>0</v>
      </c>
      <c r="BE105">
        <f t="shared" si="180"/>
        <v>0</v>
      </c>
      <c r="BF105" s="44">
        <f t="shared" si="147"/>
        <v>0</v>
      </c>
      <c r="BG105" s="42">
        <f t="shared" si="181"/>
        <v>0</v>
      </c>
      <c r="BH105">
        <f t="shared" si="182"/>
        <v>0</v>
      </c>
      <c r="BI105" s="44">
        <f t="shared" si="183"/>
        <v>0</v>
      </c>
      <c r="BK105" s="42">
        <f t="shared" si="166"/>
        <v>0</v>
      </c>
      <c r="BL105">
        <f t="shared" si="112"/>
        <v>0</v>
      </c>
      <c r="BM105">
        <f t="shared" si="167"/>
        <v>0</v>
      </c>
      <c r="BN105" s="44">
        <f t="shared" si="150"/>
        <v>0</v>
      </c>
      <c r="BO105" s="42">
        <v>0</v>
      </c>
      <c r="BP105">
        <f t="shared" si="184"/>
        <v>0</v>
      </c>
      <c r="BQ105" s="44">
        <f t="shared" si="148"/>
        <v>0</v>
      </c>
      <c r="BR105" s="42">
        <f t="shared" si="185"/>
        <v>0</v>
      </c>
      <c r="BS105">
        <f t="shared" si="186"/>
        <v>0</v>
      </c>
      <c r="BT105" s="44">
        <f t="shared" si="149"/>
        <v>0</v>
      </c>
      <c r="BU105" s="42">
        <f t="shared" si="168"/>
        <v>1.8334121195192312E-2</v>
      </c>
      <c r="BV105">
        <f t="shared" si="115"/>
        <v>4.3874999999999997E-2</v>
      </c>
      <c r="BW105" s="44">
        <f t="shared" si="169"/>
        <v>2.2499999999999999E-2</v>
      </c>
      <c r="BX105">
        <f t="shared" si="139"/>
        <v>0.51444549492692304</v>
      </c>
      <c r="BY105">
        <f t="shared" si="140"/>
        <v>2.9610199126497552</v>
      </c>
      <c r="BZ105">
        <f t="shared" si="187"/>
        <v>89.217370942272339</v>
      </c>
    </row>
    <row r="106" spans="17:78" x14ac:dyDescent="0.3">
      <c r="Q106">
        <v>99</v>
      </c>
      <c r="R106" s="42">
        <f t="shared" si="151"/>
        <v>24.75</v>
      </c>
      <c r="S106">
        <f t="shared" si="95"/>
        <v>50</v>
      </c>
      <c r="T106" s="44">
        <f t="shared" si="152"/>
        <v>0.495</v>
      </c>
      <c r="U106" s="42">
        <f t="shared" si="153"/>
        <v>1</v>
      </c>
      <c r="V106">
        <f t="shared" si="154"/>
        <v>0.26324893162176366</v>
      </c>
      <c r="W106">
        <f t="shared" si="155"/>
        <v>0.38785342592273175</v>
      </c>
      <c r="X106">
        <f t="shared" si="117"/>
        <v>0.34889764245550459</v>
      </c>
      <c r="Y106" s="42">
        <f t="shared" si="170"/>
        <v>1.8803495115840261</v>
      </c>
      <c r="Z106">
        <f t="shared" si="156"/>
        <v>3.7606990231680522</v>
      </c>
      <c r="AA106">
        <f t="shared" si="119"/>
        <v>3.7606990231680522</v>
      </c>
      <c r="AB106" s="44">
        <f t="shared" si="157"/>
        <v>1.1140155643640968</v>
      </c>
      <c r="AC106" s="42">
        <v>0</v>
      </c>
      <c r="AD106">
        <f t="shared" si="158"/>
        <v>2.482061355290914E-2</v>
      </c>
      <c r="AE106" s="44">
        <f t="shared" si="120"/>
        <v>2.482061355290914E-2</v>
      </c>
      <c r="AF106" s="42">
        <f t="shared" si="159"/>
        <v>0.495</v>
      </c>
      <c r="AG106" s="44">
        <f t="shared" si="160"/>
        <v>0.495</v>
      </c>
      <c r="AH106" s="42">
        <f t="shared" si="161"/>
        <v>4.2195043039945541E-2</v>
      </c>
      <c r="AI106">
        <f t="shared" si="162"/>
        <v>0.67755811206999095</v>
      </c>
      <c r="AJ106" s="44">
        <f t="shared" si="121"/>
        <v>0.71975315510993654</v>
      </c>
      <c r="AK106" s="42">
        <f t="shared" si="163"/>
        <v>24.75</v>
      </c>
      <c r="AL106">
        <f t="shared" si="108"/>
        <v>150</v>
      </c>
      <c r="AM106" s="44">
        <f t="shared" si="171"/>
        <v>0.16500000000000001</v>
      </c>
      <c r="AN106" s="42">
        <f t="shared" si="172"/>
        <v>2</v>
      </c>
      <c r="AO106">
        <f t="shared" si="173"/>
        <v>0.38785342592273181</v>
      </c>
      <c r="AP106">
        <f t="shared" si="174"/>
        <v>0.42541844153484754</v>
      </c>
      <c r="AQ106">
        <f t="shared" si="175"/>
        <v>0.85083688306969518</v>
      </c>
      <c r="AR106">
        <f t="shared" si="142"/>
        <v>0.85083688306969507</v>
      </c>
      <c r="AS106" s="44">
        <f t="shared" si="143"/>
        <v>0.30592818951130746</v>
      </c>
      <c r="AT106" s="42"/>
      <c r="AU106">
        <f t="shared" si="176"/>
        <v>1.4157000000000004E-5</v>
      </c>
      <c r="AV106" s="44">
        <f t="shared" si="144"/>
        <v>1.4157000000000004E-5</v>
      </c>
      <c r="AW106" s="42">
        <f t="shared" si="177"/>
        <v>0.92749999999999999</v>
      </c>
      <c r="AX106">
        <f t="shared" si="178"/>
        <v>0.23099999999999998</v>
      </c>
      <c r="AY106" s="44">
        <f t="shared" si="145"/>
        <v>1.1585000000000001</v>
      </c>
      <c r="AZ106" s="42">
        <f t="shared" si="164"/>
        <v>0</v>
      </c>
      <c r="BA106">
        <f t="shared" si="165"/>
        <v>0</v>
      </c>
      <c r="BB106">
        <f t="shared" si="146"/>
        <v>0</v>
      </c>
      <c r="BC106" s="44">
        <f t="shared" si="179"/>
        <v>0</v>
      </c>
      <c r="BD106" s="42">
        <v>0</v>
      </c>
      <c r="BE106">
        <f t="shared" si="180"/>
        <v>0</v>
      </c>
      <c r="BF106" s="44">
        <f t="shared" si="147"/>
        <v>0</v>
      </c>
      <c r="BG106" s="42">
        <f t="shared" si="181"/>
        <v>0</v>
      </c>
      <c r="BH106">
        <f t="shared" si="182"/>
        <v>0</v>
      </c>
      <c r="BI106" s="44">
        <f t="shared" si="183"/>
        <v>0</v>
      </c>
      <c r="BK106" s="42">
        <f t="shared" si="166"/>
        <v>0</v>
      </c>
      <c r="BL106">
        <f t="shared" si="112"/>
        <v>0</v>
      </c>
      <c r="BM106">
        <f t="shared" si="167"/>
        <v>0</v>
      </c>
      <c r="BN106" s="44">
        <f t="shared" si="150"/>
        <v>0</v>
      </c>
      <c r="BO106" s="42">
        <v>0</v>
      </c>
      <c r="BP106">
        <f t="shared" si="184"/>
        <v>0</v>
      </c>
      <c r="BQ106" s="44">
        <f t="shared" si="148"/>
        <v>0</v>
      </c>
      <c r="BR106" s="42">
        <f t="shared" si="185"/>
        <v>0</v>
      </c>
      <c r="BS106">
        <f t="shared" si="186"/>
        <v>0</v>
      </c>
      <c r="BT106" s="44">
        <f t="shared" si="149"/>
        <v>0</v>
      </c>
      <c r="BU106" s="42">
        <f t="shared" si="168"/>
        <v>1.8615460164681852E-2</v>
      </c>
      <c r="BV106">
        <f t="shared" si="115"/>
        <v>4.3874999999999997E-2</v>
      </c>
      <c r="BW106" s="44">
        <f t="shared" si="169"/>
        <v>2.2499999999999999E-2</v>
      </c>
      <c r="BX106">
        <f t="shared" si="139"/>
        <v>0.51982061355290909</v>
      </c>
      <c r="BY106">
        <f t="shared" si="140"/>
        <v>2.9780783858275277</v>
      </c>
      <c r="BZ106">
        <f t="shared" si="187"/>
        <v>89.259701504054846</v>
      </c>
    </row>
    <row r="107" spans="17:78" x14ac:dyDescent="0.3">
      <c r="Q107">
        <v>100</v>
      </c>
      <c r="R107" s="42">
        <f t="shared" si="151"/>
        <v>25</v>
      </c>
      <c r="S107">
        <f t="shared" si="95"/>
        <v>50</v>
      </c>
      <c r="T107" s="44">
        <f t="shared" si="152"/>
        <v>0.5</v>
      </c>
      <c r="U107" s="42">
        <f t="shared" si="153"/>
        <v>1</v>
      </c>
      <c r="V107">
        <f t="shared" si="154"/>
        <v>0.26457513110645908</v>
      </c>
      <c r="W107">
        <f t="shared" si="155"/>
        <v>0.38980735983018305</v>
      </c>
      <c r="X107">
        <f t="shared" si="117"/>
        <v>0.34561750906335792</v>
      </c>
      <c r="Y107" s="42">
        <f t="shared" si="170"/>
        <v>1.8898223650461359</v>
      </c>
      <c r="Z107">
        <f t="shared" si="156"/>
        <v>3.7796447300922726</v>
      </c>
      <c r="AA107">
        <f t="shared" si="119"/>
        <v>3.7796447300922722</v>
      </c>
      <c r="AB107" s="44">
        <f t="shared" si="157"/>
        <v>1.1224444648611458</v>
      </c>
      <c r="AC107" s="42">
        <v>0</v>
      </c>
      <c r="AD107">
        <f t="shared" si="158"/>
        <v>2.5197631533948481E-2</v>
      </c>
      <c r="AE107" s="44">
        <f t="shared" si="120"/>
        <v>2.5197631533948481E-2</v>
      </c>
      <c r="AF107" s="42">
        <f t="shared" si="159"/>
        <v>0.5</v>
      </c>
      <c r="AG107" s="44">
        <f t="shared" si="160"/>
        <v>0.5</v>
      </c>
      <c r="AH107" s="42">
        <f t="shared" si="161"/>
        <v>4.2835973607712421E-2</v>
      </c>
      <c r="AI107">
        <f t="shared" si="162"/>
        <v>0.68097152466597999</v>
      </c>
      <c r="AJ107" s="44">
        <f t="shared" si="121"/>
        <v>0.7238074982736924</v>
      </c>
      <c r="AK107" s="42">
        <f t="shared" si="163"/>
        <v>25</v>
      </c>
      <c r="AL107">
        <f t="shared" si="108"/>
        <v>150</v>
      </c>
      <c r="AM107" s="44">
        <f t="shared" si="171"/>
        <v>0.16666666666666666</v>
      </c>
      <c r="AN107" s="42">
        <f t="shared" si="172"/>
        <v>2</v>
      </c>
      <c r="AO107">
        <f t="shared" si="173"/>
        <v>0.38980735983018305</v>
      </c>
      <c r="AP107">
        <f t="shared" si="174"/>
        <v>0.42756162105116197</v>
      </c>
      <c r="AQ107">
        <f t="shared" si="175"/>
        <v>0.85512324210232427</v>
      </c>
      <c r="AR107">
        <f t="shared" si="142"/>
        <v>0.85512324210232404</v>
      </c>
      <c r="AS107" s="44">
        <f t="shared" si="143"/>
        <v>0.30824291324688208</v>
      </c>
      <c r="AT107" s="42"/>
      <c r="AU107">
        <f t="shared" si="176"/>
        <v>1.4444444444444446E-5</v>
      </c>
      <c r="AV107" s="44">
        <f t="shared" si="144"/>
        <v>1.4444444444444446E-5</v>
      </c>
      <c r="AW107" s="42">
        <f t="shared" si="177"/>
        <v>0.92749999999999999</v>
      </c>
      <c r="AX107">
        <f t="shared" si="178"/>
        <v>0.23333333333333331</v>
      </c>
      <c r="AY107" s="44">
        <f t="shared" si="145"/>
        <v>1.1608333333333334</v>
      </c>
      <c r="AZ107" s="42">
        <f t="shared" si="164"/>
        <v>0</v>
      </c>
      <c r="BA107">
        <f t="shared" si="165"/>
        <v>0</v>
      </c>
      <c r="BB107">
        <f t="shared" si="146"/>
        <v>0</v>
      </c>
      <c r="BC107" s="44">
        <f t="shared" si="179"/>
        <v>0</v>
      </c>
      <c r="BD107" s="42">
        <v>0</v>
      </c>
      <c r="BE107">
        <f t="shared" si="180"/>
        <v>0</v>
      </c>
      <c r="BF107" s="44">
        <f t="shared" si="147"/>
        <v>0</v>
      </c>
      <c r="BG107" s="42">
        <f t="shared" si="181"/>
        <v>0</v>
      </c>
      <c r="BH107">
        <f t="shared" si="182"/>
        <v>0</v>
      </c>
      <c r="BI107" s="44">
        <f t="shared" si="183"/>
        <v>0</v>
      </c>
      <c r="BK107" s="42">
        <f t="shared" si="166"/>
        <v>0</v>
      </c>
      <c r="BL107">
        <f t="shared" si="112"/>
        <v>0</v>
      </c>
      <c r="BM107">
        <f t="shared" si="167"/>
        <v>0</v>
      </c>
      <c r="BN107" s="44">
        <f t="shared" si="150"/>
        <v>0</v>
      </c>
      <c r="BO107" s="42">
        <v>0</v>
      </c>
      <c r="BP107">
        <f t="shared" si="184"/>
        <v>0</v>
      </c>
      <c r="BQ107" s="44">
        <f t="shared" si="148"/>
        <v>0</v>
      </c>
      <c r="BR107" s="42">
        <f t="shared" si="185"/>
        <v>0</v>
      </c>
      <c r="BS107">
        <f t="shared" si="186"/>
        <v>0</v>
      </c>
      <c r="BT107" s="44">
        <f t="shared" si="149"/>
        <v>0</v>
      </c>
      <c r="BU107" s="42">
        <f t="shared" si="168"/>
        <v>1.8898223650461361E-2</v>
      </c>
      <c r="BV107">
        <f t="shared" si="115"/>
        <v>4.3874999999999997E-2</v>
      </c>
      <c r="BW107" s="44">
        <f t="shared" si="169"/>
        <v>2.2499999999999999E-2</v>
      </c>
      <c r="BX107">
        <f t="shared" si="139"/>
        <v>0.52519763153394849</v>
      </c>
      <c r="BY107">
        <f t="shared" si="140"/>
        <v>2.9951261312358803</v>
      </c>
      <c r="BZ107">
        <f t="shared" si="187"/>
        <v>89.30125866482868</v>
      </c>
    </row>
    <row r="108" spans="17:78" x14ac:dyDescent="0.3">
      <c r="Q108">
        <v>101</v>
      </c>
      <c r="R108" s="42">
        <f t="shared" si="151"/>
        <v>25.25</v>
      </c>
      <c r="S108">
        <f t="shared" si="95"/>
        <v>50</v>
      </c>
      <c r="T108" s="44">
        <f t="shared" si="152"/>
        <v>0.505</v>
      </c>
      <c r="U108" s="42">
        <f t="shared" si="153"/>
        <v>1</v>
      </c>
      <c r="V108">
        <f t="shared" si="154"/>
        <v>0.2658947160061666</v>
      </c>
      <c r="W108">
        <f t="shared" si="155"/>
        <v>0.39175154824908548</v>
      </c>
      <c r="X108">
        <f t="shared" si="117"/>
        <v>0.34235373574474787</v>
      </c>
      <c r="Y108" s="42">
        <f t="shared" si="170"/>
        <v>1.8992479714726189</v>
      </c>
      <c r="Z108">
        <f t="shared" si="156"/>
        <v>3.798495942945237</v>
      </c>
      <c r="AA108">
        <f t="shared" si="119"/>
        <v>3.7984959429452374</v>
      </c>
      <c r="AB108" s="44">
        <f t="shared" si="157"/>
        <v>1.1308523190311941</v>
      </c>
      <c r="AC108" s="42">
        <v>0</v>
      </c>
      <c r="AD108">
        <f t="shared" si="158"/>
        <v>2.5576539349164592E-2</v>
      </c>
      <c r="AE108" s="44">
        <f t="shared" si="120"/>
        <v>2.5576539349164592E-2</v>
      </c>
      <c r="AF108" s="42">
        <f t="shared" si="159"/>
        <v>0.505</v>
      </c>
      <c r="AG108" s="44">
        <f t="shared" si="160"/>
        <v>0.505</v>
      </c>
      <c r="AH108" s="42">
        <f t="shared" si="161"/>
        <v>4.3480116893579807E-2</v>
      </c>
      <c r="AI108">
        <f t="shared" si="162"/>
        <v>0.68436791244181572</v>
      </c>
      <c r="AJ108" s="44">
        <f t="shared" si="121"/>
        <v>0.7278480293353955</v>
      </c>
      <c r="AK108" s="42">
        <f t="shared" si="163"/>
        <v>25.25</v>
      </c>
      <c r="AL108">
        <f t="shared" si="108"/>
        <v>150</v>
      </c>
      <c r="AM108" s="44">
        <f t="shared" si="171"/>
        <v>0.16833333333333333</v>
      </c>
      <c r="AN108" s="42">
        <f t="shared" si="172"/>
        <v>2</v>
      </c>
      <c r="AO108">
        <f t="shared" si="173"/>
        <v>0.39175154824908548</v>
      </c>
      <c r="AP108">
        <f t="shared" si="174"/>
        <v>0.42969411119290019</v>
      </c>
      <c r="AQ108">
        <f t="shared" si="175"/>
        <v>0.85938822238580037</v>
      </c>
      <c r="AR108">
        <f t="shared" si="142"/>
        <v>0.85938822238580037</v>
      </c>
      <c r="AS108" s="44">
        <f t="shared" si="143"/>
        <v>0.31055185729236884</v>
      </c>
      <c r="AT108" s="42"/>
      <c r="AU108">
        <f t="shared" si="176"/>
        <v>1.4734777777777779E-5</v>
      </c>
      <c r="AV108" s="44">
        <f t="shared" si="144"/>
        <v>1.4734777777777779E-5</v>
      </c>
      <c r="AW108" s="42">
        <f t="shared" si="177"/>
        <v>0.92749999999999999</v>
      </c>
      <c r="AX108">
        <f t="shared" si="178"/>
        <v>0.23566666666666666</v>
      </c>
      <c r="AY108" s="44">
        <f t="shared" si="145"/>
        <v>1.1631666666666667</v>
      </c>
      <c r="AZ108" s="42">
        <f t="shared" si="164"/>
        <v>0</v>
      </c>
      <c r="BA108">
        <f t="shared" si="165"/>
        <v>0</v>
      </c>
      <c r="BB108">
        <f t="shared" si="146"/>
        <v>0</v>
      </c>
      <c r="BC108" s="44">
        <f t="shared" si="179"/>
        <v>0</v>
      </c>
      <c r="BD108" s="42">
        <v>0</v>
      </c>
      <c r="BE108">
        <f t="shared" si="180"/>
        <v>0</v>
      </c>
      <c r="BF108" s="44">
        <f t="shared" si="147"/>
        <v>0</v>
      </c>
      <c r="BG108" s="42">
        <f t="shared" si="181"/>
        <v>0</v>
      </c>
      <c r="BH108">
        <f t="shared" si="182"/>
        <v>0</v>
      </c>
      <c r="BI108" s="44">
        <f t="shared" si="183"/>
        <v>0</v>
      </c>
      <c r="BK108" s="42">
        <f t="shared" si="166"/>
        <v>0</v>
      </c>
      <c r="BL108">
        <f t="shared" si="112"/>
        <v>0</v>
      </c>
      <c r="BM108">
        <f t="shared" si="167"/>
        <v>0</v>
      </c>
      <c r="BN108" s="44">
        <f t="shared" si="150"/>
        <v>0</v>
      </c>
      <c r="BO108" s="42">
        <v>0</v>
      </c>
      <c r="BP108">
        <f t="shared" si="184"/>
        <v>0</v>
      </c>
      <c r="BQ108" s="44">
        <f t="shared" si="148"/>
        <v>0</v>
      </c>
      <c r="BR108" s="42">
        <f t="shared" si="185"/>
        <v>0</v>
      </c>
      <c r="BS108">
        <f t="shared" si="186"/>
        <v>0</v>
      </c>
      <c r="BT108" s="44">
        <f t="shared" si="149"/>
        <v>0</v>
      </c>
      <c r="BU108" s="42">
        <f t="shared" si="168"/>
        <v>1.9182404511873443E-2</v>
      </c>
      <c r="BV108">
        <f t="shared" si="115"/>
        <v>4.3874999999999997E-2</v>
      </c>
      <c r="BW108" s="44">
        <f t="shared" si="169"/>
        <v>2.2499999999999999E-2</v>
      </c>
      <c r="BX108">
        <f t="shared" si="139"/>
        <v>0.5305765393491646</v>
      </c>
      <c r="BY108">
        <f t="shared" si="140"/>
        <v>3.0121633746408776</v>
      </c>
      <c r="BZ108">
        <f t="shared" si="187"/>
        <v>89.34206368170797</v>
      </c>
    </row>
    <row r="109" spans="17:78" x14ac:dyDescent="0.3">
      <c r="Q109">
        <v>102</v>
      </c>
      <c r="R109" s="42">
        <f t="shared" si="151"/>
        <v>25.5</v>
      </c>
      <c r="S109">
        <f t="shared" si="95"/>
        <v>50</v>
      </c>
      <c r="T109" s="44">
        <f t="shared" si="152"/>
        <v>0.51</v>
      </c>
      <c r="U109" s="42">
        <f t="shared" si="153"/>
        <v>1</v>
      </c>
      <c r="V109">
        <f t="shared" si="154"/>
        <v>0.26720778431774778</v>
      </c>
      <c r="W109">
        <f t="shared" si="155"/>
        <v>0.39368613556148174</v>
      </c>
      <c r="X109">
        <f t="shared" si="117"/>
        <v>0.33910608012077043</v>
      </c>
      <c r="Y109" s="42">
        <f t="shared" si="170"/>
        <v>1.9086270308410551</v>
      </c>
      <c r="Z109">
        <f t="shared" si="156"/>
        <v>3.8172540616821111</v>
      </c>
      <c r="AA109">
        <f t="shared" si="119"/>
        <v>3.8172540616821107</v>
      </c>
      <c r="AB109" s="44">
        <f t="shared" si="157"/>
        <v>1.1392393870350153</v>
      </c>
      <c r="AC109" s="42">
        <v>0</v>
      </c>
      <c r="AD109">
        <f t="shared" si="158"/>
        <v>2.5957327619438347E-2</v>
      </c>
      <c r="AE109" s="44">
        <f t="shared" si="120"/>
        <v>2.5957327619438347E-2</v>
      </c>
      <c r="AF109" s="42">
        <f t="shared" si="159"/>
        <v>0.51</v>
      </c>
      <c r="AG109" s="44">
        <f t="shared" si="160"/>
        <v>0.51</v>
      </c>
      <c r="AH109" s="42">
        <f t="shared" si="161"/>
        <v>4.4127456953045194E-2</v>
      </c>
      <c r="AI109">
        <f t="shared" si="162"/>
        <v>0.68774752762480185</v>
      </c>
      <c r="AJ109" s="44">
        <f t="shared" si="121"/>
        <v>0.73187498457784705</v>
      </c>
      <c r="AK109" s="42">
        <f t="shared" si="163"/>
        <v>25.5</v>
      </c>
      <c r="AL109">
        <f t="shared" si="108"/>
        <v>150</v>
      </c>
      <c r="AM109" s="44">
        <f t="shared" si="171"/>
        <v>0.17</v>
      </c>
      <c r="AN109" s="42">
        <f t="shared" si="172"/>
        <v>2</v>
      </c>
      <c r="AO109">
        <f t="shared" si="173"/>
        <v>0.39368613556148174</v>
      </c>
      <c r="AP109">
        <f t="shared" si="174"/>
        <v>0.43181607032603059</v>
      </c>
      <c r="AQ109">
        <f t="shared" si="175"/>
        <v>0.86363214065206151</v>
      </c>
      <c r="AR109">
        <f t="shared" si="142"/>
        <v>0.86363214065206129</v>
      </c>
      <c r="AS109" s="44">
        <f t="shared" si="143"/>
        <v>0.3128550930924735</v>
      </c>
      <c r="AT109" s="42"/>
      <c r="AU109">
        <f t="shared" si="176"/>
        <v>1.5028000000000004E-5</v>
      </c>
      <c r="AV109" s="44">
        <f t="shared" si="144"/>
        <v>1.5028000000000004E-5</v>
      </c>
      <c r="AW109" s="42">
        <f t="shared" si="177"/>
        <v>0.92749999999999999</v>
      </c>
      <c r="AX109">
        <f t="shared" si="178"/>
        <v>0.23799999999999999</v>
      </c>
      <c r="AY109" s="44">
        <f t="shared" si="145"/>
        <v>1.1655</v>
      </c>
      <c r="AZ109" s="42">
        <f t="shared" si="164"/>
        <v>0</v>
      </c>
      <c r="BA109">
        <f t="shared" si="165"/>
        <v>0</v>
      </c>
      <c r="BB109">
        <f t="shared" si="146"/>
        <v>0</v>
      </c>
      <c r="BC109" s="44">
        <f t="shared" si="179"/>
        <v>0</v>
      </c>
      <c r="BD109" s="42">
        <v>0</v>
      </c>
      <c r="BE109">
        <f t="shared" si="180"/>
        <v>0</v>
      </c>
      <c r="BF109" s="44">
        <f t="shared" si="147"/>
        <v>0</v>
      </c>
      <c r="BG109" s="42">
        <f t="shared" si="181"/>
        <v>0</v>
      </c>
      <c r="BH109">
        <f t="shared" si="182"/>
        <v>0</v>
      </c>
      <c r="BI109" s="44">
        <f t="shared" si="183"/>
        <v>0</v>
      </c>
      <c r="BK109" s="42">
        <f t="shared" si="166"/>
        <v>0</v>
      </c>
      <c r="BL109">
        <f t="shared" si="112"/>
        <v>0</v>
      </c>
      <c r="BM109">
        <f t="shared" si="167"/>
        <v>0</v>
      </c>
      <c r="BN109" s="44">
        <f t="shared" si="150"/>
        <v>0</v>
      </c>
      <c r="BO109" s="42">
        <v>0</v>
      </c>
      <c r="BP109">
        <f t="shared" si="184"/>
        <v>0</v>
      </c>
      <c r="BQ109" s="44">
        <f t="shared" si="148"/>
        <v>0</v>
      </c>
      <c r="BR109" s="42">
        <f t="shared" si="185"/>
        <v>0</v>
      </c>
      <c r="BS109">
        <f t="shared" si="186"/>
        <v>0</v>
      </c>
      <c r="BT109" s="44">
        <f t="shared" si="149"/>
        <v>0</v>
      </c>
      <c r="BU109" s="42">
        <f t="shared" si="168"/>
        <v>1.9467995714578759E-2</v>
      </c>
      <c r="BV109">
        <f t="shared" si="115"/>
        <v>4.3874999999999997E-2</v>
      </c>
      <c r="BW109" s="44">
        <f t="shared" si="169"/>
        <v>2.2499999999999999E-2</v>
      </c>
      <c r="BX109">
        <f t="shared" si="139"/>
        <v>0.53595732761943837</v>
      </c>
      <c r="BY109">
        <f t="shared" si="140"/>
        <v>3.0291903359118635</v>
      </c>
      <c r="BZ109">
        <f t="shared" si="187"/>
        <v>89.382137031422189</v>
      </c>
    </row>
    <row r="110" spans="17:78" x14ac:dyDescent="0.3">
      <c r="Q110">
        <v>103</v>
      </c>
      <c r="R110" s="42">
        <f t="shared" si="151"/>
        <v>25.75</v>
      </c>
      <c r="S110">
        <f t="shared" si="95"/>
        <v>50</v>
      </c>
      <c r="T110" s="44">
        <f t="shared" si="152"/>
        <v>0.51500000000000001</v>
      </c>
      <c r="U110" s="42">
        <f t="shared" si="153"/>
        <v>1</v>
      </c>
      <c r="V110">
        <f t="shared" si="154"/>
        <v>0.26851443164195105</v>
      </c>
      <c r="W110">
        <f t="shared" si="155"/>
        <v>0.3956112626191412</v>
      </c>
      <c r="X110">
        <f t="shared" si="117"/>
        <v>0.33587430573890781</v>
      </c>
      <c r="Y110" s="42">
        <f t="shared" si="170"/>
        <v>1.9179602260139361</v>
      </c>
      <c r="Z110">
        <f t="shared" si="156"/>
        <v>3.8359204520278718</v>
      </c>
      <c r="AA110">
        <f t="shared" si="119"/>
        <v>3.8359204520278718</v>
      </c>
      <c r="AB110" s="44">
        <f t="shared" si="157"/>
        <v>1.147605923301303</v>
      </c>
      <c r="AC110" s="42">
        <v>0</v>
      </c>
      <c r="AD110">
        <f t="shared" si="158"/>
        <v>2.6339987103924722E-2</v>
      </c>
      <c r="AE110" s="44">
        <f t="shared" si="120"/>
        <v>2.6339987103924722E-2</v>
      </c>
      <c r="AF110" s="42">
        <f t="shared" si="159"/>
        <v>0.51500000000000001</v>
      </c>
      <c r="AG110" s="44">
        <f t="shared" si="160"/>
        <v>0.51500000000000001</v>
      </c>
      <c r="AH110" s="42">
        <f t="shared" si="161"/>
        <v>4.4777978076672026E-2</v>
      </c>
      <c r="AI110">
        <f t="shared" si="162"/>
        <v>0.69111061627505532</v>
      </c>
      <c r="AJ110" s="44">
        <f t="shared" si="121"/>
        <v>0.73588859435172738</v>
      </c>
      <c r="AK110" s="42">
        <f t="shared" si="163"/>
        <v>25.75</v>
      </c>
      <c r="AL110">
        <f t="shared" si="108"/>
        <v>150</v>
      </c>
      <c r="AM110" s="44">
        <f t="shared" si="171"/>
        <v>0.17166666666666666</v>
      </c>
      <c r="AN110" s="42">
        <f t="shared" si="172"/>
        <v>2</v>
      </c>
      <c r="AO110">
        <f t="shared" si="173"/>
        <v>0.39561126261914115</v>
      </c>
      <c r="AP110">
        <f t="shared" si="174"/>
        <v>0.43392765294432945</v>
      </c>
      <c r="AQ110">
        <f t="shared" si="175"/>
        <v>0.86785530588865878</v>
      </c>
      <c r="AR110">
        <f t="shared" si="142"/>
        <v>0.86785530588865889</v>
      </c>
      <c r="AS110" s="44">
        <f t="shared" si="143"/>
        <v>0.31515269051777267</v>
      </c>
      <c r="AT110" s="42"/>
      <c r="AU110">
        <f t="shared" si="176"/>
        <v>1.5324111111111113E-5</v>
      </c>
      <c r="AV110" s="44">
        <f t="shared" si="144"/>
        <v>1.5324111111111113E-5</v>
      </c>
      <c r="AW110" s="42">
        <f t="shared" si="177"/>
        <v>0.92749999999999999</v>
      </c>
      <c r="AX110">
        <f t="shared" si="178"/>
        <v>0.24033333333333332</v>
      </c>
      <c r="AY110" s="44">
        <f t="shared" si="145"/>
        <v>1.1678333333333333</v>
      </c>
      <c r="AZ110" s="42">
        <f t="shared" si="164"/>
        <v>0</v>
      </c>
      <c r="BA110">
        <f t="shared" si="165"/>
        <v>0</v>
      </c>
      <c r="BB110">
        <f t="shared" si="146"/>
        <v>0</v>
      </c>
      <c r="BC110" s="44">
        <f t="shared" si="179"/>
        <v>0</v>
      </c>
      <c r="BD110" s="42">
        <v>0</v>
      </c>
      <c r="BE110">
        <f t="shared" si="180"/>
        <v>0</v>
      </c>
      <c r="BF110" s="44">
        <f t="shared" si="147"/>
        <v>0</v>
      </c>
      <c r="BG110" s="42">
        <f t="shared" si="181"/>
        <v>0</v>
      </c>
      <c r="BH110">
        <f t="shared" si="182"/>
        <v>0</v>
      </c>
      <c r="BI110" s="44">
        <f t="shared" si="183"/>
        <v>0</v>
      </c>
      <c r="BK110" s="42">
        <f t="shared" si="166"/>
        <v>0</v>
      </c>
      <c r="BL110">
        <f t="shared" si="112"/>
        <v>0</v>
      </c>
      <c r="BM110">
        <f t="shared" si="167"/>
        <v>0</v>
      </c>
      <c r="BN110" s="44">
        <f t="shared" si="150"/>
        <v>0</v>
      </c>
      <c r="BO110" s="42">
        <v>0</v>
      </c>
      <c r="BP110">
        <f t="shared" si="184"/>
        <v>0</v>
      </c>
      <c r="BQ110" s="44">
        <f t="shared" si="148"/>
        <v>0</v>
      </c>
      <c r="BR110" s="42">
        <f t="shared" si="185"/>
        <v>0</v>
      </c>
      <c r="BS110">
        <f t="shared" si="186"/>
        <v>0</v>
      </c>
      <c r="BT110" s="44">
        <f t="shared" si="149"/>
        <v>0</v>
      </c>
      <c r="BU110" s="42">
        <f t="shared" si="168"/>
        <v>1.975499032794354E-2</v>
      </c>
      <c r="BV110">
        <f t="shared" si="115"/>
        <v>4.3874999999999997E-2</v>
      </c>
      <c r="BW110" s="44">
        <f t="shared" si="169"/>
        <v>2.2499999999999999E-2</v>
      </c>
      <c r="BX110">
        <f t="shared" si="139"/>
        <v>0.54133998710392472</v>
      </c>
      <c r="BY110">
        <f t="shared" si="140"/>
        <v>3.0462072292280404</v>
      </c>
      <c r="BZ110">
        <f t="shared" si="187"/>
        <v>89.421498446030938</v>
      </c>
    </row>
    <row r="111" spans="17:78" x14ac:dyDescent="0.3">
      <c r="Q111">
        <v>104</v>
      </c>
      <c r="R111" s="42">
        <f t="shared" si="151"/>
        <v>26</v>
      </c>
      <c r="S111">
        <f t="shared" si="95"/>
        <v>50</v>
      </c>
      <c r="T111" s="44">
        <f t="shared" si="152"/>
        <v>0.52</v>
      </c>
      <c r="U111" s="42">
        <f t="shared" si="153"/>
        <v>1</v>
      </c>
      <c r="V111">
        <f t="shared" si="154"/>
        <v>0.26981475126464083</v>
      </c>
      <c r="W111">
        <f t="shared" si="155"/>
        <v>0.39752706686323747</v>
      </c>
      <c r="X111">
        <f t="shared" si="117"/>
        <v>0.33265818187212171</v>
      </c>
      <c r="Y111" s="42">
        <f t="shared" si="170"/>
        <v>1.927248223318863</v>
      </c>
      <c r="Z111">
        <f t="shared" si="156"/>
        <v>3.8544964466377261</v>
      </c>
      <c r="AA111">
        <f t="shared" si="119"/>
        <v>3.8544964466377261</v>
      </c>
      <c r="AB111" s="44">
        <f t="shared" si="157"/>
        <v>1.1559521767073289</v>
      </c>
      <c r="AC111" s="42">
        <v>0</v>
      </c>
      <c r="AD111">
        <f t="shared" si="158"/>
        <v>2.6724508696688232E-2</v>
      </c>
      <c r="AE111" s="44">
        <f t="shared" si="120"/>
        <v>2.6724508696688232E-2</v>
      </c>
      <c r="AF111" s="42">
        <f t="shared" si="159"/>
        <v>0.52</v>
      </c>
      <c r="AG111" s="44">
        <f t="shared" si="160"/>
        <v>0.52</v>
      </c>
      <c r="AH111" s="42">
        <f t="shared" si="161"/>
        <v>4.5431664784369996E-2</v>
      </c>
      <c r="AI111">
        <f t="shared" si="162"/>
        <v>0.69445741849457254</v>
      </c>
      <c r="AJ111" s="44">
        <f t="shared" si="121"/>
        <v>0.73988908327894254</v>
      </c>
      <c r="AK111" s="42">
        <f t="shared" si="163"/>
        <v>26</v>
      </c>
      <c r="AL111">
        <f t="shared" si="108"/>
        <v>150</v>
      </c>
      <c r="AM111" s="44">
        <f t="shared" si="171"/>
        <v>0.17333333333333334</v>
      </c>
      <c r="AN111" s="42">
        <f t="shared" si="172"/>
        <v>2</v>
      </c>
      <c r="AO111">
        <f t="shared" si="173"/>
        <v>0.39752706686323752</v>
      </c>
      <c r="AP111">
        <f t="shared" si="174"/>
        <v>0.43602900980064774</v>
      </c>
      <c r="AQ111">
        <f t="shared" si="175"/>
        <v>0.8720580196012957</v>
      </c>
      <c r="AR111">
        <f t="shared" si="142"/>
        <v>0.87205801960129559</v>
      </c>
      <c r="AS111" s="44">
        <f t="shared" si="143"/>
        <v>0.31744471791432488</v>
      </c>
      <c r="AT111" s="42"/>
      <c r="AU111">
        <f t="shared" si="176"/>
        <v>1.5623111111111115E-5</v>
      </c>
      <c r="AV111" s="44">
        <f t="shared" si="144"/>
        <v>1.5623111111111115E-5</v>
      </c>
      <c r="AW111" s="42">
        <f t="shared" si="177"/>
        <v>0.92749999999999999</v>
      </c>
      <c r="AX111">
        <f t="shared" si="178"/>
        <v>0.24266666666666667</v>
      </c>
      <c r="AY111" s="44">
        <f t="shared" si="145"/>
        <v>1.1701666666666666</v>
      </c>
      <c r="AZ111" s="42">
        <f t="shared" si="164"/>
        <v>0</v>
      </c>
      <c r="BA111">
        <f t="shared" si="165"/>
        <v>0</v>
      </c>
      <c r="BB111">
        <f t="shared" si="146"/>
        <v>0</v>
      </c>
      <c r="BC111" s="44">
        <f t="shared" si="179"/>
        <v>0</v>
      </c>
      <c r="BD111" s="42">
        <v>0</v>
      </c>
      <c r="BE111">
        <f t="shared" si="180"/>
        <v>0</v>
      </c>
      <c r="BF111" s="44">
        <f t="shared" si="147"/>
        <v>0</v>
      </c>
      <c r="BG111" s="42">
        <f t="shared" si="181"/>
        <v>0</v>
      </c>
      <c r="BH111">
        <f t="shared" si="182"/>
        <v>0</v>
      </c>
      <c r="BI111" s="44">
        <f t="shared" si="183"/>
        <v>0</v>
      </c>
      <c r="BK111" s="42">
        <f t="shared" si="166"/>
        <v>0</v>
      </c>
      <c r="BL111">
        <f t="shared" si="112"/>
        <v>0</v>
      </c>
      <c r="BM111">
        <f t="shared" si="167"/>
        <v>0</v>
      </c>
      <c r="BN111" s="44">
        <f t="shared" si="150"/>
        <v>0</v>
      </c>
      <c r="BO111" s="42">
        <v>0</v>
      </c>
      <c r="BP111">
        <f t="shared" si="184"/>
        <v>0</v>
      </c>
      <c r="BQ111" s="44">
        <f t="shared" si="148"/>
        <v>0</v>
      </c>
      <c r="BR111" s="42">
        <f t="shared" si="185"/>
        <v>0</v>
      </c>
      <c r="BS111">
        <f t="shared" si="186"/>
        <v>0</v>
      </c>
      <c r="BT111" s="44">
        <f t="shared" si="149"/>
        <v>0</v>
      </c>
      <c r="BU111" s="42">
        <f t="shared" si="168"/>
        <v>2.0043381522516172E-2</v>
      </c>
      <c r="BV111">
        <f t="shared" si="115"/>
        <v>4.3874999999999997E-2</v>
      </c>
      <c r="BW111" s="44">
        <f t="shared" si="169"/>
        <v>2.2499999999999999E-2</v>
      </c>
      <c r="BX111">
        <f t="shared" si="139"/>
        <v>0.54672450869668821</v>
      </c>
      <c r="BY111">
        <f t="shared" si="140"/>
        <v>3.0632142632759245</v>
      </c>
      <c r="BZ111">
        <f t="shared" si="187"/>
        <v>89.460166946687039</v>
      </c>
    </row>
    <row r="112" spans="17:78" x14ac:dyDescent="0.3">
      <c r="Q112">
        <v>105</v>
      </c>
      <c r="R112" s="42">
        <f t="shared" si="151"/>
        <v>26.25</v>
      </c>
      <c r="S112">
        <f t="shared" si="95"/>
        <v>50</v>
      </c>
      <c r="T112" s="44">
        <f t="shared" si="152"/>
        <v>0.52500000000000002</v>
      </c>
      <c r="U112" s="42">
        <f t="shared" si="153"/>
        <v>1</v>
      </c>
      <c r="V112">
        <f t="shared" si="154"/>
        <v>0.27110883423451915</v>
      </c>
      <c r="W112">
        <f t="shared" si="155"/>
        <v>0.39943368243885818</v>
      </c>
      <c r="X112">
        <f t="shared" si="117"/>
        <v>0.32945748332662267</v>
      </c>
      <c r="Y112" s="42">
        <f t="shared" si="170"/>
        <v>1.9364916731037085</v>
      </c>
      <c r="Z112">
        <f t="shared" si="156"/>
        <v>3.8729833462074166</v>
      </c>
      <c r="AA112">
        <f t="shared" si="119"/>
        <v>3.872983346207417</v>
      </c>
      <c r="AB112" s="44">
        <f t="shared" si="157"/>
        <v>1.1642783907522274</v>
      </c>
      <c r="AC112" s="42">
        <v>0</v>
      </c>
      <c r="AD112">
        <f t="shared" si="158"/>
        <v>2.7110883423451925E-2</v>
      </c>
      <c r="AE112" s="44">
        <f t="shared" si="120"/>
        <v>2.7110883423451925E-2</v>
      </c>
      <c r="AF112" s="42">
        <f t="shared" si="159"/>
        <v>0.52500000000000002</v>
      </c>
      <c r="AG112" s="44">
        <f t="shared" si="160"/>
        <v>0.52500000000000002</v>
      </c>
      <c r="AH112" s="42">
        <f t="shared" si="161"/>
        <v>4.6088501819868274E-2</v>
      </c>
      <c r="AI112">
        <f t="shared" si="162"/>
        <v>0.697788168627274</v>
      </c>
      <c r="AJ112" s="44">
        <f t="shared" si="121"/>
        <v>0.74387667044714223</v>
      </c>
      <c r="AK112" s="42">
        <f t="shared" si="163"/>
        <v>26.25</v>
      </c>
      <c r="AL112">
        <f t="shared" si="108"/>
        <v>150</v>
      </c>
      <c r="AM112" s="44">
        <f t="shared" si="171"/>
        <v>0.17499999999999999</v>
      </c>
      <c r="AN112" s="42">
        <f t="shared" si="172"/>
        <v>2</v>
      </c>
      <c r="AO112">
        <f t="shared" si="173"/>
        <v>0.39943368243885818</v>
      </c>
      <c r="AP112">
        <f t="shared" si="174"/>
        <v>0.43812028803251329</v>
      </c>
      <c r="AQ112">
        <f t="shared" si="175"/>
        <v>0.87624057606502637</v>
      </c>
      <c r="AR112">
        <f t="shared" si="142"/>
        <v>0.87624057606502648</v>
      </c>
      <c r="AS112" s="44">
        <f t="shared" si="143"/>
        <v>0.31973124215125803</v>
      </c>
      <c r="AT112" s="42"/>
      <c r="AU112">
        <f t="shared" si="176"/>
        <v>1.5925000000000001E-5</v>
      </c>
      <c r="AV112" s="44">
        <f t="shared" si="144"/>
        <v>1.5925000000000001E-5</v>
      </c>
      <c r="AW112" s="42">
        <f t="shared" si="177"/>
        <v>0.92749999999999999</v>
      </c>
      <c r="AX112">
        <f t="shared" si="178"/>
        <v>0.24499999999999997</v>
      </c>
      <c r="AY112" s="44">
        <f t="shared" si="145"/>
        <v>1.1724999999999999</v>
      </c>
      <c r="AZ112" s="42">
        <f t="shared" si="164"/>
        <v>0</v>
      </c>
      <c r="BA112">
        <f t="shared" si="165"/>
        <v>0</v>
      </c>
      <c r="BB112">
        <f t="shared" si="146"/>
        <v>0</v>
      </c>
      <c r="BC112" s="44">
        <f t="shared" si="179"/>
        <v>0</v>
      </c>
      <c r="BD112" s="42">
        <v>0</v>
      </c>
      <c r="BE112">
        <f t="shared" si="180"/>
        <v>0</v>
      </c>
      <c r="BF112" s="44">
        <f t="shared" si="147"/>
        <v>0</v>
      </c>
      <c r="BG112" s="42">
        <f t="shared" si="181"/>
        <v>0</v>
      </c>
      <c r="BH112">
        <f t="shared" si="182"/>
        <v>0</v>
      </c>
      <c r="BI112" s="44">
        <f t="shared" si="183"/>
        <v>0</v>
      </c>
      <c r="BK112" s="42">
        <f t="shared" si="166"/>
        <v>0</v>
      </c>
      <c r="BL112">
        <f t="shared" si="112"/>
        <v>0</v>
      </c>
      <c r="BM112">
        <f t="shared" si="167"/>
        <v>0</v>
      </c>
      <c r="BN112" s="44">
        <f t="shared" ref="BN112:BN143" si="188">IF(EN_OUT_3=1,BK112/BL112,0)</f>
        <v>0</v>
      </c>
      <c r="BO112" s="42">
        <v>0</v>
      </c>
      <c r="BP112">
        <f t="shared" si="184"/>
        <v>0</v>
      </c>
      <c r="BQ112" s="44">
        <f t="shared" si="148"/>
        <v>0</v>
      </c>
      <c r="BR112" s="42">
        <f t="shared" si="185"/>
        <v>0</v>
      </c>
      <c r="BS112">
        <f t="shared" si="186"/>
        <v>0</v>
      </c>
      <c r="BT112" s="44">
        <f t="shared" si="149"/>
        <v>0</v>
      </c>
      <c r="BU112" s="42">
        <f t="shared" si="168"/>
        <v>2.0333162567588943E-2</v>
      </c>
      <c r="BV112">
        <f t="shared" si="115"/>
        <v>4.3874999999999997E-2</v>
      </c>
      <c r="BW112" s="44">
        <f t="shared" si="169"/>
        <v>2.2499999999999999E-2</v>
      </c>
      <c r="BX112">
        <f t="shared" si="139"/>
        <v>0.55211088342345194</v>
      </c>
      <c r="BY112">
        <f t="shared" si="140"/>
        <v>3.0802116414381828</v>
      </c>
      <c r="BZ112">
        <f t="shared" si="187"/>
        <v>89.498160875571685</v>
      </c>
    </row>
    <row r="113" spans="17:78" x14ac:dyDescent="0.3">
      <c r="Q113">
        <v>106</v>
      </c>
      <c r="R113" s="42">
        <f t="shared" si="151"/>
        <v>26.5</v>
      </c>
      <c r="S113">
        <f t="shared" si="95"/>
        <v>50</v>
      </c>
      <c r="T113" s="44">
        <f t="shared" si="152"/>
        <v>0.53</v>
      </c>
      <c r="U113" s="42">
        <f t="shared" si="153"/>
        <v>1</v>
      </c>
      <c r="V113">
        <f t="shared" si="154"/>
        <v>0.27239676943752472</v>
      </c>
      <c r="W113">
        <f t="shared" si="155"/>
        <v>0.40133124030461975</v>
      </c>
      <c r="X113">
        <f t="shared" si="117"/>
        <v>0.32627199025785558</v>
      </c>
      <c r="Y113" s="42">
        <f t="shared" si="170"/>
        <v>1.9456912102680337</v>
      </c>
      <c r="Z113">
        <f t="shared" si="156"/>
        <v>3.8913824205360674</v>
      </c>
      <c r="AA113">
        <f t="shared" si="119"/>
        <v>3.8913824205360674</v>
      </c>
      <c r="AB113" s="44">
        <f t="shared" si="157"/>
        <v>1.1725848037232718</v>
      </c>
      <c r="AC113" s="42">
        <v>0</v>
      </c>
      <c r="AD113">
        <f t="shared" si="158"/>
        <v>2.7499102438454878E-2</v>
      </c>
      <c r="AE113" s="44">
        <f t="shared" si="120"/>
        <v>2.7499102438454878E-2</v>
      </c>
      <c r="AF113" s="42">
        <f t="shared" si="159"/>
        <v>0.53</v>
      </c>
      <c r="AG113" s="44">
        <f t="shared" si="160"/>
        <v>0.53</v>
      </c>
      <c r="AH113" s="42">
        <f t="shared" si="161"/>
        <v>4.6748474145373295E-2</v>
      </c>
      <c r="AI113">
        <f t="shared" si="162"/>
        <v>0.70110309545049376</v>
      </c>
      <c r="AJ113" s="44">
        <f t="shared" si="121"/>
        <v>0.74785156959586707</v>
      </c>
      <c r="AK113" s="42">
        <f t="shared" si="163"/>
        <v>26.5</v>
      </c>
      <c r="AL113">
        <f t="shared" si="108"/>
        <v>150</v>
      </c>
      <c r="AM113" s="44">
        <f t="shared" si="171"/>
        <v>0.17666666666666667</v>
      </c>
      <c r="AN113" s="42">
        <f t="shared" si="172"/>
        <v>2</v>
      </c>
      <c r="AO113">
        <f t="shared" si="173"/>
        <v>0.40133124030461975</v>
      </c>
      <c r="AP113">
        <f t="shared" si="174"/>
        <v>0.44020163128236056</v>
      </c>
      <c r="AQ113">
        <f t="shared" si="175"/>
        <v>0.88040326256472123</v>
      </c>
      <c r="AR113">
        <f t="shared" si="142"/>
        <v>0.88040326256472112</v>
      </c>
      <c r="AS113" s="44">
        <f t="shared" si="143"/>
        <v>0.32201232866643209</v>
      </c>
      <c r="AT113" s="42"/>
      <c r="AU113">
        <f t="shared" si="176"/>
        <v>1.6229777777777781E-5</v>
      </c>
      <c r="AV113" s="44">
        <f t="shared" si="144"/>
        <v>1.6229777777777781E-5</v>
      </c>
      <c r="AW113" s="42">
        <f t="shared" si="177"/>
        <v>0.92749999999999999</v>
      </c>
      <c r="AX113">
        <f t="shared" si="178"/>
        <v>0.24733333333333332</v>
      </c>
      <c r="AY113" s="44">
        <f t="shared" si="145"/>
        <v>1.1748333333333334</v>
      </c>
      <c r="AZ113" s="42">
        <f t="shared" si="164"/>
        <v>0</v>
      </c>
      <c r="BA113">
        <f t="shared" si="165"/>
        <v>0</v>
      </c>
      <c r="BB113">
        <f t="shared" si="146"/>
        <v>0</v>
      </c>
      <c r="BC113" s="44">
        <f t="shared" si="179"/>
        <v>0</v>
      </c>
      <c r="BD113" s="42">
        <v>0</v>
      </c>
      <c r="BE113">
        <f t="shared" si="180"/>
        <v>0</v>
      </c>
      <c r="BF113" s="44">
        <f t="shared" si="147"/>
        <v>0</v>
      </c>
      <c r="BG113" s="42">
        <f t="shared" si="181"/>
        <v>0</v>
      </c>
      <c r="BH113">
        <f t="shared" si="182"/>
        <v>0</v>
      </c>
      <c r="BI113" s="44">
        <f t="shared" si="183"/>
        <v>0</v>
      </c>
      <c r="BK113" s="42">
        <f t="shared" si="166"/>
        <v>0</v>
      </c>
      <c r="BL113">
        <f t="shared" si="112"/>
        <v>0</v>
      </c>
      <c r="BM113">
        <f t="shared" si="167"/>
        <v>0</v>
      </c>
      <c r="BN113" s="44">
        <f t="shared" si="188"/>
        <v>0</v>
      </c>
      <c r="BO113" s="42">
        <v>0</v>
      </c>
      <c r="BP113">
        <f t="shared" si="184"/>
        <v>0</v>
      </c>
      <c r="BQ113" s="44">
        <f t="shared" si="148"/>
        <v>0</v>
      </c>
      <c r="BR113" s="42">
        <f t="shared" si="185"/>
        <v>0</v>
      </c>
      <c r="BS113">
        <f t="shared" si="186"/>
        <v>0</v>
      </c>
      <c r="BT113" s="44">
        <f t="shared" si="149"/>
        <v>0</v>
      </c>
      <c r="BU113" s="42">
        <f t="shared" si="168"/>
        <v>2.0624326828841157E-2</v>
      </c>
      <c r="BV113">
        <f t="shared" si="115"/>
        <v>4.3874999999999997E-2</v>
      </c>
      <c r="BW113" s="44">
        <f t="shared" si="169"/>
        <v>2.2499999999999999E-2</v>
      </c>
      <c r="BX113">
        <f t="shared" si="139"/>
        <v>0.55749910243845491</v>
      </c>
      <c r="BY113">
        <f t="shared" si="140"/>
        <v>3.097199561974274</v>
      </c>
      <c r="BZ113">
        <f t="shared" si="187"/>
        <v>89.535497926116363</v>
      </c>
    </row>
    <row r="114" spans="17:78" x14ac:dyDescent="0.3">
      <c r="Q114">
        <v>107</v>
      </c>
      <c r="R114" s="42">
        <f t="shared" si="151"/>
        <v>26.75</v>
      </c>
      <c r="S114">
        <f t="shared" si="95"/>
        <v>50</v>
      </c>
      <c r="T114" s="44">
        <f t="shared" si="152"/>
        <v>0.53500000000000003</v>
      </c>
      <c r="U114" s="42">
        <f t="shared" si="153"/>
        <v>1</v>
      </c>
      <c r="V114">
        <f t="shared" si="154"/>
        <v>0.27367864366808015</v>
      </c>
      <c r="W114">
        <f t="shared" si="155"/>
        <v>0.40321986833763807</v>
      </c>
      <c r="X114">
        <f t="shared" si="117"/>
        <v>0.32310148799428179</v>
      </c>
      <c r="Y114" s="42">
        <f t="shared" si="170"/>
        <v>1.9548474547720014</v>
      </c>
      <c r="Z114">
        <f t="shared" si="156"/>
        <v>3.9096949095440019</v>
      </c>
      <c r="AA114">
        <f t="shared" si="119"/>
        <v>3.9096949095440023</v>
      </c>
      <c r="AB114" s="44">
        <f t="shared" si="157"/>
        <v>1.1808716488554944</v>
      </c>
      <c r="AC114" s="42">
        <v>0</v>
      </c>
      <c r="AD114">
        <f t="shared" si="158"/>
        <v>2.7889157021413886E-2</v>
      </c>
      <c r="AE114" s="44">
        <f t="shared" si="120"/>
        <v>2.7889157021413886E-2</v>
      </c>
      <c r="AF114" s="42">
        <f t="shared" si="159"/>
        <v>0.53500000000000003</v>
      </c>
      <c r="AG114" s="44">
        <f t="shared" si="160"/>
        <v>0.53500000000000003</v>
      </c>
      <c r="AH114" s="42">
        <f t="shared" si="161"/>
        <v>4.7411566936403603E-2</v>
      </c>
      <c r="AI114">
        <f t="shared" si="162"/>
        <v>0.70440242235835859</v>
      </c>
      <c r="AJ114" s="44">
        <f t="shared" si="121"/>
        <v>0.75181398929476217</v>
      </c>
      <c r="AK114" s="42">
        <f t="shared" si="163"/>
        <v>26.75</v>
      </c>
      <c r="AL114">
        <f t="shared" si="108"/>
        <v>150</v>
      </c>
      <c r="AM114" s="44">
        <f t="shared" si="171"/>
        <v>0.17833333333333334</v>
      </c>
      <c r="AN114" s="42">
        <f t="shared" si="172"/>
        <v>2</v>
      </c>
      <c r="AO114">
        <f t="shared" si="173"/>
        <v>0.40321986833763812</v>
      </c>
      <c r="AP114">
        <f t="shared" si="174"/>
        <v>0.44227317981267</v>
      </c>
      <c r="AQ114">
        <f t="shared" si="175"/>
        <v>0.88454635962534001</v>
      </c>
      <c r="AR114">
        <f t="shared" si="142"/>
        <v>0.88454635962534001</v>
      </c>
      <c r="AS114" s="44">
        <f t="shared" si="143"/>
        <v>0.32428804151027241</v>
      </c>
      <c r="AT114" s="42"/>
      <c r="AU114">
        <f t="shared" si="176"/>
        <v>1.6537444444444451E-5</v>
      </c>
      <c r="AV114" s="44">
        <f t="shared" si="144"/>
        <v>1.6537444444444451E-5</v>
      </c>
      <c r="AW114" s="42">
        <f t="shared" si="177"/>
        <v>0.92749999999999999</v>
      </c>
      <c r="AX114">
        <f t="shared" si="178"/>
        <v>0.24966666666666668</v>
      </c>
      <c r="AY114" s="44">
        <f t="shared" si="145"/>
        <v>1.1771666666666667</v>
      </c>
      <c r="AZ114" s="42">
        <f t="shared" si="164"/>
        <v>0</v>
      </c>
      <c r="BA114">
        <f t="shared" si="165"/>
        <v>0</v>
      </c>
      <c r="BB114">
        <f t="shared" si="146"/>
        <v>0</v>
      </c>
      <c r="BC114" s="44">
        <f t="shared" si="179"/>
        <v>0</v>
      </c>
      <c r="BD114" s="42">
        <v>0</v>
      </c>
      <c r="BE114">
        <f t="shared" si="180"/>
        <v>0</v>
      </c>
      <c r="BF114" s="44">
        <f t="shared" si="147"/>
        <v>0</v>
      </c>
      <c r="BG114" s="42">
        <f t="shared" si="181"/>
        <v>0</v>
      </c>
      <c r="BH114">
        <f t="shared" si="182"/>
        <v>0</v>
      </c>
      <c r="BI114" s="44">
        <f t="shared" si="183"/>
        <v>0</v>
      </c>
      <c r="BK114" s="42">
        <f t="shared" si="166"/>
        <v>0</v>
      </c>
      <c r="BL114">
        <f t="shared" si="112"/>
        <v>0</v>
      </c>
      <c r="BM114">
        <f t="shared" si="167"/>
        <v>0</v>
      </c>
      <c r="BN114" s="44">
        <f t="shared" si="188"/>
        <v>0</v>
      </c>
      <c r="BO114" s="42">
        <v>0</v>
      </c>
      <c r="BP114">
        <f t="shared" si="184"/>
        <v>0</v>
      </c>
      <c r="BQ114" s="44">
        <f t="shared" si="148"/>
        <v>0</v>
      </c>
      <c r="BR114" s="42">
        <f t="shared" si="185"/>
        <v>0</v>
      </c>
      <c r="BS114">
        <f t="shared" si="186"/>
        <v>0</v>
      </c>
      <c r="BT114" s="44">
        <f t="shared" si="149"/>
        <v>0</v>
      </c>
      <c r="BU114" s="42">
        <f t="shared" si="168"/>
        <v>2.0916867766060412E-2</v>
      </c>
      <c r="BV114">
        <f t="shared" si="115"/>
        <v>4.3874999999999997E-2</v>
      </c>
      <c r="BW114" s="44">
        <f t="shared" si="169"/>
        <v>2.2499999999999999E-2</v>
      </c>
      <c r="BX114">
        <f t="shared" si="139"/>
        <v>0.56288915702141396</v>
      </c>
      <c r="BY114">
        <f t="shared" si="140"/>
        <v>3.1141782181933477</v>
      </c>
      <c r="BZ114">
        <f t="shared" si="187"/>
        <v>89.572195171618077</v>
      </c>
    </row>
    <row r="115" spans="17:78" x14ac:dyDescent="0.3">
      <c r="Q115">
        <v>108</v>
      </c>
      <c r="R115" s="42">
        <f t="shared" si="151"/>
        <v>27</v>
      </c>
      <c r="S115">
        <f t="shared" si="95"/>
        <v>50</v>
      </c>
      <c r="T115" s="44">
        <f t="shared" si="152"/>
        <v>0.54</v>
      </c>
      <c r="U115" s="42">
        <f t="shared" si="153"/>
        <v>1</v>
      </c>
      <c r="V115">
        <f t="shared" si="154"/>
        <v>0.2749545416973504</v>
      </c>
      <c r="W115">
        <f t="shared" si="155"/>
        <v>0.40509969143409624</v>
      </c>
      <c r="X115">
        <f t="shared" si="117"/>
        <v>0.31994576686855331</v>
      </c>
      <c r="Y115" s="42">
        <f t="shared" si="170"/>
        <v>1.9639610121239315</v>
      </c>
      <c r="Z115">
        <f t="shared" si="156"/>
        <v>3.927922024247863</v>
      </c>
      <c r="AA115">
        <f t="shared" si="119"/>
        <v>3.927922024247863</v>
      </c>
      <c r="AB115" s="44">
        <f t="shared" si="157"/>
        <v>1.1891391544849705</v>
      </c>
      <c r="AC115" s="42">
        <v>0</v>
      </c>
      <c r="AD115">
        <f t="shared" si="158"/>
        <v>2.828103857458461E-2</v>
      </c>
      <c r="AE115" s="44">
        <f t="shared" si="120"/>
        <v>2.828103857458461E-2</v>
      </c>
      <c r="AF115" s="42">
        <f t="shared" si="159"/>
        <v>0.54</v>
      </c>
      <c r="AG115" s="44">
        <f t="shared" si="160"/>
        <v>0.54</v>
      </c>
      <c r="AH115" s="42">
        <f t="shared" si="161"/>
        <v>4.8077765576793843E-2</v>
      </c>
      <c r="AI115">
        <f t="shared" si="162"/>
        <v>0.70768636753747227</v>
      </c>
      <c r="AJ115" s="44">
        <f t="shared" si="121"/>
        <v>0.75576413311426616</v>
      </c>
      <c r="AK115" s="42">
        <f t="shared" si="163"/>
        <v>27</v>
      </c>
      <c r="AL115">
        <f t="shared" si="108"/>
        <v>150</v>
      </c>
      <c r="AM115" s="44">
        <f t="shared" si="171"/>
        <v>0.18</v>
      </c>
      <c r="AN115" s="42">
        <f t="shared" si="172"/>
        <v>2</v>
      </c>
      <c r="AO115">
        <f t="shared" si="173"/>
        <v>0.40509969143409624</v>
      </c>
      <c r="AP115">
        <f t="shared" si="174"/>
        <v>0.44433507061627409</v>
      </c>
      <c r="AQ115">
        <f t="shared" si="175"/>
        <v>0.88867014123254817</v>
      </c>
      <c r="AR115">
        <f t="shared" si="142"/>
        <v>0.88867014123254817</v>
      </c>
      <c r="AS115" s="44">
        <f t="shared" si="143"/>
        <v>0.32655844338786549</v>
      </c>
      <c r="AT115" s="42"/>
      <c r="AU115">
        <f t="shared" si="176"/>
        <v>1.6848000000000002E-5</v>
      </c>
      <c r="AV115" s="44">
        <f t="shared" si="144"/>
        <v>1.6848000000000002E-5</v>
      </c>
      <c r="AW115" s="42">
        <f t="shared" si="177"/>
        <v>0.92749999999999999</v>
      </c>
      <c r="AX115">
        <f t="shared" si="178"/>
        <v>0.252</v>
      </c>
      <c r="AY115" s="44">
        <f t="shared" si="145"/>
        <v>1.1795</v>
      </c>
      <c r="AZ115" s="42">
        <f t="shared" si="164"/>
        <v>0</v>
      </c>
      <c r="BA115">
        <f t="shared" si="165"/>
        <v>0</v>
      </c>
      <c r="BB115">
        <f t="shared" si="146"/>
        <v>0</v>
      </c>
      <c r="BC115" s="44">
        <f t="shared" si="179"/>
        <v>0</v>
      </c>
      <c r="BD115" s="42">
        <v>0</v>
      </c>
      <c r="BE115">
        <f t="shared" si="180"/>
        <v>0</v>
      </c>
      <c r="BF115" s="44">
        <f t="shared" si="147"/>
        <v>0</v>
      </c>
      <c r="BG115" s="42">
        <f t="shared" si="181"/>
        <v>0</v>
      </c>
      <c r="BH115">
        <f t="shared" si="182"/>
        <v>0</v>
      </c>
      <c r="BI115" s="44">
        <f t="shared" si="183"/>
        <v>0</v>
      </c>
      <c r="BK115" s="42">
        <f t="shared" si="166"/>
        <v>0</v>
      </c>
      <c r="BL115">
        <f t="shared" si="112"/>
        <v>0</v>
      </c>
      <c r="BM115">
        <f t="shared" si="167"/>
        <v>0</v>
      </c>
      <c r="BN115" s="44">
        <f t="shared" si="188"/>
        <v>0</v>
      </c>
      <c r="BO115" s="42">
        <v>0</v>
      </c>
      <c r="BP115">
        <f t="shared" si="184"/>
        <v>0</v>
      </c>
      <c r="BQ115" s="44">
        <f t="shared" si="148"/>
        <v>0</v>
      </c>
      <c r="BR115" s="42">
        <f t="shared" si="185"/>
        <v>0</v>
      </c>
      <c r="BS115">
        <f t="shared" si="186"/>
        <v>0</v>
      </c>
      <c r="BT115" s="44">
        <f t="shared" si="149"/>
        <v>0</v>
      </c>
      <c r="BU115" s="42">
        <f t="shared" si="168"/>
        <v>2.1210778930938458E-2</v>
      </c>
      <c r="BV115">
        <f t="shared" si="115"/>
        <v>4.3874999999999997E-2</v>
      </c>
      <c r="BW115" s="44">
        <f t="shared" si="169"/>
        <v>2.2499999999999999E-2</v>
      </c>
      <c r="BX115">
        <f t="shared" si="139"/>
        <v>0.56828103857458467</v>
      </c>
      <c r="BY115">
        <f t="shared" si="140"/>
        <v>3.1311477986197893</v>
      </c>
      <c r="BZ115">
        <f t="shared" si="187"/>
        <v>89.608269092346973</v>
      </c>
    </row>
    <row r="116" spans="17:78" x14ac:dyDescent="0.3">
      <c r="Q116">
        <v>109</v>
      </c>
      <c r="R116" s="42">
        <f t="shared" si="151"/>
        <v>27.25</v>
      </c>
      <c r="S116">
        <f t="shared" si="95"/>
        <v>50</v>
      </c>
      <c r="T116" s="44">
        <f t="shared" si="152"/>
        <v>0.54500000000000004</v>
      </c>
      <c r="U116" s="42">
        <f t="shared" si="153"/>
        <v>1</v>
      </c>
      <c r="V116">
        <f t="shared" si="154"/>
        <v>0.27622454633866267</v>
      </c>
      <c r="W116">
        <f t="shared" si="155"/>
        <v>0.40697083160562969</v>
      </c>
      <c r="X116">
        <f t="shared" si="117"/>
        <v>0.31680462205570764</v>
      </c>
      <c r="Y116" s="42">
        <f t="shared" si="170"/>
        <v>1.9730324738475906</v>
      </c>
      <c r="Z116">
        <f t="shared" si="156"/>
        <v>3.9460649476951808</v>
      </c>
      <c r="AA116">
        <f t="shared" si="119"/>
        <v>3.9460649476951808</v>
      </c>
      <c r="AB116" s="44">
        <f t="shared" si="157"/>
        <v>1.1973875441960784</v>
      </c>
      <c r="AC116" s="42">
        <v>0</v>
      </c>
      <c r="AD116">
        <f t="shared" si="158"/>
        <v>2.8674738619918313E-2</v>
      </c>
      <c r="AE116" s="44">
        <f t="shared" si="120"/>
        <v>2.8674738619918313E-2</v>
      </c>
      <c r="AF116" s="42">
        <f t="shared" si="159"/>
        <v>0.54500000000000004</v>
      </c>
      <c r="AG116" s="44">
        <f t="shared" si="160"/>
        <v>0.54500000000000004</v>
      </c>
      <c r="AH116" s="42">
        <f t="shared" si="161"/>
        <v>4.8747055653861136E-2</v>
      </c>
      <c r="AI116">
        <f t="shared" si="162"/>
        <v>0.71095514413529726</v>
      </c>
      <c r="AJ116" s="44">
        <f t="shared" si="121"/>
        <v>0.75970219978915843</v>
      </c>
      <c r="AK116" s="42">
        <f t="shared" si="163"/>
        <v>27.25</v>
      </c>
      <c r="AL116">
        <f t="shared" si="108"/>
        <v>150</v>
      </c>
      <c r="AM116" s="44">
        <f t="shared" si="171"/>
        <v>0.18166666666666667</v>
      </c>
      <c r="AN116" s="42">
        <f t="shared" si="172"/>
        <v>2</v>
      </c>
      <c r="AO116">
        <f t="shared" si="173"/>
        <v>0.40697083160562958</v>
      </c>
      <c r="AP116">
        <f t="shared" si="174"/>
        <v>0.44638743752207938</v>
      </c>
      <c r="AQ116">
        <f t="shared" si="175"/>
        <v>0.89277487504415853</v>
      </c>
      <c r="AR116">
        <f t="shared" si="142"/>
        <v>0.89277487504415864</v>
      </c>
      <c r="AS116" s="44">
        <f t="shared" si="143"/>
        <v>0.32882359569939851</v>
      </c>
      <c r="AT116" s="42"/>
      <c r="AU116">
        <f t="shared" si="176"/>
        <v>1.7161444444444447E-5</v>
      </c>
      <c r="AV116" s="44">
        <f t="shared" si="144"/>
        <v>1.7161444444444447E-5</v>
      </c>
      <c r="AW116" s="42">
        <f t="shared" si="177"/>
        <v>0.92749999999999999</v>
      </c>
      <c r="AX116">
        <f t="shared" si="178"/>
        <v>0.2543333333333333</v>
      </c>
      <c r="AY116" s="44">
        <f t="shared" si="145"/>
        <v>1.1818333333333333</v>
      </c>
      <c r="AZ116" s="42">
        <f t="shared" si="164"/>
        <v>0</v>
      </c>
      <c r="BA116">
        <f t="shared" si="165"/>
        <v>0</v>
      </c>
      <c r="BB116">
        <f t="shared" si="146"/>
        <v>0</v>
      </c>
      <c r="BC116" s="44">
        <f t="shared" si="179"/>
        <v>0</v>
      </c>
      <c r="BD116" s="42">
        <v>0</v>
      </c>
      <c r="BE116">
        <f t="shared" si="180"/>
        <v>0</v>
      </c>
      <c r="BF116" s="44">
        <f t="shared" si="147"/>
        <v>0</v>
      </c>
      <c r="BG116" s="42">
        <f t="shared" si="181"/>
        <v>0</v>
      </c>
      <c r="BH116">
        <f t="shared" si="182"/>
        <v>0</v>
      </c>
      <c r="BI116" s="44">
        <f t="shared" si="183"/>
        <v>0</v>
      </c>
      <c r="BK116" s="42">
        <f t="shared" si="166"/>
        <v>0</v>
      </c>
      <c r="BL116">
        <f t="shared" si="112"/>
        <v>0</v>
      </c>
      <c r="BM116">
        <f t="shared" si="167"/>
        <v>0</v>
      </c>
      <c r="BN116" s="44">
        <f t="shared" si="188"/>
        <v>0</v>
      </c>
      <c r="BO116" s="42">
        <v>0</v>
      </c>
      <c r="BP116">
        <f t="shared" si="184"/>
        <v>0</v>
      </c>
      <c r="BQ116" s="44">
        <f t="shared" si="148"/>
        <v>0</v>
      </c>
      <c r="BR116" s="42">
        <f t="shared" si="185"/>
        <v>0</v>
      </c>
      <c r="BS116">
        <f t="shared" si="186"/>
        <v>0</v>
      </c>
      <c r="BT116" s="44">
        <f t="shared" si="149"/>
        <v>0</v>
      </c>
      <c r="BU116" s="42">
        <f t="shared" si="168"/>
        <v>2.1506053964938734E-2</v>
      </c>
      <c r="BV116">
        <f t="shared" si="115"/>
        <v>4.3874999999999997E-2</v>
      </c>
      <c r="BW116" s="44">
        <f t="shared" si="169"/>
        <v>2.2499999999999999E-2</v>
      </c>
      <c r="BX116">
        <f t="shared" si="139"/>
        <v>0.57367473861991836</v>
      </c>
      <c r="BY116">
        <f t="shared" si="140"/>
        <v>3.1481084871517928</v>
      </c>
      <c r="BZ116">
        <f t="shared" si="187"/>
        <v>89.643735601238532</v>
      </c>
    </row>
    <row r="117" spans="17:78" x14ac:dyDescent="0.3">
      <c r="Q117">
        <v>110</v>
      </c>
      <c r="R117" s="42">
        <f t="shared" si="151"/>
        <v>27.5</v>
      </c>
      <c r="S117">
        <f t="shared" si="95"/>
        <v>50</v>
      </c>
      <c r="T117" s="44">
        <f t="shared" si="152"/>
        <v>0.55000000000000004</v>
      </c>
      <c r="U117" s="42">
        <f t="shared" si="153"/>
        <v>1</v>
      </c>
      <c r="V117">
        <f t="shared" si="154"/>
        <v>0.27748873851023215</v>
      </c>
      <c r="W117">
        <f t="shared" si="155"/>
        <v>0.40883340807174201</v>
      </c>
      <c r="X117">
        <f t="shared" si="117"/>
        <v>0.31367785341802584</v>
      </c>
      <c r="Y117" s="42">
        <f t="shared" si="170"/>
        <v>1.9820624179302297</v>
      </c>
      <c r="Z117">
        <f t="shared" si="156"/>
        <v>3.9641248358604595</v>
      </c>
      <c r="AA117">
        <f t="shared" si="119"/>
        <v>3.9641248358604595</v>
      </c>
      <c r="AB117" s="44">
        <f t="shared" si="157"/>
        <v>1.2056170369630241</v>
      </c>
      <c r="AC117" s="42">
        <v>0</v>
      </c>
      <c r="AD117">
        <f t="shared" si="158"/>
        <v>2.9070248796310039E-2</v>
      </c>
      <c r="AE117" s="44">
        <f t="shared" si="120"/>
        <v>2.9070248796310039E-2</v>
      </c>
      <c r="AF117" s="42">
        <f t="shared" si="159"/>
        <v>0.55000000000000004</v>
      </c>
      <c r="AG117" s="44">
        <f t="shared" si="160"/>
        <v>0.55000000000000004</v>
      </c>
      <c r="AH117" s="42">
        <f t="shared" si="161"/>
        <v>4.9419422953727067E-2</v>
      </c>
      <c r="AI117">
        <f t="shared" si="162"/>
        <v>0.71420896042159843</v>
      </c>
      <c r="AJ117" s="44">
        <f t="shared" si="121"/>
        <v>0.76362838337532546</v>
      </c>
      <c r="AK117" s="42">
        <f t="shared" si="163"/>
        <v>27.5</v>
      </c>
      <c r="AL117">
        <f t="shared" si="108"/>
        <v>150</v>
      </c>
      <c r="AM117" s="44">
        <f t="shared" si="171"/>
        <v>0.18333333333333332</v>
      </c>
      <c r="AN117" s="42">
        <f t="shared" si="172"/>
        <v>2</v>
      </c>
      <c r="AO117">
        <f t="shared" si="173"/>
        <v>0.40883340807174201</v>
      </c>
      <c r="AP117">
        <f t="shared" si="174"/>
        <v>0.44843041129643207</v>
      </c>
      <c r="AQ117">
        <f t="shared" si="175"/>
        <v>0.89686082259286415</v>
      </c>
      <c r="AR117">
        <f t="shared" si="142"/>
        <v>0.89686082259286415</v>
      </c>
      <c r="AS117" s="44">
        <f t="shared" si="143"/>
        <v>0.33108355857902411</v>
      </c>
      <c r="AT117" s="42"/>
      <c r="AU117">
        <f t="shared" si="176"/>
        <v>1.7477777777777776E-5</v>
      </c>
      <c r="AV117" s="44">
        <f t="shared" si="144"/>
        <v>1.7477777777777776E-5</v>
      </c>
      <c r="AW117" s="42">
        <f t="shared" si="177"/>
        <v>0.92749999999999999</v>
      </c>
      <c r="AX117">
        <f t="shared" si="178"/>
        <v>0.25666666666666665</v>
      </c>
      <c r="AY117" s="44">
        <f t="shared" si="145"/>
        <v>1.1841666666666666</v>
      </c>
      <c r="AZ117" s="42">
        <f t="shared" si="164"/>
        <v>0</v>
      </c>
      <c r="BA117">
        <f t="shared" si="165"/>
        <v>0</v>
      </c>
      <c r="BB117">
        <f t="shared" si="146"/>
        <v>0</v>
      </c>
      <c r="BC117" s="44">
        <f t="shared" si="179"/>
        <v>0</v>
      </c>
      <c r="BD117" s="42">
        <v>0</v>
      </c>
      <c r="BE117">
        <f t="shared" si="180"/>
        <v>0</v>
      </c>
      <c r="BF117" s="44">
        <f t="shared" si="147"/>
        <v>0</v>
      </c>
      <c r="BG117" s="42">
        <f t="shared" si="181"/>
        <v>0</v>
      </c>
      <c r="BH117">
        <f t="shared" si="182"/>
        <v>0</v>
      </c>
      <c r="BI117" s="44">
        <f t="shared" si="183"/>
        <v>0</v>
      </c>
      <c r="BK117" s="42">
        <f t="shared" si="166"/>
        <v>0</v>
      </c>
      <c r="BL117">
        <f t="shared" si="112"/>
        <v>0</v>
      </c>
      <c r="BM117">
        <f t="shared" si="167"/>
        <v>0</v>
      </c>
      <c r="BN117" s="44">
        <f t="shared" si="188"/>
        <v>0</v>
      </c>
      <c r="BO117" s="42">
        <v>0</v>
      </c>
      <c r="BP117">
        <f t="shared" si="184"/>
        <v>0</v>
      </c>
      <c r="BQ117" s="44">
        <f t="shared" si="148"/>
        <v>0</v>
      </c>
      <c r="BR117" s="42">
        <f t="shared" si="185"/>
        <v>0</v>
      </c>
      <c r="BS117">
        <f t="shared" si="186"/>
        <v>0</v>
      </c>
      <c r="BT117" s="44">
        <f t="shared" si="149"/>
        <v>0</v>
      </c>
      <c r="BU117" s="42">
        <f t="shared" si="168"/>
        <v>2.1802686597232529E-2</v>
      </c>
      <c r="BV117">
        <f t="shared" si="115"/>
        <v>4.3874999999999997E-2</v>
      </c>
      <c r="BW117" s="44">
        <f t="shared" si="169"/>
        <v>2.2499999999999999E-2</v>
      </c>
      <c r="BX117">
        <f t="shared" si="139"/>
        <v>0.57907024879631008</v>
      </c>
      <c r="BY117">
        <f t="shared" si="140"/>
        <v>3.1650604632133126</v>
      </c>
      <c r="BZ117">
        <f t="shared" si="187"/>
        <v>89.678610068255992</v>
      </c>
    </row>
    <row r="118" spans="17:78" x14ac:dyDescent="0.3">
      <c r="Q118">
        <v>111</v>
      </c>
      <c r="R118" s="42">
        <f t="shared" si="151"/>
        <v>27.75</v>
      </c>
      <c r="S118">
        <f t="shared" si="95"/>
        <v>50</v>
      </c>
      <c r="T118" s="44">
        <f t="shared" si="152"/>
        <v>0.55500000000000005</v>
      </c>
      <c r="U118" s="42">
        <f t="shared" si="153"/>
        <v>1</v>
      </c>
      <c r="V118">
        <f t="shared" si="154"/>
        <v>0.2787471972953271</v>
      </c>
      <c r="W118">
        <f t="shared" si="155"/>
        <v>0.41068753734844859</v>
      </c>
      <c r="X118">
        <f t="shared" si="117"/>
        <v>0.31056526535622436</v>
      </c>
      <c r="Y118" s="42">
        <f t="shared" si="170"/>
        <v>1.9910514092523361</v>
      </c>
      <c r="Z118">
        <f t="shared" si="156"/>
        <v>3.9821028185046727</v>
      </c>
      <c r="AA118">
        <f t="shared" si="119"/>
        <v>3.9821028185046723</v>
      </c>
      <c r="AB118" s="44">
        <f t="shared" si="157"/>
        <v>1.2138278472859028</v>
      </c>
      <c r="AC118" s="42">
        <v>0</v>
      </c>
      <c r="AD118">
        <f t="shared" si="158"/>
        <v>2.9467560856934579E-2</v>
      </c>
      <c r="AE118" s="44">
        <f t="shared" si="120"/>
        <v>2.9467560856934579E-2</v>
      </c>
      <c r="AF118" s="42">
        <f t="shared" si="159"/>
        <v>0.55500000000000005</v>
      </c>
      <c r="AG118" s="44">
        <f t="shared" si="160"/>
        <v>0.55500000000000005</v>
      </c>
      <c r="AH118" s="42">
        <f t="shared" si="161"/>
        <v>5.0094853456788789E-2</v>
      </c>
      <c r="AI118">
        <f t="shared" si="162"/>
        <v>0.71744801994329832</v>
      </c>
      <c r="AJ118" s="44">
        <f t="shared" si="121"/>
        <v>0.76754287340008709</v>
      </c>
      <c r="AK118" s="42">
        <f t="shared" si="163"/>
        <v>27.75</v>
      </c>
      <c r="AL118">
        <f t="shared" si="108"/>
        <v>150</v>
      </c>
      <c r="AM118" s="44">
        <f t="shared" si="171"/>
        <v>0.185</v>
      </c>
      <c r="AN118" s="42">
        <f t="shared" si="172"/>
        <v>2</v>
      </c>
      <c r="AO118">
        <f t="shared" si="173"/>
        <v>0.41068753734844865</v>
      </c>
      <c r="AP118">
        <f t="shared" si="174"/>
        <v>0.4504641197403475</v>
      </c>
      <c r="AQ118">
        <f t="shared" si="175"/>
        <v>0.90092823948069545</v>
      </c>
      <c r="AR118">
        <f t="shared" si="142"/>
        <v>0.90092823948069523</v>
      </c>
      <c r="AS118" s="44">
        <f t="shared" si="143"/>
        <v>0.33333839093222628</v>
      </c>
      <c r="AT118" s="42"/>
      <c r="AU118">
        <f t="shared" si="176"/>
        <v>1.7797000000000003E-5</v>
      </c>
      <c r="AV118" s="44">
        <f t="shared" si="144"/>
        <v>1.7797000000000003E-5</v>
      </c>
      <c r="AW118" s="42">
        <f t="shared" si="177"/>
        <v>0.92749999999999999</v>
      </c>
      <c r="AX118">
        <f t="shared" si="178"/>
        <v>0.25900000000000001</v>
      </c>
      <c r="AY118" s="44">
        <f t="shared" si="145"/>
        <v>1.1865000000000001</v>
      </c>
      <c r="AZ118" s="42">
        <f t="shared" si="164"/>
        <v>0</v>
      </c>
      <c r="BA118">
        <f t="shared" si="165"/>
        <v>0</v>
      </c>
      <c r="BB118">
        <f t="shared" si="146"/>
        <v>0</v>
      </c>
      <c r="BC118" s="44">
        <f t="shared" si="179"/>
        <v>0</v>
      </c>
      <c r="BD118" s="42">
        <v>0</v>
      </c>
      <c r="BE118">
        <f t="shared" si="180"/>
        <v>0</v>
      </c>
      <c r="BF118" s="44">
        <f t="shared" si="147"/>
        <v>0</v>
      </c>
      <c r="BG118" s="42">
        <f t="shared" si="181"/>
        <v>0</v>
      </c>
      <c r="BH118">
        <f t="shared" si="182"/>
        <v>0</v>
      </c>
      <c r="BI118" s="44">
        <f t="shared" si="183"/>
        <v>0</v>
      </c>
      <c r="BK118" s="42">
        <f t="shared" si="166"/>
        <v>0</v>
      </c>
      <c r="BL118">
        <f t="shared" si="112"/>
        <v>0</v>
      </c>
      <c r="BM118">
        <f t="shared" si="167"/>
        <v>0</v>
      </c>
      <c r="BN118" s="44">
        <f t="shared" si="188"/>
        <v>0</v>
      </c>
      <c r="BO118" s="42">
        <v>0</v>
      </c>
      <c r="BP118">
        <f t="shared" si="184"/>
        <v>0</v>
      </c>
      <c r="BQ118" s="44">
        <f t="shared" si="148"/>
        <v>0</v>
      </c>
      <c r="BR118" s="42">
        <f t="shared" si="185"/>
        <v>0</v>
      </c>
      <c r="BS118">
        <f t="shared" si="186"/>
        <v>0</v>
      </c>
      <c r="BT118" s="44">
        <f t="shared" si="149"/>
        <v>0</v>
      </c>
      <c r="BU118" s="42">
        <f t="shared" si="168"/>
        <v>2.2100670642700933E-2</v>
      </c>
      <c r="BV118">
        <f t="shared" si="115"/>
        <v>4.3874999999999997E-2</v>
      </c>
      <c r="BW118" s="44">
        <f t="shared" si="169"/>
        <v>2.2499999999999999E-2</v>
      </c>
      <c r="BX118">
        <f t="shared" si="139"/>
        <v>0.58446756085693463</v>
      </c>
      <c r="BY118">
        <f t="shared" si="140"/>
        <v>3.1820039018997228</v>
      </c>
      <c r="BZ118">
        <f t="shared" si="187"/>
        <v>89.712907343502906</v>
      </c>
    </row>
    <row r="119" spans="17:78" x14ac:dyDescent="0.3">
      <c r="Q119">
        <v>112</v>
      </c>
      <c r="R119" s="42">
        <f t="shared" si="151"/>
        <v>28</v>
      </c>
      <c r="S119">
        <f t="shared" si="95"/>
        <v>50</v>
      </c>
      <c r="T119" s="44">
        <f t="shared" si="152"/>
        <v>0.56000000000000005</v>
      </c>
      <c r="U119" s="42">
        <f t="shared" si="153"/>
        <v>1</v>
      </c>
      <c r="V119">
        <f t="shared" si="154"/>
        <v>0.27999999999999997</v>
      </c>
      <c r="W119">
        <f t="shared" si="155"/>
        <v>0.41253333333333331</v>
      </c>
      <c r="X119">
        <f t="shared" si="117"/>
        <v>0.30746666666666667</v>
      </c>
      <c r="Y119" s="42">
        <f t="shared" si="170"/>
        <v>2.0000000000000004</v>
      </c>
      <c r="Z119">
        <f t="shared" si="156"/>
        <v>3.9999999999999996</v>
      </c>
      <c r="AA119">
        <f t="shared" si="119"/>
        <v>4</v>
      </c>
      <c r="AB119" s="44">
        <f t="shared" si="157"/>
        <v>1.2220201853215573</v>
      </c>
      <c r="AC119" s="42">
        <v>0</v>
      </c>
      <c r="AD119">
        <f t="shared" si="158"/>
        <v>2.9866666666666663E-2</v>
      </c>
      <c r="AE119" s="44">
        <f t="shared" si="120"/>
        <v>2.9866666666666663E-2</v>
      </c>
      <c r="AF119" s="42">
        <f t="shared" si="159"/>
        <v>0.56000000000000005</v>
      </c>
      <c r="AG119" s="44">
        <f t="shared" si="160"/>
        <v>0.56000000000000005</v>
      </c>
      <c r="AH119" s="42">
        <f t="shared" si="161"/>
        <v>5.077333333333333E-2</v>
      </c>
      <c r="AI119">
        <f t="shared" si="162"/>
        <v>0.72067252167306817</v>
      </c>
      <c r="AJ119" s="44">
        <f t="shared" si="121"/>
        <v>0.7714458550064015</v>
      </c>
      <c r="AK119" s="42">
        <f t="shared" si="163"/>
        <v>28</v>
      </c>
      <c r="AL119">
        <f t="shared" si="108"/>
        <v>150</v>
      </c>
      <c r="AM119" s="44">
        <f t="shared" si="171"/>
        <v>0.18666666666666668</v>
      </c>
      <c r="AN119" s="42">
        <f t="shared" si="172"/>
        <v>2</v>
      </c>
      <c r="AO119">
        <f t="shared" si="173"/>
        <v>0.4125333333333332</v>
      </c>
      <c r="AP119">
        <f t="shared" si="174"/>
        <v>0.4524886877828056</v>
      </c>
      <c r="AQ119">
        <f t="shared" si="175"/>
        <v>0.90497737556561064</v>
      </c>
      <c r="AR119">
        <f t="shared" si="142"/>
        <v>0.90497737556561098</v>
      </c>
      <c r="AS119" s="44">
        <f t="shared" si="143"/>
        <v>0.33558815047175589</v>
      </c>
      <c r="AT119" s="42"/>
      <c r="AU119">
        <f t="shared" si="176"/>
        <v>1.8119111111111116E-5</v>
      </c>
      <c r="AV119" s="44">
        <f t="shared" si="144"/>
        <v>1.8119111111111116E-5</v>
      </c>
      <c r="AW119" s="42">
        <f t="shared" si="177"/>
        <v>0.92749999999999999</v>
      </c>
      <c r="AX119">
        <f t="shared" si="178"/>
        <v>0.26133333333333331</v>
      </c>
      <c r="AY119" s="44">
        <f t="shared" si="145"/>
        <v>1.1888333333333332</v>
      </c>
      <c r="AZ119" s="42">
        <f t="shared" si="164"/>
        <v>0</v>
      </c>
      <c r="BA119">
        <f t="shared" si="165"/>
        <v>0</v>
      </c>
      <c r="BB119">
        <f t="shared" si="146"/>
        <v>0</v>
      </c>
      <c r="BC119" s="44">
        <f t="shared" si="179"/>
        <v>0</v>
      </c>
      <c r="BD119" s="42">
        <v>0</v>
      </c>
      <c r="BE119">
        <f t="shared" si="180"/>
        <v>0</v>
      </c>
      <c r="BF119" s="44">
        <f t="shared" si="147"/>
        <v>0</v>
      </c>
      <c r="BG119" s="42">
        <f t="shared" si="181"/>
        <v>0</v>
      </c>
      <c r="BH119">
        <f t="shared" si="182"/>
        <v>0</v>
      </c>
      <c r="BI119" s="44">
        <f t="shared" si="183"/>
        <v>0</v>
      </c>
      <c r="BK119" s="42">
        <f t="shared" si="166"/>
        <v>0</v>
      </c>
      <c r="BL119">
        <f t="shared" si="112"/>
        <v>0</v>
      </c>
      <c r="BM119">
        <f t="shared" si="167"/>
        <v>0</v>
      </c>
      <c r="BN119" s="44">
        <f t="shared" si="188"/>
        <v>0</v>
      </c>
      <c r="BO119" s="42">
        <v>0</v>
      </c>
      <c r="BP119">
        <f t="shared" si="184"/>
        <v>0</v>
      </c>
      <c r="BQ119" s="44">
        <f t="shared" si="148"/>
        <v>0</v>
      </c>
      <c r="BR119" s="42">
        <f t="shared" si="185"/>
        <v>0</v>
      </c>
      <c r="BS119">
        <f t="shared" si="186"/>
        <v>0</v>
      </c>
      <c r="BT119" s="44">
        <f t="shared" si="149"/>
        <v>0</v>
      </c>
      <c r="BU119" s="42">
        <f t="shared" si="168"/>
        <v>2.2399999999999996E-2</v>
      </c>
      <c r="BV119">
        <f t="shared" si="115"/>
        <v>4.3874999999999997E-2</v>
      </c>
      <c r="BW119" s="44">
        <f t="shared" si="169"/>
        <v>2.2499999999999999E-2</v>
      </c>
      <c r="BX119">
        <f t="shared" si="139"/>
        <v>0.58986666666666676</v>
      </c>
      <c r="BY119">
        <f t="shared" si="140"/>
        <v>3.1989389741175125</v>
      </c>
      <c r="BZ119">
        <f t="shared" si="187"/>
        <v>89.746641779160058</v>
      </c>
    </row>
    <row r="120" spans="17:78" x14ac:dyDescent="0.3">
      <c r="Q120">
        <v>113</v>
      </c>
      <c r="R120" s="42">
        <f t="shared" si="151"/>
        <v>28.25</v>
      </c>
      <c r="S120">
        <f t="shared" si="95"/>
        <v>50</v>
      </c>
      <c r="T120" s="44">
        <f t="shared" si="152"/>
        <v>0.56499999999999995</v>
      </c>
      <c r="U120" s="42">
        <f t="shared" si="153"/>
        <v>1</v>
      </c>
      <c r="V120">
        <f t="shared" si="154"/>
        <v>0.28124722220850468</v>
      </c>
      <c r="W120">
        <f t="shared" si="155"/>
        <v>0.4143709073871969</v>
      </c>
      <c r="X120">
        <f t="shared" si="117"/>
        <v>0.30438187040429837</v>
      </c>
      <c r="Y120" s="42">
        <f t="shared" si="170"/>
        <v>2.0089087300607473</v>
      </c>
      <c r="Z120">
        <f t="shared" si="156"/>
        <v>4.0178174601214955</v>
      </c>
      <c r="AA120">
        <f t="shared" si="119"/>
        <v>4.0178174601214955</v>
      </c>
      <c r="AB120" s="44">
        <f t="shared" si="157"/>
        <v>1.2301942570094762</v>
      </c>
      <c r="AC120" s="42">
        <v>0</v>
      </c>
      <c r="AD120">
        <f t="shared" si="158"/>
        <v>3.0267558199581945E-2</v>
      </c>
      <c r="AE120" s="44">
        <f t="shared" si="120"/>
        <v>3.0267558199581945E-2</v>
      </c>
      <c r="AF120" s="42">
        <f t="shared" si="159"/>
        <v>0.56500000000000006</v>
      </c>
      <c r="AG120" s="44">
        <f t="shared" si="160"/>
        <v>0.56500000000000006</v>
      </c>
      <c r="AH120" s="42">
        <f t="shared" si="161"/>
        <v>5.145484893928931E-2</v>
      </c>
      <c r="AI120">
        <f t="shared" si="162"/>
        <v>0.72388266015195979</v>
      </c>
      <c r="AJ120" s="44">
        <f t="shared" si="121"/>
        <v>0.7753375090912491</v>
      </c>
      <c r="AK120" s="42">
        <f t="shared" si="163"/>
        <v>28.25</v>
      </c>
      <c r="AL120">
        <f t="shared" si="108"/>
        <v>150</v>
      </c>
      <c r="AM120" s="44">
        <f t="shared" si="171"/>
        <v>0.18833333333333332</v>
      </c>
      <c r="AN120" s="42">
        <f t="shared" si="172"/>
        <v>2</v>
      </c>
      <c r="AO120">
        <f t="shared" si="173"/>
        <v>0.41437090738719684</v>
      </c>
      <c r="AP120">
        <f t="shared" si="174"/>
        <v>0.45450423757030489</v>
      </c>
      <c r="AQ120">
        <f t="shared" si="175"/>
        <v>0.90900847514060978</v>
      </c>
      <c r="AR120">
        <f t="shared" si="142"/>
        <v>0.90900847514060978</v>
      </c>
      <c r="AS120" s="44">
        <f t="shared" si="143"/>
        <v>0.3378328937522036</v>
      </c>
      <c r="AT120" s="42"/>
      <c r="AU120">
        <f t="shared" si="176"/>
        <v>1.8444111111111111E-5</v>
      </c>
      <c r="AV120" s="44">
        <f t="shared" si="144"/>
        <v>1.8444111111111111E-5</v>
      </c>
      <c r="AW120" s="42">
        <f t="shared" si="177"/>
        <v>0.92749999999999999</v>
      </c>
      <c r="AX120">
        <f t="shared" si="178"/>
        <v>0.26366666666666666</v>
      </c>
      <c r="AY120" s="44">
        <f t="shared" si="145"/>
        <v>1.1911666666666667</v>
      </c>
      <c r="AZ120" s="42">
        <f t="shared" si="164"/>
        <v>0</v>
      </c>
      <c r="BA120">
        <f t="shared" si="165"/>
        <v>0</v>
      </c>
      <c r="BB120">
        <f t="shared" si="146"/>
        <v>0</v>
      </c>
      <c r="BC120" s="44">
        <f t="shared" si="179"/>
        <v>0</v>
      </c>
      <c r="BD120" s="42">
        <v>0</v>
      </c>
      <c r="BE120">
        <f t="shared" si="180"/>
        <v>0</v>
      </c>
      <c r="BF120" s="44">
        <f t="shared" si="147"/>
        <v>0</v>
      </c>
      <c r="BG120" s="42">
        <f t="shared" si="181"/>
        <v>0</v>
      </c>
      <c r="BH120">
        <f t="shared" si="182"/>
        <v>0</v>
      </c>
      <c r="BI120" s="44">
        <f t="shared" si="183"/>
        <v>0</v>
      </c>
      <c r="BK120" s="42">
        <f t="shared" si="166"/>
        <v>0</v>
      </c>
      <c r="BL120">
        <f t="shared" si="112"/>
        <v>0</v>
      </c>
      <c r="BM120">
        <f t="shared" si="167"/>
        <v>0</v>
      </c>
      <c r="BN120" s="44">
        <f t="shared" si="188"/>
        <v>0</v>
      </c>
      <c r="BO120" s="42">
        <v>0</v>
      </c>
      <c r="BP120">
        <f t="shared" si="184"/>
        <v>0</v>
      </c>
      <c r="BQ120" s="44">
        <f t="shared" si="148"/>
        <v>0</v>
      </c>
      <c r="BR120" s="42">
        <f t="shared" si="185"/>
        <v>0</v>
      </c>
      <c r="BS120">
        <f t="shared" si="186"/>
        <v>0</v>
      </c>
      <c r="BT120" s="44">
        <f t="shared" si="149"/>
        <v>0</v>
      </c>
      <c r="BU120" s="42">
        <f t="shared" si="168"/>
        <v>2.2700668649686458E-2</v>
      </c>
      <c r="BV120">
        <f t="shared" si="115"/>
        <v>4.3874999999999997E-2</v>
      </c>
      <c r="BW120" s="44">
        <f t="shared" si="169"/>
        <v>2.2499999999999999E-2</v>
      </c>
      <c r="BX120">
        <f t="shared" si="139"/>
        <v>0.59526755819958199</v>
      </c>
      <c r="BY120">
        <f t="shared" si="140"/>
        <v>3.2158658467182955</v>
      </c>
      <c r="BZ120">
        <f t="shared" si="187"/>
        <v>89.77982725031643</v>
      </c>
    </row>
    <row r="121" spans="17:78" x14ac:dyDescent="0.3">
      <c r="Q121">
        <v>114</v>
      </c>
      <c r="R121" s="42">
        <f t="shared" si="151"/>
        <v>28.5</v>
      </c>
      <c r="S121">
        <f t="shared" si="95"/>
        <v>50</v>
      </c>
      <c r="T121" s="44">
        <f t="shared" si="152"/>
        <v>0.56999999999999995</v>
      </c>
      <c r="U121" s="42">
        <f t="shared" si="153"/>
        <v>1</v>
      </c>
      <c r="V121">
        <f t="shared" si="154"/>
        <v>0.28248893783651069</v>
      </c>
      <c r="W121">
        <f t="shared" si="155"/>
        <v>0.41620036841245911</v>
      </c>
      <c r="X121">
        <f t="shared" si="117"/>
        <v>0.30131069375103015</v>
      </c>
      <c r="Y121" s="42">
        <f t="shared" si="170"/>
        <v>2.0177781274036475</v>
      </c>
      <c r="Z121">
        <f t="shared" si="156"/>
        <v>4.0355562548072959</v>
      </c>
      <c r="AA121">
        <f t="shared" si="119"/>
        <v>4.035556254807295</v>
      </c>
      <c r="AB121" s="44">
        <f t="shared" si="157"/>
        <v>1.2383502641929591</v>
      </c>
      <c r="AC121" s="42">
        <v>0</v>
      </c>
      <c r="AD121">
        <f t="shared" si="158"/>
        <v>3.0670227536535432E-2</v>
      </c>
      <c r="AE121" s="44">
        <f t="shared" si="120"/>
        <v>3.0670227536535432E-2</v>
      </c>
      <c r="AF121" s="42">
        <f t="shared" si="159"/>
        <v>0.57000000000000006</v>
      </c>
      <c r="AG121" s="44">
        <f t="shared" si="160"/>
        <v>0.57000000000000006</v>
      </c>
      <c r="AH121" s="42">
        <f t="shared" si="161"/>
        <v>5.2139386812110236E-2</v>
      </c>
      <c r="AI121">
        <f t="shared" si="162"/>
        <v>0.72707862562637382</v>
      </c>
      <c r="AJ121" s="44">
        <f t="shared" si="121"/>
        <v>0.7792180124384841</v>
      </c>
      <c r="AK121" s="42">
        <f t="shared" si="163"/>
        <v>28.5</v>
      </c>
      <c r="AL121">
        <f t="shared" si="108"/>
        <v>150</v>
      </c>
      <c r="AM121" s="44">
        <f t="shared" si="171"/>
        <v>0.19</v>
      </c>
      <c r="AN121" s="42">
        <f t="shared" si="172"/>
        <v>1</v>
      </c>
      <c r="AO121">
        <f t="shared" si="173"/>
        <v>0.41620036841245917</v>
      </c>
      <c r="AP121">
        <f t="shared" si="174"/>
        <v>0.45651088855286143</v>
      </c>
      <c r="AQ121">
        <f t="shared" si="175"/>
        <v>0.91302177710572319</v>
      </c>
      <c r="AR121">
        <f t="shared" si="142"/>
        <v>0.91302177710572296</v>
      </c>
      <c r="AS121" s="44">
        <f t="shared" si="143"/>
        <v>0.34007267620327608</v>
      </c>
      <c r="AT121" s="42"/>
      <c r="AU121">
        <f t="shared" si="176"/>
        <v>1.8772000000000003E-5</v>
      </c>
      <c r="AV121" s="44">
        <f t="shared" si="144"/>
        <v>1.8772000000000003E-5</v>
      </c>
      <c r="AW121" s="42">
        <f t="shared" si="177"/>
        <v>0.92749999999999999</v>
      </c>
      <c r="AX121">
        <f t="shared" si="178"/>
        <v>0.26599999999999996</v>
      </c>
      <c r="AY121" s="44">
        <f t="shared" si="145"/>
        <v>1.1935</v>
      </c>
      <c r="AZ121" s="42">
        <f t="shared" si="164"/>
        <v>0</v>
      </c>
      <c r="BA121">
        <f t="shared" si="165"/>
        <v>0</v>
      </c>
      <c r="BB121">
        <f t="shared" si="146"/>
        <v>0</v>
      </c>
      <c r="BC121" s="44">
        <f t="shared" si="179"/>
        <v>0</v>
      </c>
      <c r="BD121" s="42">
        <v>0</v>
      </c>
      <c r="BE121">
        <f t="shared" si="180"/>
        <v>0</v>
      </c>
      <c r="BF121" s="44">
        <f t="shared" si="147"/>
        <v>0</v>
      </c>
      <c r="BG121" s="42">
        <f t="shared" si="181"/>
        <v>0</v>
      </c>
      <c r="BH121">
        <f t="shared" si="182"/>
        <v>0</v>
      </c>
      <c r="BI121" s="44">
        <f t="shared" si="183"/>
        <v>0</v>
      </c>
      <c r="BK121" s="42">
        <f t="shared" si="166"/>
        <v>0</v>
      </c>
      <c r="BL121">
        <f t="shared" si="112"/>
        <v>0</v>
      </c>
      <c r="BM121">
        <f t="shared" si="167"/>
        <v>0</v>
      </c>
      <c r="BN121" s="44">
        <f t="shared" si="188"/>
        <v>0</v>
      </c>
      <c r="BO121" s="42">
        <v>0</v>
      </c>
      <c r="BP121">
        <f t="shared" si="184"/>
        <v>0</v>
      </c>
      <c r="BQ121" s="44">
        <f t="shared" si="148"/>
        <v>0</v>
      </c>
      <c r="BR121" s="42">
        <f t="shared" si="185"/>
        <v>0</v>
      </c>
      <c r="BS121">
        <f t="shared" si="186"/>
        <v>0</v>
      </c>
      <c r="BT121" s="44">
        <f t="shared" si="149"/>
        <v>0</v>
      </c>
      <c r="BU121" s="42">
        <f t="shared" si="168"/>
        <v>2.3002670652401573E-2</v>
      </c>
      <c r="BV121">
        <f t="shared" si="115"/>
        <v>4.3874999999999997E-2</v>
      </c>
      <c r="BW121" s="44">
        <f t="shared" si="169"/>
        <v>2.2499999999999999E-2</v>
      </c>
      <c r="BX121">
        <f t="shared" si="139"/>
        <v>0.60067022753653554</v>
      </c>
      <c r="BY121">
        <f t="shared" si="140"/>
        <v>3.2327846826274209</v>
      </c>
      <c r="BZ121">
        <f t="shared" si="187"/>
        <v>89.812477174758456</v>
      </c>
    </row>
    <row r="122" spans="17:78" x14ac:dyDescent="0.3">
      <c r="Q122">
        <v>115</v>
      </c>
      <c r="R122" s="42">
        <f t="shared" si="151"/>
        <v>28.75</v>
      </c>
      <c r="S122">
        <f t="shared" si="95"/>
        <v>50</v>
      </c>
      <c r="T122" s="44">
        <f t="shared" si="152"/>
        <v>0.57499999999999996</v>
      </c>
      <c r="U122" s="42">
        <f t="shared" si="153"/>
        <v>1</v>
      </c>
      <c r="V122">
        <f t="shared" si="154"/>
        <v>0.28372521918222215</v>
      </c>
      <c r="W122">
        <f t="shared" si="155"/>
        <v>0.41802182292847395</v>
      </c>
      <c r="X122">
        <f t="shared" si="117"/>
        <v>0.29825295788930389</v>
      </c>
      <c r="Y122" s="42">
        <f t="shared" si="170"/>
        <v>2.026608708444444</v>
      </c>
      <c r="Z122">
        <f t="shared" si="156"/>
        <v>4.0532174168888879</v>
      </c>
      <c r="AA122">
        <f t="shared" si="119"/>
        <v>4.0532174168888879</v>
      </c>
      <c r="AB122" s="44">
        <f t="shared" si="157"/>
        <v>1.2464884047357763</v>
      </c>
      <c r="AC122" s="42">
        <v>0</v>
      </c>
      <c r="AD122">
        <f t="shared" si="158"/>
        <v>3.1074666862814807E-2</v>
      </c>
      <c r="AE122" s="44">
        <f t="shared" si="120"/>
        <v>3.1074666862814807E-2</v>
      </c>
      <c r="AF122" s="42">
        <f t="shared" si="159"/>
        <v>0.57500000000000007</v>
      </c>
      <c r="AG122" s="44">
        <f t="shared" si="160"/>
        <v>0.57500000000000007</v>
      </c>
      <c r="AH122" s="42">
        <f t="shared" si="161"/>
        <v>5.2826933666785175E-2</v>
      </c>
      <c r="AI122">
        <f t="shared" si="162"/>
        <v>0.73026060417962835</v>
      </c>
      <c r="AJ122" s="44">
        <f t="shared" si="121"/>
        <v>0.7830875378464135</v>
      </c>
      <c r="AK122" s="42">
        <f t="shared" si="163"/>
        <v>28.75</v>
      </c>
      <c r="AL122">
        <f t="shared" si="108"/>
        <v>150</v>
      </c>
      <c r="AM122" s="44">
        <f t="shared" si="171"/>
        <v>0.19166666666666668</v>
      </c>
      <c r="AN122" s="42">
        <f t="shared" si="172"/>
        <v>2</v>
      </c>
      <c r="AO122">
        <f t="shared" si="173"/>
        <v>0.41802182292847395</v>
      </c>
      <c r="AP122">
        <f t="shared" si="174"/>
        <v>0.4585087575666163</v>
      </c>
      <c r="AQ122">
        <f t="shared" si="175"/>
        <v>0.9170175151332326</v>
      </c>
      <c r="AR122">
        <f t="shared" si="142"/>
        <v>0.9170175151332326</v>
      </c>
      <c r="AS122" s="44">
        <f t="shared" si="143"/>
        <v>0.34230755216183023</v>
      </c>
      <c r="AT122" s="42"/>
      <c r="AU122">
        <f t="shared" si="176"/>
        <v>1.9102777777777782E-5</v>
      </c>
      <c r="AV122" s="44">
        <f t="shared" si="144"/>
        <v>1.9102777777777782E-5</v>
      </c>
      <c r="AW122" s="42">
        <f t="shared" si="177"/>
        <v>0.92749999999999999</v>
      </c>
      <c r="AX122">
        <f t="shared" si="178"/>
        <v>0.26833333333333331</v>
      </c>
      <c r="AY122" s="44">
        <f t="shared" si="145"/>
        <v>1.1958333333333333</v>
      </c>
      <c r="AZ122" s="42">
        <f t="shared" si="164"/>
        <v>0</v>
      </c>
      <c r="BA122">
        <f t="shared" si="165"/>
        <v>0</v>
      </c>
      <c r="BB122">
        <f t="shared" si="146"/>
        <v>0</v>
      </c>
      <c r="BC122" s="44">
        <f t="shared" si="179"/>
        <v>0</v>
      </c>
      <c r="BD122" s="42">
        <v>0</v>
      </c>
      <c r="BE122">
        <f t="shared" si="180"/>
        <v>0</v>
      </c>
      <c r="BF122" s="44">
        <f t="shared" si="147"/>
        <v>0</v>
      </c>
      <c r="BG122" s="42">
        <f t="shared" si="181"/>
        <v>0</v>
      </c>
      <c r="BH122">
        <f t="shared" si="182"/>
        <v>0</v>
      </c>
      <c r="BI122" s="44">
        <f t="shared" si="183"/>
        <v>0</v>
      </c>
      <c r="BK122" s="42">
        <f t="shared" si="166"/>
        <v>0</v>
      </c>
      <c r="BL122">
        <f t="shared" si="112"/>
        <v>0</v>
      </c>
      <c r="BM122">
        <f t="shared" si="167"/>
        <v>0</v>
      </c>
      <c r="BN122" s="44">
        <f t="shared" si="188"/>
        <v>0</v>
      </c>
      <c r="BO122" s="42">
        <v>0</v>
      </c>
      <c r="BP122">
        <f t="shared" si="184"/>
        <v>0</v>
      </c>
      <c r="BQ122" s="44">
        <f t="shared" si="148"/>
        <v>0</v>
      </c>
      <c r="BR122" s="42">
        <f t="shared" si="185"/>
        <v>0</v>
      </c>
      <c r="BS122">
        <f t="shared" si="186"/>
        <v>0</v>
      </c>
      <c r="BT122" s="44">
        <f t="shared" si="149"/>
        <v>0</v>
      </c>
      <c r="BU122" s="42">
        <f t="shared" si="168"/>
        <v>2.3306000147111105E-2</v>
      </c>
      <c r="BV122">
        <f t="shared" si="115"/>
        <v>4.3874999999999997E-2</v>
      </c>
      <c r="BW122" s="44">
        <f t="shared" si="169"/>
        <v>2.2499999999999999E-2</v>
      </c>
      <c r="BX122">
        <f t="shared" si="139"/>
        <v>0.60607466686281486</v>
      </c>
      <c r="BY122">
        <f t="shared" si="140"/>
        <v>3.2496956409674511</v>
      </c>
      <c r="BZ122">
        <f t="shared" si="187"/>
        <v>89.8446045317786</v>
      </c>
    </row>
    <row r="123" spans="17:78" x14ac:dyDescent="0.3">
      <c r="Q123">
        <v>116</v>
      </c>
      <c r="R123" s="42">
        <f t="shared" si="151"/>
        <v>29</v>
      </c>
      <c r="S123">
        <f t="shared" si="95"/>
        <v>50</v>
      </c>
      <c r="T123" s="44">
        <f t="shared" si="152"/>
        <v>0.57999999999999996</v>
      </c>
      <c r="U123" s="42">
        <f t="shared" si="153"/>
        <v>1</v>
      </c>
      <c r="V123">
        <f t="shared" si="154"/>
        <v>0.28495613697550015</v>
      </c>
      <c r="W123">
        <f t="shared" si="155"/>
        <v>0.41983537514390351</v>
      </c>
      <c r="X123">
        <f t="shared" si="117"/>
        <v>0.29520848788059634</v>
      </c>
      <c r="Y123" s="42">
        <f t="shared" si="170"/>
        <v>2.0354009783964293</v>
      </c>
      <c r="Z123">
        <f t="shared" si="156"/>
        <v>4.0708019567928595</v>
      </c>
      <c r="AA123">
        <f t="shared" si="119"/>
        <v>4.0708019567928595</v>
      </c>
      <c r="AB123" s="44">
        <f t="shared" si="157"/>
        <v>1.2546088726345113</v>
      </c>
      <c r="AC123" s="42">
        <v>0</v>
      </c>
      <c r="AD123">
        <f t="shared" si="158"/>
        <v>3.1480868465864786E-2</v>
      </c>
      <c r="AE123" s="44">
        <f t="shared" si="120"/>
        <v>3.1480868465864786E-2</v>
      </c>
      <c r="AF123" s="42">
        <f t="shared" si="159"/>
        <v>0.57999999999999996</v>
      </c>
      <c r="AG123" s="44">
        <f t="shared" si="160"/>
        <v>0.57999999999999996</v>
      </c>
      <c r="AH123" s="42">
        <f t="shared" si="161"/>
        <v>5.3517476391970138E-2</v>
      </c>
      <c r="AI123">
        <f t="shared" si="162"/>
        <v>0.73342877785839222</v>
      </c>
      <c r="AJ123" s="44">
        <f t="shared" si="121"/>
        <v>0.78694625425036235</v>
      </c>
      <c r="AK123" s="42">
        <f t="shared" si="163"/>
        <v>29</v>
      </c>
      <c r="AL123">
        <f t="shared" si="108"/>
        <v>150</v>
      </c>
      <c r="AM123" s="44">
        <f t="shared" si="171"/>
        <v>0.19333333333333333</v>
      </c>
      <c r="AN123" s="42">
        <f t="shared" si="172"/>
        <v>2</v>
      </c>
      <c r="AO123">
        <f t="shared" si="173"/>
        <v>0.41983537514390362</v>
      </c>
      <c r="AP123">
        <f t="shared" si="174"/>
        <v>0.46049795891321926</v>
      </c>
      <c r="AQ123">
        <f t="shared" si="175"/>
        <v>0.92099591782643897</v>
      </c>
      <c r="AR123">
        <f t="shared" si="142"/>
        <v>0.92099591782643875</v>
      </c>
      <c r="AS123" s="44">
        <f t="shared" si="143"/>
        <v>0.3445375749027268</v>
      </c>
      <c r="AT123" s="42"/>
      <c r="AU123">
        <f t="shared" si="176"/>
        <v>1.9436444444444445E-5</v>
      </c>
      <c r="AV123" s="44">
        <f t="shared" si="144"/>
        <v>1.9436444444444445E-5</v>
      </c>
      <c r="AW123" s="42">
        <f t="shared" si="177"/>
        <v>0.92749999999999999</v>
      </c>
      <c r="AX123">
        <f t="shared" si="178"/>
        <v>0.27066666666666667</v>
      </c>
      <c r="AY123" s="44">
        <f t="shared" si="145"/>
        <v>1.1981666666666666</v>
      </c>
      <c r="AZ123" s="42">
        <f t="shared" si="164"/>
        <v>0</v>
      </c>
      <c r="BA123">
        <f t="shared" si="165"/>
        <v>0</v>
      </c>
      <c r="BB123">
        <f t="shared" si="146"/>
        <v>0</v>
      </c>
      <c r="BC123" s="44">
        <f t="shared" si="179"/>
        <v>0</v>
      </c>
      <c r="BD123" s="42">
        <v>0</v>
      </c>
      <c r="BE123">
        <f t="shared" si="180"/>
        <v>0</v>
      </c>
      <c r="BF123" s="44">
        <f t="shared" si="147"/>
        <v>0</v>
      </c>
      <c r="BG123" s="42">
        <f t="shared" si="181"/>
        <v>0</v>
      </c>
      <c r="BH123">
        <f t="shared" si="182"/>
        <v>0</v>
      </c>
      <c r="BI123" s="44">
        <f t="shared" si="183"/>
        <v>0</v>
      </c>
      <c r="BK123" s="42">
        <f t="shared" si="166"/>
        <v>0</v>
      </c>
      <c r="BL123">
        <f t="shared" si="112"/>
        <v>0</v>
      </c>
      <c r="BM123">
        <f t="shared" si="167"/>
        <v>0</v>
      </c>
      <c r="BN123" s="44">
        <f t="shared" si="188"/>
        <v>0</v>
      </c>
      <c r="BO123" s="42">
        <v>0</v>
      </c>
      <c r="BP123">
        <f t="shared" si="184"/>
        <v>0</v>
      </c>
      <c r="BQ123" s="44">
        <f t="shared" si="148"/>
        <v>0</v>
      </c>
      <c r="BR123" s="42">
        <f t="shared" si="185"/>
        <v>0</v>
      </c>
      <c r="BS123">
        <f t="shared" si="186"/>
        <v>0</v>
      </c>
      <c r="BT123" s="44">
        <f t="shared" si="149"/>
        <v>0</v>
      </c>
      <c r="BU123" s="42">
        <f t="shared" si="168"/>
        <v>2.3610651349398586E-2</v>
      </c>
      <c r="BV123">
        <f t="shared" si="115"/>
        <v>4.3874999999999997E-2</v>
      </c>
      <c r="BW123" s="44">
        <f t="shared" si="169"/>
        <v>2.2499999999999999E-2</v>
      </c>
      <c r="BX123">
        <f t="shared" si="139"/>
        <v>0.6114808684658648</v>
      </c>
      <c r="BY123">
        <f t="shared" si="140"/>
        <v>3.2665988771767367</v>
      </c>
      <c r="BZ123">
        <f t="shared" si="187"/>
        <v>89.876221880059035</v>
      </c>
    </row>
    <row r="124" spans="17:78" x14ac:dyDescent="0.3">
      <c r="Q124">
        <v>117</v>
      </c>
      <c r="R124" s="42">
        <f t="shared" si="151"/>
        <v>29.25</v>
      </c>
      <c r="S124">
        <f t="shared" si="95"/>
        <v>50</v>
      </c>
      <c r="T124" s="44">
        <f t="shared" si="152"/>
        <v>0.58499999999999996</v>
      </c>
      <c r="U124" s="42">
        <f t="shared" si="153"/>
        <v>1</v>
      </c>
      <c r="V124">
        <f t="shared" si="154"/>
        <v>0.2861817604250837</v>
      </c>
      <c r="W124">
        <f t="shared" si="155"/>
        <v>0.42164112702628997</v>
      </c>
      <c r="X124">
        <f t="shared" si="117"/>
        <v>0.29217711254862633</v>
      </c>
      <c r="Y124" s="42">
        <f t="shared" si="170"/>
        <v>2.0441554316077406</v>
      </c>
      <c r="Z124">
        <f t="shared" si="156"/>
        <v>4.0883108632154812</v>
      </c>
      <c r="AA124">
        <f t="shared" si="119"/>
        <v>4.0883108632154812</v>
      </c>
      <c r="AB124" s="44">
        <f t="shared" si="157"/>
        <v>1.2627118581268006</v>
      </c>
      <c r="AC124" s="42">
        <v>0</v>
      </c>
      <c r="AD124">
        <f t="shared" si="158"/>
        <v>3.1888824733080752E-2</v>
      </c>
      <c r="AE124" s="44">
        <f t="shared" si="120"/>
        <v>3.1888824733080752E-2</v>
      </c>
      <c r="AF124" s="42">
        <f t="shared" si="159"/>
        <v>0.58499999999999996</v>
      </c>
      <c r="AG124" s="44">
        <f t="shared" si="160"/>
        <v>0.58499999999999996</v>
      </c>
      <c r="AH124" s="42">
        <f t="shared" si="161"/>
        <v>5.4211002046237279E-2</v>
      </c>
      <c r="AI124">
        <f t="shared" si="162"/>
        <v>0.73658332479422461</v>
      </c>
      <c r="AJ124" s="44">
        <f t="shared" si="121"/>
        <v>0.79079432684046191</v>
      </c>
      <c r="AK124" s="42">
        <f t="shared" si="163"/>
        <v>29.25</v>
      </c>
      <c r="AL124">
        <f t="shared" si="108"/>
        <v>150</v>
      </c>
      <c r="AM124" s="44">
        <f t="shared" si="171"/>
        <v>0.19500000000000001</v>
      </c>
      <c r="AN124" s="42">
        <f t="shared" si="172"/>
        <v>2</v>
      </c>
      <c r="AO124">
        <f t="shared" si="173"/>
        <v>0.42164112702628997</v>
      </c>
      <c r="AP124">
        <f t="shared" si="174"/>
        <v>0.46247860443614042</v>
      </c>
      <c r="AQ124">
        <f t="shared" si="175"/>
        <v>0.92495720887228094</v>
      </c>
      <c r="AR124">
        <f t="shared" si="142"/>
        <v>0.92495720887228083</v>
      </c>
      <c r="AS124" s="44">
        <f t="shared" si="143"/>
        <v>0.34676279666855342</v>
      </c>
      <c r="AT124" s="42"/>
      <c r="AU124">
        <f t="shared" si="176"/>
        <v>1.9773000000000005E-5</v>
      </c>
      <c r="AV124" s="44">
        <f t="shared" si="144"/>
        <v>1.9773000000000005E-5</v>
      </c>
      <c r="AW124" s="42">
        <f t="shared" si="177"/>
        <v>0.92749999999999999</v>
      </c>
      <c r="AX124">
        <f t="shared" si="178"/>
        <v>0.27299999999999996</v>
      </c>
      <c r="AY124" s="44">
        <f t="shared" si="145"/>
        <v>1.2004999999999999</v>
      </c>
      <c r="AZ124" s="42">
        <f t="shared" si="164"/>
        <v>0</v>
      </c>
      <c r="BA124">
        <f t="shared" si="165"/>
        <v>0</v>
      </c>
      <c r="BB124">
        <f t="shared" si="146"/>
        <v>0</v>
      </c>
      <c r="BC124" s="44">
        <f t="shared" si="179"/>
        <v>0</v>
      </c>
      <c r="BD124" s="42">
        <v>0</v>
      </c>
      <c r="BE124">
        <f t="shared" si="180"/>
        <v>0</v>
      </c>
      <c r="BF124" s="44">
        <f t="shared" si="147"/>
        <v>0</v>
      </c>
      <c r="BG124" s="42">
        <f t="shared" si="181"/>
        <v>0</v>
      </c>
      <c r="BH124">
        <f t="shared" si="182"/>
        <v>0</v>
      </c>
      <c r="BI124" s="44">
        <f t="shared" si="183"/>
        <v>0</v>
      </c>
      <c r="BK124" s="42">
        <f t="shared" si="166"/>
        <v>0</v>
      </c>
      <c r="BL124">
        <f t="shared" si="112"/>
        <v>0</v>
      </c>
      <c r="BM124">
        <f t="shared" si="167"/>
        <v>0</v>
      </c>
      <c r="BN124" s="44">
        <f t="shared" si="188"/>
        <v>0</v>
      </c>
      <c r="BO124" s="42">
        <v>0</v>
      </c>
      <c r="BP124">
        <f t="shared" si="184"/>
        <v>0</v>
      </c>
      <c r="BQ124" s="44">
        <f t="shared" si="148"/>
        <v>0</v>
      </c>
      <c r="BR124" s="42">
        <f t="shared" si="185"/>
        <v>0</v>
      </c>
      <c r="BS124">
        <f t="shared" si="186"/>
        <v>0</v>
      </c>
      <c r="BT124" s="44">
        <f t="shared" si="149"/>
        <v>0</v>
      </c>
      <c r="BU124" s="42">
        <f t="shared" si="168"/>
        <v>2.3916618549810562E-2</v>
      </c>
      <c r="BV124">
        <f t="shared" si="115"/>
        <v>4.3874999999999997E-2</v>
      </c>
      <c r="BW124" s="44">
        <f t="shared" si="169"/>
        <v>2.2499999999999999E-2</v>
      </c>
      <c r="BX124">
        <f t="shared" si="139"/>
        <v>0.61688882473308071</v>
      </c>
      <c r="BY124">
        <f t="shared" si="140"/>
        <v>3.2834945431233531</v>
      </c>
      <c r="BZ124">
        <f t="shared" si="187"/>
        <v>89.907341374683682</v>
      </c>
    </row>
    <row r="125" spans="17:78" x14ac:dyDescent="0.3">
      <c r="Q125">
        <v>118</v>
      </c>
      <c r="R125" s="42">
        <f t="shared" si="151"/>
        <v>29.5</v>
      </c>
      <c r="S125">
        <f t="shared" si="95"/>
        <v>50</v>
      </c>
      <c r="T125" s="44">
        <f t="shared" si="152"/>
        <v>0.59</v>
      </c>
      <c r="U125" s="42">
        <f t="shared" si="153"/>
        <v>1</v>
      </c>
      <c r="V125">
        <f t="shared" si="154"/>
        <v>0.28740215726399831</v>
      </c>
      <c r="W125">
        <f t="shared" si="155"/>
        <v>0.4234391783689575</v>
      </c>
      <c r="X125">
        <f t="shared" si="117"/>
        <v>0.28915866436704418</v>
      </c>
      <c r="Y125" s="42">
        <f t="shared" si="170"/>
        <v>2.0528725518857018</v>
      </c>
      <c r="Z125">
        <f t="shared" si="156"/>
        <v>4.1057451037714046</v>
      </c>
      <c r="AA125">
        <f t="shared" si="119"/>
        <v>4.1057451037714046</v>
      </c>
      <c r="AB125" s="44">
        <f t="shared" si="157"/>
        <v>1.2707975477956428</v>
      </c>
      <c r="AC125" s="42">
        <v>0</v>
      </c>
      <c r="AD125">
        <f t="shared" si="158"/>
        <v>3.2298528149668382E-2</v>
      </c>
      <c r="AE125" s="44">
        <f t="shared" si="120"/>
        <v>3.2298528149668382E-2</v>
      </c>
      <c r="AF125" s="42">
        <f t="shared" si="159"/>
        <v>0.59</v>
      </c>
      <c r="AG125" s="44">
        <f t="shared" si="160"/>
        <v>0.59</v>
      </c>
      <c r="AH125" s="42">
        <f t="shared" si="161"/>
        <v>5.490749785443625E-2</v>
      </c>
      <c r="AI125">
        <f t="shared" si="162"/>
        <v>0.73972441932044741</v>
      </c>
      <c r="AJ125" s="44">
        <f t="shared" si="121"/>
        <v>0.79463191717488368</v>
      </c>
      <c r="AK125" s="42">
        <f t="shared" si="163"/>
        <v>29.5</v>
      </c>
      <c r="AL125">
        <f t="shared" si="108"/>
        <v>150</v>
      </c>
      <c r="AM125" s="44">
        <f t="shared" si="171"/>
        <v>0.19666666666666666</v>
      </c>
      <c r="AN125" s="42">
        <f t="shared" si="172"/>
        <v>2</v>
      </c>
      <c r="AO125">
        <f t="shared" si="173"/>
        <v>0.42343917836895745</v>
      </c>
      <c r="AP125">
        <f t="shared" si="174"/>
        <v>0.46445080359405022</v>
      </c>
      <c r="AQ125">
        <f t="shared" si="175"/>
        <v>0.92890160718810055</v>
      </c>
      <c r="AR125">
        <f t="shared" si="142"/>
        <v>0.92890160718810044</v>
      </c>
      <c r="AS125" s="44">
        <f t="shared" si="143"/>
        <v>0.34898326869826968</v>
      </c>
      <c r="AT125" s="42"/>
      <c r="AU125">
        <f t="shared" si="176"/>
        <v>2.0112444444444446E-5</v>
      </c>
      <c r="AV125" s="44">
        <f t="shared" si="144"/>
        <v>2.0112444444444446E-5</v>
      </c>
      <c r="AW125" s="42">
        <f t="shared" si="177"/>
        <v>0.92749999999999999</v>
      </c>
      <c r="AX125">
        <f t="shared" si="178"/>
        <v>0.27533333333333332</v>
      </c>
      <c r="AY125" s="44">
        <f t="shared" si="145"/>
        <v>1.2028333333333334</v>
      </c>
      <c r="AZ125" s="42">
        <f t="shared" si="164"/>
        <v>0</v>
      </c>
      <c r="BA125">
        <f t="shared" si="165"/>
        <v>0</v>
      </c>
      <c r="BB125">
        <f t="shared" si="146"/>
        <v>0</v>
      </c>
      <c r="BC125" s="44">
        <f t="shared" si="179"/>
        <v>0</v>
      </c>
      <c r="BD125" s="42">
        <v>0</v>
      </c>
      <c r="BE125">
        <f t="shared" si="180"/>
        <v>0</v>
      </c>
      <c r="BF125" s="44">
        <f t="shared" si="147"/>
        <v>0</v>
      </c>
      <c r="BG125" s="42">
        <f t="shared" si="181"/>
        <v>0</v>
      </c>
      <c r="BH125">
        <f t="shared" si="182"/>
        <v>0</v>
      </c>
      <c r="BI125" s="44">
        <f t="shared" si="183"/>
        <v>0</v>
      </c>
      <c r="BK125" s="42">
        <f t="shared" si="166"/>
        <v>0</v>
      </c>
      <c r="BL125">
        <f t="shared" si="112"/>
        <v>0</v>
      </c>
      <c r="BM125">
        <f t="shared" si="167"/>
        <v>0</v>
      </c>
      <c r="BN125" s="44">
        <f t="shared" si="188"/>
        <v>0</v>
      </c>
      <c r="BO125" s="42">
        <v>0</v>
      </c>
      <c r="BP125">
        <f t="shared" si="184"/>
        <v>0</v>
      </c>
      <c r="BQ125" s="44">
        <f t="shared" si="148"/>
        <v>0</v>
      </c>
      <c r="BR125" s="42">
        <f t="shared" si="185"/>
        <v>0</v>
      </c>
      <c r="BS125">
        <f t="shared" si="186"/>
        <v>0</v>
      </c>
      <c r="BT125" s="44">
        <f t="shared" si="149"/>
        <v>0</v>
      </c>
      <c r="BU125" s="42">
        <f t="shared" si="168"/>
        <v>2.4223896112251286E-2</v>
      </c>
      <c r="BV125">
        <f t="shared" si="115"/>
        <v>4.3874999999999997E-2</v>
      </c>
      <c r="BW125" s="44">
        <f t="shared" si="169"/>
        <v>2.2499999999999999E-2</v>
      </c>
      <c r="BX125">
        <f t="shared" si="139"/>
        <v>0.62229852814966835</v>
      </c>
      <c r="BY125">
        <f t="shared" si="140"/>
        <v>3.300382787214581</v>
      </c>
      <c r="BZ125">
        <f t="shared" si="187"/>
        <v>89.937974783327661</v>
      </c>
    </row>
    <row r="126" spans="17:78" x14ac:dyDescent="0.3">
      <c r="Q126">
        <v>119</v>
      </c>
      <c r="R126" s="42">
        <f t="shared" si="151"/>
        <v>29.75</v>
      </c>
      <c r="S126">
        <f t="shared" si="95"/>
        <v>50</v>
      </c>
      <c r="T126" s="44">
        <f t="shared" si="152"/>
        <v>0.59499999999999997</v>
      </c>
      <c r="U126" s="42">
        <f t="shared" si="153"/>
        <v>1</v>
      </c>
      <c r="V126">
        <f t="shared" si="154"/>
        <v>0.28861739379323625</v>
      </c>
      <c r="W126">
        <f t="shared" si="155"/>
        <v>0.42522962685536808</v>
      </c>
      <c r="X126">
        <f t="shared" si="117"/>
        <v>0.28615297935139566</v>
      </c>
      <c r="Y126" s="42">
        <f t="shared" si="170"/>
        <v>2.0615528128088298</v>
      </c>
      <c r="Z126">
        <f t="shared" si="156"/>
        <v>4.1231056256176606</v>
      </c>
      <c r="AA126">
        <f t="shared" si="119"/>
        <v>4.1231056256176597</v>
      </c>
      <c r="AB126" s="44">
        <f t="shared" si="157"/>
        <v>1.2788661246699509</v>
      </c>
      <c r="AC126" s="42">
        <v>0</v>
      </c>
      <c r="AD126">
        <f t="shared" si="158"/>
        <v>3.2709971296566762E-2</v>
      </c>
      <c r="AE126" s="44">
        <f t="shared" si="120"/>
        <v>3.2709971296566762E-2</v>
      </c>
      <c r="AF126" s="42">
        <f t="shared" si="159"/>
        <v>0.59499999999999997</v>
      </c>
      <c r="AG126" s="44">
        <f t="shared" si="160"/>
        <v>0.59499999999999997</v>
      </c>
      <c r="AH126" s="42">
        <f t="shared" si="161"/>
        <v>5.56069512041635E-2</v>
      </c>
      <c r="AI126">
        <f t="shared" si="162"/>
        <v>0.74285223208457285</v>
      </c>
      <c r="AJ126" s="44">
        <f t="shared" si="121"/>
        <v>0.79845918328873633</v>
      </c>
      <c r="AK126" s="42">
        <f t="shared" si="163"/>
        <v>29.75</v>
      </c>
      <c r="AL126">
        <f t="shared" si="108"/>
        <v>150</v>
      </c>
      <c r="AM126" s="44">
        <f t="shared" si="171"/>
        <v>0.19833333333333333</v>
      </c>
      <c r="AN126" s="42">
        <f t="shared" si="172"/>
        <v>1</v>
      </c>
      <c r="AO126">
        <f t="shared" si="173"/>
        <v>0.42522962685536819</v>
      </c>
      <c r="AP126">
        <f t="shared" si="174"/>
        <v>0.46641466353140942</v>
      </c>
      <c r="AQ126">
        <f t="shared" si="175"/>
        <v>0.93282932706281951</v>
      </c>
      <c r="AR126">
        <f t="shared" si="142"/>
        <v>0.93282932706281918</v>
      </c>
      <c r="AS126" s="44">
        <f t="shared" si="143"/>
        <v>0.35119904125482199</v>
      </c>
      <c r="AT126" s="42"/>
      <c r="AU126">
        <f t="shared" si="176"/>
        <v>2.0454777777777782E-5</v>
      </c>
      <c r="AV126" s="44">
        <f t="shared" si="144"/>
        <v>2.0454777777777782E-5</v>
      </c>
      <c r="AW126" s="42">
        <f t="shared" si="177"/>
        <v>0.92749999999999999</v>
      </c>
      <c r="AX126">
        <f t="shared" si="178"/>
        <v>0.27766666666666667</v>
      </c>
      <c r="AY126" s="44">
        <f t="shared" si="145"/>
        <v>1.2051666666666667</v>
      </c>
      <c r="AZ126" s="42">
        <f t="shared" si="164"/>
        <v>0</v>
      </c>
      <c r="BA126">
        <f t="shared" si="165"/>
        <v>0</v>
      </c>
      <c r="BB126">
        <f t="shared" si="146"/>
        <v>0</v>
      </c>
      <c r="BC126" s="44">
        <f t="shared" si="179"/>
        <v>0</v>
      </c>
      <c r="BD126" s="42">
        <v>0</v>
      </c>
      <c r="BE126">
        <f t="shared" si="180"/>
        <v>0</v>
      </c>
      <c r="BF126" s="44">
        <f t="shared" si="147"/>
        <v>0</v>
      </c>
      <c r="BG126" s="42">
        <f t="shared" si="181"/>
        <v>0</v>
      </c>
      <c r="BH126">
        <f t="shared" si="182"/>
        <v>0</v>
      </c>
      <c r="BI126" s="44">
        <f t="shared" si="183"/>
        <v>0</v>
      </c>
      <c r="BK126" s="42">
        <f t="shared" si="166"/>
        <v>0</v>
      </c>
      <c r="BL126">
        <f t="shared" si="112"/>
        <v>0</v>
      </c>
      <c r="BM126">
        <f t="shared" si="167"/>
        <v>0</v>
      </c>
      <c r="BN126" s="44">
        <f t="shared" si="188"/>
        <v>0</v>
      </c>
      <c r="BO126" s="42">
        <v>0</v>
      </c>
      <c r="BP126">
        <f t="shared" si="184"/>
        <v>0</v>
      </c>
      <c r="BQ126" s="44">
        <f t="shared" si="148"/>
        <v>0</v>
      </c>
      <c r="BR126" s="42">
        <f t="shared" si="185"/>
        <v>0</v>
      </c>
      <c r="BS126">
        <f t="shared" si="186"/>
        <v>0</v>
      </c>
      <c r="BT126" s="44">
        <f t="shared" si="149"/>
        <v>0</v>
      </c>
      <c r="BU126" s="42">
        <f t="shared" si="168"/>
        <v>2.4532478472425071E-2</v>
      </c>
      <c r="BV126">
        <f t="shared" si="115"/>
        <v>4.3874999999999997E-2</v>
      </c>
      <c r="BW126" s="44">
        <f t="shared" si="169"/>
        <v>2.2499999999999999E-2</v>
      </c>
      <c r="BX126">
        <f t="shared" si="139"/>
        <v>0.62770997129656669</v>
      </c>
      <c r="BY126">
        <f t="shared" si="140"/>
        <v>3.3172637545021733</v>
      </c>
      <c r="BZ126">
        <f t="shared" si="187"/>
        <v>89.968133501670451</v>
      </c>
    </row>
    <row r="127" spans="17:78" x14ac:dyDescent="0.3">
      <c r="Q127">
        <v>120</v>
      </c>
      <c r="R127" s="42">
        <f t="shared" si="151"/>
        <v>30</v>
      </c>
      <c r="S127">
        <f t="shared" si="95"/>
        <v>50</v>
      </c>
      <c r="T127" s="44">
        <f t="shared" si="152"/>
        <v>0.6</v>
      </c>
      <c r="U127" s="42">
        <f t="shared" si="153"/>
        <v>1</v>
      </c>
      <c r="V127">
        <f t="shared" si="154"/>
        <v>0.28982753492378877</v>
      </c>
      <c r="W127">
        <f t="shared" si="155"/>
        <v>0.42701256812104882</v>
      </c>
      <c r="X127">
        <f t="shared" si="117"/>
        <v>0.28315989695516242</v>
      </c>
      <c r="Y127" s="42">
        <f t="shared" si="170"/>
        <v>2.0701966780270626</v>
      </c>
      <c r="Z127">
        <f t="shared" si="156"/>
        <v>4.1403933560541253</v>
      </c>
      <c r="AA127">
        <f t="shared" si="119"/>
        <v>4.1403933560541253</v>
      </c>
      <c r="AB127" s="44">
        <f t="shared" si="157"/>
        <v>1.2869177683215234</v>
      </c>
      <c r="AC127" s="42">
        <v>0</v>
      </c>
      <c r="AD127">
        <f t="shared" si="158"/>
        <v>3.3123146848433004E-2</v>
      </c>
      <c r="AE127" s="44">
        <f t="shared" si="120"/>
        <v>3.3123146848433004E-2</v>
      </c>
      <c r="AF127" s="42">
        <f t="shared" si="159"/>
        <v>0.6</v>
      </c>
      <c r="AG127" s="44">
        <f t="shared" si="160"/>
        <v>0.6</v>
      </c>
      <c r="AH127" s="42">
        <f t="shared" si="161"/>
        <v>5.6309349642336103E-2</v>
      </c>
      <c r="AI127">
        <f t="shared" si="162"/>
        <v>0.74596693015648574</v>
      </c>
      <c r="AJ127" s="44">
        <f t="shared" si="121"/>
        <v>0.80227627979882188</v>
      </c>
      <c r="AK127" s="42">
        <f t="shared" si="163"/>
        <v>30</v>
      </c>
      <c r="AL127">
        <f t="shared" si="108"/>
        <v>150</v>
      </c>
      <c r="AM127" s="44">
        <f t="shared" si="171"/>
        <v>0.2</v>
      </c>
      <c r="AN127" s="42">
        <f t="shared" si="172"/>
        <v>2</v>
      </c>
      <c r="AO127">
        <f t="shared" si="173"/>
        <v>0.42701256812104882</v>
      </c>
      <c r="AP127">
        <f t="shared" si="174"/>
        <v>0.46837028914639428</v>
      </c>
      <c r="AQ127">
        <f t="shared" si="175"/>
        <v>0.93674057829278867</v>
      </c>
      <c r="AR127">
        <f t="shared" si="142"/>
        <v>0.93674057829278867</v>
      </c>
      <c r="AS127" s="44">
        <f t="shared" si="143"/>
        <v>0.35341016365177136</v>
      </c>
      <c r="AT127" s="42"/>
      <c r="AU127">
        <f t="shared" si="176"/>
        <v>2.0800000000000008E-5</v>
      </c>
      <c r="AV127" s="44">
        <f t="shared" si="144"/>
        <v>2.0800000000000008E-5</v>
      </c>
      <c r="AW127" s="42">
        <f t="shared" si="177"/>
        <v>0.92749999999999999</v>
      </c>
      <c r="AX127">
        <f t="shared" si="178"/>
        <v>0.27999999999999997</v>
      </c>
      <c r="AY127" s="44">
        <f t="shared" si="145"/>
        <v>1.2075</v>
      </c>
      <c r="AZ127" s="42">
        <f t="shared" si="164"/>
        <v>0</v>
      </c>
      <c r="BA127">
        <f t="shared" si="165"/>
        <v>0</v>
      </c>
      <c r="BB127">
        <f t="shared" si="146"/>
        <v>0</v>
      </c>
      <c r="BC127" s="44">
        <f t="shared" si="179"/>
        <v>0</v>
      </c>
      <c r="BD127" s="42">
        <v>0</v>
      </c>
      <c r="BE127">
        <f t="shared" si="180"/>
        <v>0</v>
      </c>
      <c r="BF127" s="44">
        <f t="shared" si="147"/>
        <v>0</v>
      </c>
      <c r="BG127" s="42">
        <f t="shared" si="181"/>
        <v>0</v>
      </c>
      <c r="BH127">
        <f t="shared" si="182"/>
        <v>0</v>
      </c>
      <c r="BI127" s="44">
        <f t="shared" si="183"/>
        <v>0</v>
      </c>
      <c r="BK127" s="42">
        <f t="shared" si="166"/>
        <v>0</v>
      </c>
      <c r="BL127">
        <f t="shared" si="112"/>
        <v>0</v>
      </c>
      <c r="BM127">
        <f t="shared" si="167"/>
        <v>0</v>
      </c>
      <c r="BN127" s="44">
        <f t="shared" si="188"/>
        <v>0</v>
      </c>
      <c r="BO127" s="42">
        <v>0</v>
      </c>
      <c r="BP127">
        <f t="shared" si="184"/>
        <v>0</v>
      </c>
      <c r="BQ127" s="44">
        <f t="shared" si="148"/>
        <v>0</v>
      </c>
      <c r="BR127" s="42">
        <f t="shared" si="185"/>
        <v>0</v>
      </c>
      <c r="BS127">
        <f t="shared" si="186"/>
        <v>0</v>
      </c>
      <c r="BT127" s="44">
        <f t="shared" si="149"/>
        <v>0</v>
      </c>
      <c r="BU127" s="42">
        <f t="shared" si="168"/>
        <v>2.4842360136324751E-2</v>
      </c>
      <c r="BV127">
        <f t="shared" si="115"/>
        <v>4.3874999999999997E-2</v>
      </c>
      <c r="BW127" s="44">
        <f t="shared" si="169"/>
        <v>2.2499999999999999E-2</v>
      </c>
      <c r="BX127">
        <f t="shared" si="139"/>
        <v>0.63312314684843296</v>
      </c>
      <c r="BY127">
        <f t="shared" si="140"/>
        <v>3.3341375867835796</v>
      </c>
      <c r="BZ127">
        <f t="shared" si="187"/>
        <v>89.997828568075789</v>
      </c>
    </row>
    <row r="128" spans="17:78" x14ac:dyDescent="0.3">
      <c r="Q128">
        <v>121</v>
      </c>
      <c r="R128" s="42">
        <f t="shared" si="151"/>
        <v>30.25</v>
      </c>
      <c r="S128">
        <f t="shared" si="95"/>
        <v>50</v>
      </c>
      <c r="T128" s="44">
        <f t="shared" si="152"/>
        <v>0.60499999999999998</v>
      </c>
      <c r="U128" s="42">
        <f t="shared" si="153"/>
        <v>1</v>
      </c>
      <c r="V128">
        <f t="shared" si="154"/>
        <v>0.29103264421710495</v>
      </c>
      <c r="W128">
        <f t="shared" si="155"/>
        <v>0.42878809581320126</v>
      </c>
      <c r="X128">
        <f t="shared" si="117"/>
        <v>0.28017925996969378</v>
      </c>
      <c r="Y128" s="42">
        <f t="shared" si="170"/>
        <v>2.07880460155075</v>
      </c>
      <c r="Z128">
        <f t="shared" si="156"/>
        <v>4.1576092031014991</v>
      </c>
      <c r="AA128">
        <f t="shared" si="119"/>
        <v>4.1576092031014991</v>
      </c>
      <c r="AB128" s="44">
        <f t="shared" si="157"/>
        <v>1.2949526549585784</v>
      </c>
      <c r="AC128" s="42">
        <v>0</v>
      </c>
      <c r="AD128">
        <f t="shared" si="158"/>
        <v>3.3538047571685423E-2</v>
      </c>
      <c r="AE128" s="44">
        <f t="shared" si="120"/>
        <v>3.3538047571685423E-2</v>
      </c>
      <c r="AF128" s="42">
        <f t="shared" si="159"/>
        <v>0.60499999999999998</v>
      </c>
      <c r="AG128" s="44">
        <f t="shared" si="160"/>
        <v>0.60499999999999998</v>
      </c>
      <c r="AH128" s="42">
        <f t="shared" si="161"/>
        <v>5.7014680871865217E-2</v>
      </c>
      <c r="AI128">
        <f t="shared" si="162"/>
        <v>0.74906867713257819</v>
      </c>
      <c r="AJ128" s="44">
        <f t="shared" si="121"/>
        <v>0.80608335800444342</v>
      </c>
      <c r="AK128" s="42">
        <f t="shared" si="163"/>
        <v>30.25</v>
      </c>
      <c r="AL128">
        <f t="shared" si="108"/>
        <v>150</v>
      </c>
      <c r="AM128" s="44">
        <f t="shared" si="171"/>
        <v>0.20166666666666666</v>
      </c>
      <c r="AN128" s="42">
        <f t="shared" si="172"/>
        <v>2</v>
      </c>
      <c r="AO128">
        <f t="shared" si="173"/>
        <v>0.42878809581320121</v>
      </c>
      <c r="AP128">
        <f t="shared" si="174"/>
        <v>0.47031778315627831</v>
      </c>
      <c r="AQ128">
        <f t="shared" si="175"/>
        <v>0.94063556631255618</v>
      </c>
      <c r="AR128">
        <f t="shared" si="142"/>
        <v>0.9406355663125564</v>
      </c>
      <c r="AS128" s="44">
        <f t="shared" si="143"/>
        <v>0.3556166842789818</v>
      </c>
      <c r="AT128" s="42"/>
      <c r="AU128">
        <f t="shared" si="176"/>
        <v>2.1148111111111111E-5</v>
      </c>
      <c r="AV128" s="44">
        <f t="shared" si="144"/>
        <v>2.1148111111111111E-5</v>
      </c>
      <c r="AW128" s="42">
        <f t="shared" si="177"/>
        <v>0.92749999999999999</v>
      </c>
      <c r="AX128">
        <f t="shared" si="178"/>
        <v>0.28233333333333333</v>
      </c>
      <c r="AY128" s="44">
        <f t="shared" si="145"/>
        <v>1.2098333333333333</v>
      </c>
      <c r="AZ128" s="42">
        <f t="shared" si="164"/>
        <v>0</v>
      </c>
      <c r="BA128">
        <f t="shared" si="165"/>
        <v>0</v>
      </c>
      <c r="BB128">
        <f t="shared" si="146"/>
        <v>0</v>
      </c>
      <c r="BC128" s="44">
        <f t="shared" si="179"/>
        <v>0</v>
      </c>
      <c r="BD128" s="42">
        <v>0</v>
      </c>
      <c r="BE128">
        <f t="shared" si="180"/>
        <v>0</v>
      </c>
      <c r="BF128" s="44">
        <f t="shared" si="147"/>
        <v>0</v>
      </c>
      <c r="BG128" s="42">
        <f t="shared" si="181"/>
        <v>0</v>
      </c>
      <c r="BH128">
        <f t="shared" si="182"/>
        <v>0</v>
      </c>
      <c r="BI128" s="44">
        <f t="shared" si="183"/>
        <v>0</v>
      </c>
      <c r="BK128" s="42">
        <f t="shared" si="166"/>
        <v>0</v>
      </c>
      <c r="BL128">
        <f t="shared" si="112"/>
        <v>0</v>
      </c>
      <c r="BM128">
        <f t="shared" si="167"/>
        <v>0</v>
      </c>
      <c r="BN128" s="44">
        <f t="shared" si="188"/>
        <v>0</v>
      </c>
      <c r="BO128" s="42">
        <v>0</v>
      </c>
      <c r="BP128">
        <f t="shared" si="184"/>
        <v>0</v>
      </c>
      <c r="BQ128" s="44">
        <f t="shared" si="148"/>
        <v>0</v>
      </c>
      <c r="BR128" s="42">
        <f t="shared" si="185"/>
        <v>0</v>
      </c>
      <c r="BS128">
        <f t="shared" si="186"/>
        <v>0</v>
      </c>
      <c r="BT128" s="44">
        <f t="shared" si="149"/>
        <v>0</v>
      </c>
      <c r="BU128" s="42">
        <f t="shared" si="168"/>
        <v>2.5153535678764063E-2</v>
      </c>
      <c r="BV128">
        <f t="shared" si="115"/>
        <v>4.3874999999999997E-2</v>
      </c>
      <c r="BW128" s="44">
        <f t="shared" si="169"/>
        <v>2.2499999999999999E-2</v>
      </c>
      <c r="BX128">
        <f t="shared" si="139"/>
        <v>0.63853804757168542</v>
      </c>
      <c r="BY128">
        <f t="shared" si="140"/>
        <v>3.3510044226993374</v>
      </c>
      <c r="BZ128">
        <f t="shared" si="187"/>
        <v>90.027070677579061</v>
      </c>
    </row>
    <row r="129" spans="17:78" x14ac:dyDescent="0.3">
      <c r="Q129">
        <v>122</v>
      </c>
      <c r="R129" s="42">
        <f t="shared" si="151"/>
        <v>30.5</v>
      </c>
      <c r="S129">
        <f t="shared" si="95"/>
        <v>50</v>
      </c>
      <c r="T129" s="44">
        <f t="shared" si="152"/>
        <v>0.61</v>
      </c>
      <c r="U129" s="42">
        <f t="shared" si="153"/>
        <v>1</v>
      </c>
      <c r="V129">
        <f t="shared" si="154"/>
        <v>0.29223278392404911</v>
      </c>
      <c r="W129">
        <f t="shared" si="155"/>
        <v>0.43055630164809905</v>
      </c>
      <c r="X129">
        <f t="shared" si="117"/>
        <v>0.2772109144278519</v>
      </c>
      <c r="Y129" s="42">
        <f t="shared" si="170"/>
        <v>2.0873770280289228</v>
      </c>
      <c r="Z129">
        <f t="shared" si="156"/>
        <v>4.1747540560578447</v>
      </c>
      <c r="AA129">
        <f t="shared" si="119"/>
        <v>4.1747540560578447</v>
      </c>
      <c r="AB129" s="44">
        <f t="shared" si="157"/>
        <v>1.3029709575160107</v>
      </c>
      <c r="AC129" s="42">
        <v>0</v>
      </c>
      <c r="AD129">
        <f t="shared" si="158"/>
        <v>3.3954666322603792E-2</v>
      </c>
      <c r="AE129" s="44">
        <f t="shared" si="120"/>
        <v>3.3954666322603792E-2</v>
      </c>
      <c r="AF129" s="42">
        <f t="shared" si="159"/>
        <v>0.61</v>
      </c>
      <c r="AG129" s="44">
        <f t="shared" si="160"/>
        <v>0.61</v>
      </c>
      <c r="AH129" s="42">
        <f t="shared" si="161"/>
        <v>5.7722932748426457E-2</v>
      </c>
      <c r="AI129">
        <f t="shared" si="162"/>
        <v>0.75215763323601914</v>
      </c>
      <c r="AJ129" s="44">
        <f t="shared" si="121"/>
        <v>0.80988056598444558</v>
      </c>
      <c r="AK129" s="42">
        <f t="shared" si="163"/>
        <v>30.5</v>
      </c>
      <c r="AL129">
        <f t="shared" si="108"/>
        <v>150</v>
      </c>
      <c r="AM129" s="44">
        <f t="shared" si="171"/>
        <v>0.20333333333333334</v>
      </c>
      <c r="AN129" s="42">
        <f t="shared" si="172"/>
        <v>2</v>
      </c>
      <c r="AO129">
        <f t="shared" si="173"/>
        <v>0.4305563016480991</v>
      </c>
      <c r="AP129">
        <f t="shared" si="174"/>
        <v>0.47225724616038972</v>
      </c>
      <c r="AQ129">
        <f t="shared" si="175"/>
        <v>0.94451449232077955</v>
      </c>
      <c r="AR129">
        <f t="shared" si="142"/>
        <v>0.94451449232077955</v>
      </c>
      <c r="AS129" s="44">
        <f t="shared" si="143"/>
        <v>0.35781865062740487</v>
      </c>
      <c r="AT129" s="42"/>
      <c r="AU129">
        <f t="shared" si="176"/>
        <v>2.1499111111111115E-5</v>
      </c>
      <c r="AV129" s="44">
        <f t="shared" si="144"/>
        <v>2.1499111111111115E-5</v>
      </c>
      <c r="AW129" s="42">
        <f t="shared" si="177"/>
        <v>0.92749999999999999</v>
      </c>
      <c r="AX129">
        <f t="shared" si="178"/>
        <v>0.28466666666666668</v>
      </c>
      <c r="AY129" s="44">
        <f t="shared" si="145"/>
        <v>1.2121666666666666</v>
      </c>
      <c r="AZ129" s="42">
        <f t="shared" si="164"/>
        <v>0</v>
      </c>
      <c r="BA129">
        <f t="shared" si="165"/>
        <v>0</v>
      </c>
      <c r="BB129">
        <f t="shared" si="146"/>
        <v>0</v>
      </c>
      <c r="BC129" s="44">
        <f t="shared" si="179"/>
        <v>0</v>
      </c>
      <c r="BD129" s="42">
        <v>0</v>
      </c>
      <c r="BE129">
        <f t="shared" si="180"/>
        <v>0</v>
      </c>
      <c r="BF129" s="44">
        <f t="shared" si="147"/>
        <v>0</v>
      </c>
      <c r="BG129" s="42">
        <f t="shared" si="181"/>
        <v>0</v>
      </c>
      <c r="BH129">
        <f t="shared" si="182"/>
        <v>0</v>
      </c>
      <c r="BI129" s="44">
        <f t="shared" si="183"/>
        <v>0</v>
      </c>
      <c r="BK129" s="42">
        <f t="shared" si="166"/>
        <v>0</v>
      </c>
      <c r="BL129">
        <f t="shared" si="112"/>
        <v>0</v>
      </c>
      <c r="BM129">
        <f t="shared" si="167"/>
        <v>0</v>
      </c>
      <c r="BN129" s="44">
        <f t="shared" si="188"/>
        <v>0</v>
      </c>
      <c r="BO129" s="42">
        <v>0</v>
      </c>
      <c r="BP129">
        <f t="shared" si="184"/>
        <v>0</v>
      </c>
      <c r="BQ129" s="44">
        <f t="shared" si="148"/>
        <v>0</v>
      </c>
      <c r="BR129" s="42">
        <f t="shared" si="185"/>
        <v>0</v>
      </c>
      <c r="BS129">
        <f t="shared" si="186"/>
        <v>0</v>
      </c>
      <c r="BT129" s="44">
        <f t="shared" si="149"/>
        <v>0</v>
      </c>
      <c r="BU129" s="42">
        <f t="shared" si="168"/>
        <v>2.5465999741952846E-2</v>
      </c>
      <c r="BV129">
        <f t="shared" si="115"/>
        <v>4.3874999999999997E-2</v>
      </c>
      <c r="BW129" s="44">
        <f t="shared" si="169"/>
        <v>2.2499999999999999E-2</v>
      </c>
      <c r="BX129">
        <f t="shared" si="139"/>
        <v>0.64395466632260379</v>
      </c>
      <c r="BY129">
        <f t="shared" si="140"/>
        <v>3.3678643978267799</v>
      </c>
      <c r="BZ129">
        <f t="shared" si="187"/>
        <v>90.055870195219967</v>
      </c>
    </row>
    <row r="130" spans="17:78" x14ac:dyDescent="0.3">
      <c r="Q130">
        <v>123</v>
      </c>
      <c r="R130" s="42">
        <f t="shared" si="151"/>
        <v>30.75</v>
      </c>
      <c r="S130">
        <f t="shared" si="95"/>
        <v>50</v>
      </c>
      <c r="T130" s="44">
        <f t="shared" si="152"/>
        <v>0.61499999999999999</v>
      </c>
      <c r="U130" s="42">
        <f t="shared" si="153"/>
        <v>1</v>
      </c>
      <c r="V130">
        <f t="shared" si="154"/>
        <v>0.29342801502242422</v>
      </c>
      <c r="W130">
        <f t="shared" si="155"/>
        <v>0.43231727546637172</v>
      </c>
      <c r="X130">
        <f t="shared" si="117"/>
        <v>0.27425470951120406</v>
      </c>
      <c r="Y130" s="42">
        <f t="shared" si="170"/>
        <v>2.0959143930173156</v>
      </c>
      <c r="Z130">
        <f t="shared" si="156"/>
        <v>4.1918287860346322</v>
      </c>
      <c r="AA130">
        <f t="shared" si="119"/>
        <v>4.1918287860346322</v>
      </c>
      <c r="AB130" s="44">
        <f t="shared" si="157"/>
        <v>1.3109728457425043</v>
      </c>
      <c r="AC130" s="42">
        <v>0</v>
      </c>
      <c r="AD130">
        <f t="shared" si="158"/>
        <v>3.4372996045483994E-2</v>
      </c>
      <c r="AE130" s="44">
        <f t="shared" si="120"/>
        <v>3.4372996045483994E-2</v>
      </c>
      <c r="AF130" s="42">
        <f t="shared" si="159"/>
        <v>0.61499999999999999</v>
      </c>
      <c r="AG130" s="44">
        <f t="shared" si="160"/>
        <v>0.61499999999999999</v>
      </c>
      <c r="AH130" s="42">
        <f t="shared" si="161"/>
        <v>5.8434093277322796E-2</v>
      </c>
      <c r="AI130">
        <f t="shared" si="162"/>
        <v>0.75523395541333327</v>
      </c>
      <c r="AJ130" s="44">
        <f t="shared" si="121"/>
        <v>0.81366804869065601</v>
      </c>
      <c r="AK130" s="42">
        <f t="shared" si="163"/>
        <v>30.75</v>
      </c>
      <c r="AL130">
        <f t="shared" si="108"/>
        <v>150</v>
      </c>
      <c r="AM130" s="44">
        <f t="shared" si="171"/>
        <v>0.20499999999999999</v>
      </c>
      <c r="AN130" s="42">
        <f t="shared" si="172"/>
        <v>2</v>
      </c>
      <c r="AO130">
        <f t="shared" si="173"/>
        <v>0.43231727546637155</v>
      </c>
      <c r="AP130">
        <f t="shared" si="174"/>
        <v>0.47418877670075021</v>
      </c>
      <c r="AQ130">
        <f t="shared" si="175"/>
        <v>0.94837755340150032</v>
      </c>
      <c r="AR130">
        <f t="shared" si="142"/>
        <v>0.94837755340150043</v>
      </c>
      <c r="AS130" s="44">
        <f t="shared" si="143"/>
        <v>0.36001610931300243</v>
      </c>
      <c r="AT130" s="42"/>
      <c r="AU130">
        <f t="shared" si="176"/>
        <v>2.1852999999999999E-5</v>
      </c>
      <c r="AV130" s="44">
        <f t="shared" si="144"/>
        <v>2.1852999999999999E-5</v>
      </c>
      <c r="AW130" s="42">
        <f t="shared" si="177"/>
        <v>0.92749999999999999</v>
      </c>
      <c r="AX130">
        <f t="shared" si="178"/>
        <v>0.28699999999999998</v>
      </c>
      <c r="AY130" s="44">
        <f t="shared" si="145"/>
        <v>1.2144999999999999</v>
      </c>
      <c r="AZ130" s="42">
        <f t="shared" si="164"/>
        <v>0</v>
      </c>
      <c r="BA130">
        <f t="shared" si="165"/>
        <v>0</v>
      </c>
      <c r="BB130">
        <f t="shared" si="146"/>
        <v>0</v>
      </c>
      <c r="BC130" s="44">
        <f t="shared" si="179"/>
        <v>0</v>
      </c>
      <c r="BD130" s="42">
        <v>0</v>
      </c>
      <c r="BE130">
        <f t="shared" si="180"/>
        <v>0</v>
      </c>
      <c r="BF130" s="44">
        <f t="shared" si="147"/>
        <v>0</v>
      </c>
      <c r="BG130" s="42">
        <f t="shared" si="181"/>
        <v>0</v>
      </c>
      <c r="BH130">
        <f t="shared" si="182"/>
        <v>0</v>
      </c>
      <c r="BI130" s="44">
        <f t="shared" si="183"/>
        <v>0</v>
      </c>
      <c r="BK130" s="42">
        <f t="shared" si="166"/>
        <v>0</v>
      </c>
      <c r="BL130">
        <f t="shared" si="112"/>
        <v>0</v>
      </c>
      <c r="BM130">
        <f t="shared" si="167"/>
        <v>0</v>
      </c>
      <c r="BN130" s="44">
        <f t="shared" si="188"/>
        <v>0</v>
      </c>
      <c r="BO130" s="42">
        <v>0</v>
      </c>
      <c r="BP130">
        <f t="shared" si="184"/>
        <v>0</v>
      </c>
      <c r="BQ130" s="44">
        <f t="shared" si="148"/>
        <v>0</v>
      </c>
      <c r="BR130" s="42">
        <f t="shared" si="185"/>
        <v>0</v>
      </c>
      <c r="BS130">
        <f t="shared" si="186"/>
        <v>0</v>
      </c>
      <c r="BT130" s="44">
        <f t="shared" si="149"/>
        <v>0</v>
      </c>
      <c r="BU130" s="42">
        <f t="shared" si="168"/>
        <v>2.5779747034112996E-2</v>
      </c>
      <c r="BV130">
        <f t="shared" si="115"/>
        <v>4.3874999999999997E-2</v>
      </c>
      <c r="BW130" s="44">
        <f t="shared" si="169"/>
        <v>2.2499999999999999E-2</v>
      </c>
      <c r="BX130">
        <f t="shared" si="139"/>
        <v>0.64937299604548393</v>
      </c>
      <c r="BY130">
        <f t="shared" si="140"/>
        <v>3.3847176447702534</v>
      </c>
      <c r="BZ130">
        <f t="shared" si="187"/>
        <v>90.084237168755891</v>
      </c>
    </row>
    <row r="131" spans="17:78" x14ac:dyDescent="0.3">
      <c r="Q131">
        <v>124</v>
      </c>
      <c r="R131" s="42">
        <f t="shared" si="151"/>
        <v>31</v>
      </c>
      <c r="S131">
        <f t="shared" si="95"/>
        <v>50</v>
      </c>
      <c r="T131" s="44">
        <f t="shared" si="152"/>
        <v>0.62</v>
      </c>
      <c r="U131" s="42">
        <f t="shared" si="153"/>
        <v>1</v>
      </c>
      <c r="V131">
        <f t="shared" si="154"/>
        <v>0.29461839725312472</v>
      </c>
      <c r="W131">
        <f t="shared" si="155"/>
        <v>0.43407110528627046</v>
      </c>
      <c r="X131">
        <f t="shared" si="117"/>
        <v>0.27131049746060487</v>
      </c>
      <c r="Y131" s="42">
        <f t="shared" si="170"/>
        <v>2.1044171232366051</v>
      </c>
      <c r="Z131">
        <f t="shared" si="156"/>
        <v>4.2088342464732102</v>
      </c>
      <c r="AA131">
        <f t="shared" si="119"/>
        <v>4.2088342464732102</v>
      </c>
      <c r="AB131" s="44">
        <f t="shared" si="157"/>
        <v>1.3189584862846369</v>
      </c>
      <c r="AC131" s="42">
        <v>0</v>
      </c>
      <c r="AD131">
        <f t="shared" si="158"/>
        <v>3.479302977084521E-2</v>
      </c>
      <c r="AE131" s="44">
        <f t="shared" si="120"/>
        <v>3.479302977084521E-2</v>
      </c>
      <c r="AF131" s="42">
        <f t="shared" si="159"/>
        <v>0.62</v>
      </c>
      <c r="AG131" s="44">
        <f t="shared" si="160"/>
        <v>0.62</v>
      </c>
      <c r="AH131" s="42">
        <f t="shared" si="161"/>
        <v>5.9148150610436857E-2</v>
      </c>
      <c r="AI131">
        <f t="shared" si="162"/>
        <v>0.75829779742745396</v>
      </c>
      <c r="AJ131" s="44">
        <f t="shared" si="121"/>
        <v>0.81744594803789083</v>
      </c>
      <c r="AK131" s="42">
        <f t="shared" si="163"/>
        <v>31</v>
      </c>
      <c r="AL131">
        <f t="shared" si="108"/>
        <v>150</v>
      </c>
      <c r="AM131" s="44">
        <f t="shared" si="171"/>
        <v>0.20666666666666667</v>
      </c>
      <c r="AN131" s="42">
        <f t="shared" si="172"/>
        <v>2</v>
      </c>
      <c r="AO131">
        <f t="shared" si="173"/>
        <v>0.43407110528627041</v>
      </c>
      <c r="AP131">
        <f t="shared" si="174"/>
        <v>0.47611247132049889</v>
      </c>
      <c r="AQ131">
        <f t="shared" si="175"/>
        <v>0.95222494264099788</v>
      </c>
      <c r="AR131">
        <f t="shared" si="142"/>
        <v>0.95222494264099788</v>
      </c>
      <c r="AS131" s="44">
        <f t="shared" si="143"/>
        <v>0.3622091060998448</v>
      </c>
      <c r="AT131" s="42"/>
      <c r="AU131">
        <f t="shared" si="176"/>
        <v>2.2209777777777781E-5</v>
      </c>
      <c r="AV131" s="44">
        <f t="shared" si="144"/>
        <v>2.2209777777777781E-5</v>
      </c>
      <c r="AW131" s="42">
        <f t="shared" si="177"/>
        <v>0.92749999999999999</v>
      </c>
      <c r="AX131">
        <f t="shared" si="178"/>
        <v>0.28933333333333333</v>
      </c>
      <c r="AY131" s="44">
        <f t="shared" si="145"/>
        <v>1.2168333333333332</v>
      </c>
      <c r="AZ131" s="42">
        <f t="shared" si="164"/>
        <v>0</v>
      </c>
      <c r="BA131">
        <f t="shared" si="165"/>
        <v>0</v>
      </c>
      <c r="BB131">
        <f t="shared" si="146"/>
        <v>0</v>
      </c>
      <c r="BC131" s="44">
        <f t="shared" si="179"/>
        <v>0</v>
      </c>
      <c r="BD131" s="42">
        <v>0</v>
      </c>
      <c r="BE131">
        <f t="shared" si="180"/>
        <v>0</v>
      </c>
      <c r="BF131" s="44">
        <f t="shared" si="147"/>
        <v>0</v>
      </c>
      <c r="BG131" s="42">
        <f t="shared" si="181"/>
        <v>0</v>
      </c>
      <c r="BH131">
        <f t="shared" si="182"/>
        <v>0</v>
      </c>
      <c r="BI131" s="44">
        <f t="shared" si="183"/>
        <v>0</v>
      </c>
      <c r="BK131" s="42">
        <f t="shared" si="166"/>
        <v>0</v>
      </c>
      <c r="BL131">
        <f t="shared" si="112"/>
        <v>0</v>
      </c>
      <c r="BM131">
        <f t="shared" si="167"/>
        <v>0</v>
      </c>
      <c r="BN131" s="44">
        <f t="shared" si="188"/>
        <v>0</v>
      </c>
      <c r="BO131" s="42">
        <v>0</v>
      </c>
      <c r="BP131">
        <f t="shared" si="184"/>
        <v>0</v>
      </c>
      <c r="BQ131" s="44">
        <f t="shared" si="148"/>
        <v>0</v>
      </c>
      <c r="BR131" s="42">
        <f t="shared" si="185"/>
        <v>0</v>
      </c>
      <c r="BS131">
        <f t="shared" si="186"/>
        <v>0</v>
      </c>
      <c r="BT131" s="44">
        <f t="shared" si="149"/>
        <v>0</v>
      </c>
      <c r="BU131" s="42">
        <f t="shared" si="168"/>
        <v>2.6094772328133908E-2</v>
      </c>
      <c r="BV131">
        <f t="shared" si="115"/>
        <v>4.3874999999999997E-2</v>
      </c>
      <c r="BW131" s="44">
        <f t="shared" si="169"/>
        <v>2.2499999999999999E-2</v>
      </c>
      <c r="BX131">
        <f t="shared" si="139"/>
        <v>0.65479302977084519</v>
      </c>
      <c r="BY131">
        <f t="shared" si="140"/>
        <v>3.4015642932479815</v>
      </c>
      <c r="BZ131">
        <f t="shared" si="187"/>
        <v>90.11218134078976</v>
      </c>
    </row>
    <row r="132" spans="17:78" x14ac:dyDescent="0.3">
      <c r="Q132">
        <v>125</v>
      </c>
      <c r="R132" s="42">
        <f t="shared" si="151"/>
        <v>31.25</v>
      </c>
      <c r="S132">
        <f t="shared" si="95"/>
        <v>50</v>
      </c>
      <c r="T132" s="44">
        <f t="shared" si="152"/>
        <v>0.625</v>
      </c>
      <c r="U132" s="42">
        <f t="shared" si="153"/>
        <v>1</v>
      </c>
      <c r="V132">
        <f t="shared" si="154"/>
        <v>0.2958039891549808</v>
      </c>
      <c r="W132">
        <f t="shared" si="155"/>
        <v>0.43581787735500505</v>
      </c>
      <c r="X132">
        <f t="shared" si="117"/>
        <v>0.2683781334900141</v>
      </c>
      <c r="Y132" s="42">
        <f t="shared" si="170"/>
        <v>2.1128856368212916</v>
      </c>
      <c r="Z132">
        <f t="shared" si="156"/>
        <v>4.2257712736425832</v>
      </c>
      <c r="AA132">
        <f t="shared" si="119"/>
        <v>4.2257712736425832</v>
      </c>
      <c r="AB132" s="44">
        <f t="shared" si="157"/>
        <v>1.3269280427681109</v>
      </c>
      <c r="AC132" s="42">
        <v>0</v>
      </c>
      <c r="AD132">
        <f t="shared" si="158"/>
        <v>3.5214760613688195E-2</v>
      </c>
      <c r="AE132" s="44">
        <f t="shared" si="120"/>
        <v>3.5214760613688195E-2</v>
      </c>
      <c r="AF132" s="42">
        <f t="shared" si="159"/>
        <v>0.625</v>
      </c>
      <c r="AG132" s="44">
        <f t="shared" si="160"/>
        <v>0.625</v>
      </c>
      <c r="AH132" s="42">
        <f t="shared" si="161"/>
        <v>5.986509304326993E-2</v>
      </c>
      <c r="AI132">
        <f t="shared" si="162"/>
        <v>0.76134930994740313</v>
      </c>
      <c r="AJ132" s="44">
        <f t="shared" si="121"/>
        <v>0.82121440299067305</v>
      </c>
      <c r="AK132" s="42">
        <f t="shared" si="163"/>
        <v>31.25</v>
      </c>
      <c r="AL132">
        <f t="shared" si="108"/>
        <v>150</v>
      </c>
      <c r="AM132" s="44">
        <f t="shared" si="171"/>
        <v>0.20833333333333334</v>
      </c>
      <c r="AN132" s="42">
        <f t="shared" si="172"/>
        <v>2</v>
      </c>
      <c r="AO132">
        <f t="shared" si="173"/>
        <v>0.4358178773550051</v>
      </c>
      <c r="AP132">
        <f t="shared" si="174"/>
        <v>0.47802842462020168</v>
      </c>
      <c r="AQ132">
        <f t="shared" si="175"/>
        <v>0.95605684924040357</v>
      </c>
      <c r="AR132">
        <f t="shared" si="142"/>
        <v>0.95605684924040346</v>
      </c>
      <c r="AS132" s="44">
        <f t="shared" si="143"/>
        <v>0.36439768592241584</v>
      </c>
      <c r="AT132" s="42"/>
      <c r="AU132">
        <f t="shared" si="176"/>
        <v>2.256944444444445E-5</v>
      </c>
      <c r="AV132" s="44">
        <f t="shared" si="144"/>
        <v>2.256944444444445E-5</v>
      </c>
      <c r="AW132" s="42">
        <f t="shared" si="177"/>
        <v>0.92749999999999999</v>
      </c>
      <c r="AX132">
        <f t="shared" si="178"/>
        <v>0.29166666666666669</v>
      </c>
      <c r="AY132" s="44">
        <f t="shared" si="145"/>
        <v>1.2191666666666667</v>
      </c>
      <c r="AZ132" s="42">
        <f t="shared" si="164"/>
        <v>0</v>
      </c>
      <c r="BA132">
        <f t="shared" si="165"/>
        <v>0</v>
      </c>
      <c r="BB132">
        <f t="shared" si="146"/>
        <v>0</v>
      </c>
      <c r="BC132" s="44">
        <f t="shared" si="179"/>
        <v>0</v>
      </c>
      <c r="BD132" s="42">
        <v>0</v>
      </c>
      <c r="BE132">
        <f t="shared" si="180"/>
        <v>0</v>
      </c>
      <c r="BF132" s="44">
        <f t="shared" si="147"/>
        <v>0</v>
      </c>
      <c r="BG132" s="42">
        <f t="shared" si="181"/>
        <v>0</v>
      </c>
      <c r="BH132">
        <f t="shared" si="182"/>
        <v>0</v>
      </c>
      <c r="BI132" s="44">
        <f t="shared" si="183"/>
        <v>0</v>
      </c>
      <c r="BK132" s="42">
        <f t="shared" si="166"/>
        <v>0</v>
      </c>
      <c r="BL132">
        <f t="shared" si="112"/>
        <v>0</v>
      </c>
      <c r="BM132">
        <f t="shared" si="167"/>
        <v>0</v>
      </c>
      <c r="BN132" s="44">
        <f t="shared" si="188"/>
        <v>0</v>
      </c>
      <c r="BO132" s="42">
        <v>0</v>
      </c>
      <c r="BP132">
        <f t="shared" si="184"/>
        <v>0</v>
      </c>
      <c r="BQ132" s="44">
        <f t="shared" si="148"/>
        <v>0</v>
      </c>
      <c r="BR132" s="42">
        <f t="shared" si="185"/>
        <v>0</v>
      </c>
      <c r="BS132">
        <f t="shared" si="186"/>
        <v>0</v>
      </c>
      <c r="BT132" s="44">
        <f t="shared" si="149"/>
        <v>0</v>
      </c>
      <c r="BU132" s="42">
        <f t="shared" si="168"/>
        <v>2.6411070460266143E-2</v>
      </c>
      <c r="BV132">
        <f t="shared" si="115"/>
        <v>4.3874999999999997E-2</v>
      </c>
      <c r="BW132" s="44">
        <f t="shared" si="169"/>
        <v>2.2499999999999999E-2</v>
      </c>
      <c r="BX132">
        <f t="shared" si="139"/>
        <v>0.66021476061368822</v>
      </c>
      <c r="BY132">
        <f t="shared" si="140"/>
        <v>3.4184044701757386</v>
      </c>
      <c r="BZ132">
        <f t="shared" si="187"/>
        <v>90.139712160343294</v>
      </c>
    </row>
    <row r="133" spans="17:78" x14ac:dyDescent="0.3">
      <c r="Q133">
        <v>126</v>
      </c>
      <c r="R133" s="42">
        <f t="shared" si="151"/>
        <v>31.5</v>
      </c>
      <c r="S133">
        <f t="shared" si="95"/>
        <v>50</v>
      </c>
      <c r="T133" s="44">
        <f t="shared" si="152"/>
        <v>0.63</v>
      </c>
      <c r="U133" s="42">
        <f t="shared" si="153"/>
        <v>1</v>
      </c>
      <c r="V133">
        <f t="shared" si="154"/>
        <v>0.29698484809834996</v>
      </c>
      <c r="W133">
        <f t="shared" si="155"/>
        <v>0.4375576761982356</v>
      </c>
      <c r="X133">
        <f t="shared" si="117"/>
        <v>0.26545747570341449</v>
      </c>
      <c r="Y133" s="42">
        <f t="shared" si="170"/>
        <v>2.1213203435596424</v>
      </c>
      <c r="Z133">
        <f t="shared" si="156"/>
        <v>4.2426406871192857</v>
      </c>
      <c r="AA133">
        <f t="shared" si="119"/>
        <v>4.2426406871192857</v>
      </c>
      <c r="AB133" s="44">
        <f t="shared" si="157"/>
        <v>1.3348816758762179</v>
      </c>
      <c r="AC133" s="42">
        <v>0</v>
      </c>
      <c r="AD133">
        <f t="shared" si="158"/>
        <v>3.5638181771801995E-2</v>
      </c>
      <c r="AE133" s="44">
        <f t="shared" si="120"/>
        <v>3.5638181771801995E-2</v>
      </c>
      <c r="AF133" s="42">
        <f t="shared" si="159"/>
        <v>0.63</v>
      </c>
      <c r="AG133" s="44">
        <f t="shared" si="160"/>
        <v>0.63</v>
      </c>
      <c r="AH133" s="42">
        <f t="shared" si="161"/>
        <v>6.0584909012063398E-2</v>
      </c>
      <c r="AI133">
        <f t="shared" si="162"/>
        <v>0.7643886406347532</v>
      </c>
      <c r="AJ133" s="44">
        <f t="shared" si="121"/>
        <v>0.82497354964681657</v>
      </c>
      <c r="AK133" s="42">
        <f t="shared" si="163"/>
        <v>31.5</v>
      </c>
      <c r="AL133">
        <f t="shared" si="108"/>
        <v>150</v>
      </c>
      <c r="AM133" s="44">
        <f t="shared" si="171"/>
        <v>0.21</v>
      </c>
      <c r="AN133" s="42">
        <f t="shared" si="172"/>
        <v>2</v>
      </c>
      <c r="AO133">
        <f t="shared" si="173"/>
        <v>0.43755767619823555</v>
      </c>
      <c r="AP133">
        <f t="shared" si="174"/>
        <v>0.47993672931213638</v>
      </c>
      <c r="AQ133">
        <f t="shared" si="175"/>
        <v>0.95987345862427265</v>
      </c>
      <c r="AR133">
        <f t="shared" si="142"/>
        <v>0.95987345862427276</v>
      </c>
      <c r="AS133" s="44">
        <f t="shared" si="143"/>
        <v>0.36658189290716225</v>
      </c>
      <c r="AT133" s="42"/>
      <c r="AU133">
        <f t="shared" si="176"/>
        <v>2.2932E-5</v>
      </c>
      <c r="AV133" s="44">
        <f t="shared" si="144"/>
        <v>2.2932E-5</v>
      </c>
      <c r="AW133" s="42">
        <f t="shared" si="177"/>
        <v>0.92749999999999999</v>
      </c>
      <c r="AX133">
        <f t="shared" si="178"/>
        <v>0.29399999999999998</v>
      </c>
      <c r="AY133" s="44">
        <f t="shared" si="145"/>
        <v>1.2215</v>
      </c>
      <c r="AZ133" s="42">
        <f t="shared" si="164"/>
        <v>0</v>
      </c>
      <c r="BA133">
        <f t="shared" si="165"/>
        <v>0</v>
      </c>
      <c r="BB133">
        <f t="shared" si="146"/>
        <v>0</v>
      </c>
      <c r="BC133" s="44">
        <f t="shared" si="179"/>
        <v>0</v>
      </c>
      <c r="BD133" s="42">
        <v>0</v>
      </c>
      <c r="BE133">
        <f t="shared" si="180"/>
        <v>0</v>
      </c>
      <c r="BF133" s="44">
        <f t="shared" si="147"/>
        <v>0</v>
      </c>
      <c r="BG133" s="42">
        <f t="shared" si="181"/>
        <v>0</v>
      </c>
      <c r="BH133">
        <f t="shared" si="182"/>
        <v>0</v>
      </c>
      <c r="BI133" s="44">
        <f t="shared" si="183"/>
        <v>0</v>
      </c>
      <c r="BK133" s="42">
        <f t="shared" si="166"/>
        <v>0</v>
      </c>
      <c r="BL133">
        <f t="shared" si="112"/>
        <v>0</v>
      </c>
      <c r="BM133">
        <f t="shared" si="167"/>
        <v>0</v>
      </c>
      <c r="BN133" s="44">
        <f t="shared" si="188"/>
        <v>0</v>
      </c>
      <c r="BO133" s="42">
        <v>0</v>
      </c>
      <c r="BP133">
        <f t="shared" si="184"/>
        <v>0</v>
      </c>
      <c r="BQ133" s="44">
        <f t="shared" si="148"/>
        <v>0</v>
      </c>
      <c r="BR133" s="42">
        <f t="shared" si="185"/>
        <v>0</v>
      </c>
      <c r="BS133">
        <f t="shared" si="186"/>
        <v>0</v>
      </c>
      <c r="BT133" s="44">
        <f t="shared" si="149"/>
        <v>0</v>
      </c>
      <c r="BU133" s="42">
        <f t="shared" si="168"/>
        <v>2.6728636328851498E-2</v>
      </c>
      <c r="BV133">
        <f t="shared" si="115"/>
        <v>4.3874999999999997E-2</v>
      </c>
      <c r="BW133" s="44">
        <f t="shared" si="169"/>
        <v>2.2499999999999999E-2</v>
      </c>
      <c r="BX133">
        <f t="shared" si="139"/>
        <v>0.66563818177180201</v>
      </c>
      <c r="BY133">
        <f t="shared" si="140"/>
        <v>3.43523829974747</v>
      </c>
      <c r="BZ133">
        <f t="shared" si="187"/>
        <v>90.166838793905413</v>
      </c>
    </row>
    <row r="134" spans="17:78" x14ac:dyDescent="0.3">
      <c r="Q134">
        <v>127</v>
      </c>
      <c r="R134" s="42">
        <f t="shared" si="151"/>
        <v>31.75</v>
      </c>
      <c r="S134">
        <f t="shared" si="95"/>
        <v>50</v>
      </c>
      <c r="T134" s="44">
        <f t="shared" si="152"/>
        <v>0.63500000000000001</v>
      </c>
      <c r="U134" s="42">
        <f t="shared" si="153"/>
        <v>1</v>
      </c>
      <c r="V134">
        <f t="shared" si="154"/>
        <v>0.29816103031751151</v>
      </c>
      <c r="W134">
        <f t="shared" si="155"/>
        <v>0.4392905846678003</v>
      </c>
      <c r="X134">
        <f t="shared" si="117"/>
        <v>0.26254838501468819</v>
      </c>
      <c r="Y134" s="42">
        <f t="shared" si="170"/>
        <v>2.1297216451250818</v>
      </c>
      <c r="Z134">
        <f t="shared" si="156"/>
        <v>4.2594432902501644</v>
      </c>
      <c r="AA134">
        <f t="shared" si="119"/>
        <v>4.2594432902501644</v>
      </c>
      <c r="AB134" s="44">
        <f t="shared" si="157"/>
        <v>1.342819543425662</v>
      </c>
      <c r="AC134" s="42">
        <v>0</v>
      </c>
      <c r="AD134">
        <f t="shared" si="158"/>
        <v>3.6063286524118068E-2</v>
      </c>
      <c r="AE134" s="44">
        <f t="shared" si="120"/>
        <v>3.6063286524118068E-2</v>
      </c>
      <c r="AF134" s="42">
        <f t="shared" si="159"/>
        <v>0.63500000000000001</v>
      </c>
      <c r="AG134" s="44">
        <f t="shared" si="160"/>
        <v>0.63500000000000001</v>
      </c>
      <c r="AH134" s="42">
        <f t="shared" si="161"/>
        <v>6.1307587091000718E-2</v>
      </c>
      <c r="AI134">
        <f t="shared" si="162"/>
        <v>0.76741593422700383</v>
      </c>
      <c r="AJ134" s="44">
        <f t="shared" si="121"/>
        <v>0.82872352131800453</v>
      </c>
      <c r="AK134" s="42">
        <f t="shared" si="163"/>
        <v>31.75</v>
      </c>
      <c r="AL134">
        <f t="shared" si="108"/>
        <v>150</v>
      </c>
      <c r="AM134" s="44">
        <f t="shared" si="171"/>
        <v>0.21166666666666667</v>
      </c>
      <c r="AN134" s="42">
        <f t="shared" si="172"/>
        <v>2</v>
      </c>
      <c r="AO134">
        <f t="shared" si="173"/>
        <v>0.4392905846678003</v>
      </c>
      <c r="AP134">
        <f t="shared" si="174"/>
        <v>0.48183747627264295</v>
      </c>
      <c r="AQ134">
        <f t="shared" si="175"/>
        <v>0.96367495254528612</v>
      </c>
      <c r="AR134">
        <f t="shared" si="142"/>
        <v>0.96367495254528601</v>
      </c>
      <c r="AS134" s="44">
        <f t="shared" si="143"/>
        <v>0.36876177039331587</v>
      </c>
      <c r="AT134" s="42"/>
      <c r="AU134">
        <f t="shared" si="176"/>
        <v>2.3297444444444451E-5</v>
      </c>
      <c r="AV134" s="44">
        <f t="shared" si="144"/>
        <v>2.3297444444444451E-5</v>
      </c>
      <c r="AW134" s="42">
        <f t="shared" si="177"/>
        <v>0.92749999999999999</v>
      </c>
      <c r="AX134">
        <f t="shared" si="178"/>
        <v>0.29633333333333334</v>
      </c>
      <c r="AY134" s="44">
        <f t="shared" si="145"/>
        <v>1.2238333333333333</v>
      </c>
      <c r="AZ134" s="42">
        <f t="shared" si="164"/>
        <v>0</v>
      </c>
      <c r="BA134">
        <f t="shared" si="165"/>
        <v>0</v>
      </c>
      <c r="BB134">
        <f t="shared" si="146"/>
        <v>0</v>
      </c>
      <c r="BC134" s="44">
        <f t="shared" si="179"/>
        <v>0</v>
      </c>
      <c r="BD134" s="42">
        <v>0</v>
      </c>
      <c r="BE134">
        <f t="shared" si="180"/>
        <v>0</v>
      </c>
      <c r="BF134" s="44">
        <f t="shared" si="147"/>
        <v>0</v>
      </c>
      <c r="BG134" s="42">
        <f t="shared" si="181"/>
        <v>0</v>
      </c>
      <c r="BH134">
        <f t="shared" si="182"/>
        <v>0</v>
      </c>
      <c r="BI134" s="44">
        <f t="shared" si="183"/>
        <v>0</v>
      </c>
      <c r="BK134" s="42">
        <f t="shared" si="166"/>
        <v>0</v>
      </c>
      <c r="BL134">
        <f t="shared" si="112"/>
        <v>0</v>
      </c>
      <c r="BM134">
        <f t="shared" si="167"/>
        <v>0</v>
      </c>
      <c r="BN134" s="44">
        <f t="shared" si="188"/>
        <v>0</v>
      </c>
      <c r="BO134" s="42">
        <v>0</v>
      </c>
      <c r="BP134">
        <f t="shared" si="184"/>
        <v>0</v>
      </c>
      <c r="BQ134" s="44">
        <f t="shared" si="148"/>
        <v>0</v>
      </c>
      <c r="BR134" s="42">
        <f t="shared" si="185"/>
        <v>0</v>
      </c>
      <c r="BS134">
        <f t="shared" si="186"/>
        <v>0</v>
      </c>
      <c r="BT134" s="44">
        <f t="shared" si="149"/>
        <v>0</v>
      </c>
      <c r="BU134" s="42">
        <f t="shared" si="168"/>
        <v>2.7047464893088551E-2</v>
      </c>
      <c r="BV134">
        <f t="shared" si="115"/>
        <v>4.3874999999999997E-2</v>
      </c>
      <c r="BW134" s="44">
        <f t="shared" si="169"/>
        <v>2.2499999999999999E-2</v>
      </c>
      <c r="BX134">
        <f t="shared" si="139"/>
        <v>0.67106328652411806</v>
      </c>
      <c r="BY134">
        <f t="shared" si="140"/>
        <v>3.452065903512989</v>
      </c>
      <c r="BZ134">
        <f t="shared" si="187"/>
        <v>90.193570135983165</v>
      </c>
    </row>
    <row r="135" spans="17:78" x14ac:dyDescent="0.3">
      <c r="Q135">
        <v>128</v>
      </c>
      <c r="R135" s="42">
        <f t="shared" ref="R135:R157" si="189">AK135+AZ135+BK135</f>
        <v>32</v>
      </c>
      <c r="S135">
        <f t="shared" ref="S135:S157" si="190">VIN_var</f>
        <v>50</v>
      </c>
      <c r="T135" s="44">
        <f t="shared" ref="T135:T157" si="191">(R135)/(S135*EFF_est)</f>
        <v>0.64</v>
      </c>
      <c r="U135" s="42">
        <f t="shared" ref="U135:U157" si="192">IF(R135&lt;((((Np/NS1_)*(AL135)/((S135+((Np/NS1_)*(AL135)))))^2)*(S135^2))/(2*Lm*Fsw),1,2)</f>
        <v>1</v>
      </c>
      <c r="V135">
        <f t="shared" ref="V135:V157" si="193">CHOOSE(U135,SQRT((2*Lm*R135*Fsw)/((S135^2)*EFF_est)),(((Np/NS1_)*(AL135))/(S135+((Np/NS1_)*(AL135)))))</f>
        <v>0.29933259094191533</v>
      </c>
      <c r="W135">
        <f t="shared" ref="W135:W157" si="194">CHOOSE(U135,(NS1_*S135*V135)/(Np*AL135),1-V135)</f>
        <v>0.44101668398775529</v>
      </c>
      <c r="X135">
        <f t="shared" si="117"/>
        <v>0.25965072507032938</v>
      </c>
      <c r="Y135" s="42">
        <f t="shared" si="170"/>
        <v>2.1380899352993947</v>
      </c>
      <c r="Z135">
        <f t="shared" ref="Z135:Z157" si="195">(S135*V135)/(Lm*Fsw)</f>
        <v>4.2761798705987903</v>
      </c>
      <c r="AA135">
        <f t="shared" si="119"/>
        <v>4.2761798705987903</v>
      </c>
      <c r="AB135" s="44">
        <f t="shared" ref="AB135:AB157" si="196">CHOOSE(U135,AA135*SQRT(V135/3),SQRT(V135*((AA135^2)+((Z135^2)/(3))-(AA135*Z135))))</f>
        <v>1.3507418004398488</v>
      </c>
      <c r="AC135" s="42">
        <v>0</v>
      </c>
      <c r="AD135">
        <f t="shared" ref="AD135:AD157" si="197">(AB135^2)*Rdcr</f>
        <v>3.649006822910969E-2</v>
      </c>
      <c r="AE135" s="44">
        <f t="shared" si="120"/>
        <v>3.649006822910969E-2</v>
      </c>
      <c r="AF135" s="42">
        <f t="shared" ref="AF135:AF157" si="198">R135*0.02</f>
        <v>0.64</v>
      </c>
      <c r="AG135" s="44">
        <f t="shared" ref="AG135:AG157" si="199">R135*0.02</f>
        <v>0.64</v>
      </c>
      <c r="AH135" s="42">
        <f t="shared" ref="AH135:AH157" si="200">(AB135^2)*RDS_on</f>
        <v>6.2033115989486472E-2</v>
      </c>
      <c r="AI135">
        <f t="shared" ref="AI135:AI157" si="201">((Y135*(S135+((Np/NS1_)*VOUT1)))/2)*Fsw*(tr_sw+tf_sw)</f>
        <v>0.77043133261801078</v>
      </c>
      <c r="AJ135" s="44">
        <f t="shared" si="121"/>
        <v>0.83246444860749724</v>
      </c>
      <c r="AK135" s="42">
        <f t="shared" ref="AK135:AK157" si="202">Q135*$B$11</f>
        <v>32</v>
      </c>
      <c r="AL135">
        <f t="shared" ref="AL135:AL157" si="203">VOUT1</f>
        <v>150</v>
      </c>
      <c r="AM135" s="44">
        <f t="shared" si="171"/>
        <v>0.21333333333333335</v>
      </c>
      <c r="AN135" s="42">
        <f t="shared" si="172"/>
        <v>2</v>
      </c>
      <c r="AO135">
        <f t="shared" si="173"/>
        <v>0.44101668398775529</v>
      </c>
      <c r="AP135">
        <f t="shared" si="174"/>
        <v>0.48373075459262327</v>
      </c>
      <c r="AQ135">
        <f t="shared" si="175"/>
        <v>0.96746150918524687</v>
      </c>
      <c r="AR135">
        <f t="shared" si="142"/>
        <v>0.96746150918524676</v>
      </c>
      <c r="AS135" s="44">
        <f t="shared" si="143"/>
        <v>0.37093736095301955</v>
      </c>
      <c r="AT135" s="42"/>
      <c r="AU135">
        <f t="shared" si="176"/>
        <v>2.3665777777777785E-5</v>
      </c>
      <c r="AV135" s="44">
        <f t="shared" si="144"/>
        <v>2.3665777777777785E-5</v>
      </c>
      <c r="AW135" s="42">
        <f t="shared" si="177"/>
        <v>0.92749999999999999</v>
      </c>
      <c r="AX135">
        <f t="shared" si="178"/>
        <v>0.29866666666666669</v>
      </c>
      <c r="AY135" s="44">
        <f t="shared" si="145"/>
        <v>1.2261666666666666</v>
      </c>
      <c r="AZ135" s="42">
        <f t="shared" ref="AZ135:AZ157" si="204">IF(EN_OUT_2=1,Q135*$B$15,0)</f>
        <v>0</v>
      </c>
      <c r="BA135">
        <f t="shared" ref="BA135:BA157" si="205">IF(EN_OUT_2=1,VOUT2,0)</f>
        <v>0</v>
      </c>
      <c r="BB135">
        <f t="shared" si="146"/>
        <v>0</v>
      </c>
      <c r="BC135" s="44">
        <f t="shared" si="179"/>
        <v>0</v>
      </c>
      <c r="BD135" s="42">
        <v>0</v>
      </c>
      <c r="BE135">
        <f t="shared" si="180"/>
        <v>0</v>
      </c>
      <c r="BF135" s="44">
        <f t="shared" si="147"/>
        <v>0</v>
      </c>
      <c r="BG135" s="42">
        <f t="shared" si="181"/>
        <v>0</v>
      </c>
      <c r="BH135">
        <f t="shared" si="182"/>
        <v>0</v>
      </c>
      <c r="BI135" s="44">
        <f t="shared" si="183"/>
        <v>0</v>
      </c>
      <c r="BK135" s="42">
        <f t="shared" ref="BK135:BK157" si="206">IF(EN_OUT_3=1,Q135*$B$19,0)</f>
        <v>0</v>
      </c>
      <c r="BL135">
        <f t="shared" ref="BL135:BL157" si="207">IF(EN_OUT_3=1,VOUT3,0)</f>
        <v>0</v>
      </c>
      <c r="BM135">
        <f t="shared" ref="BM135:BM157" si="208">IF(EN_OUT_3=1,BK135/BL135,0)</f>
        <v>0</v>
      </c>
      <c r="BN135" s="44">
        <f t="shared" si="188"/>
        <v>0</v>
      </c>
      <c r="BO135" s="42">
        <v>0</v>
      </c>
      <c r="BP135">
        <f t="shared" si="184"/>
        <v>0</v>
      </c>
      <c r="BQ135" s="44">
        <f t="shared" si="148"/>
        <v>0</v>
      </c>
      <c r="BR135" s="42">
        <f t="shared" si="185"/>
        <v>0</v>
      </c>
      <c r="BS135">
        <f t="shared" si="186"/>
        <v>0</v>
      </c>
      <c r="BT135" s="44">
        <f t="shared" si="149"/>
        <v>0</v>
      </c>
      <c r="BU135" s="42">
        <f t="shared" ref="BU135:BU157" si="209">(AB135^2)*R_cs</f>
        <v>2.7367551171832264E-2</v>
      </c>
      <c r="BV135">
        <f t="shared" ref="BV135:BV157" si="210">Qg_tot*Vcc*Fsw</f>
        <v>4.3874999999999997E-2</v>
      </c>
      <c r="BW135" s="44">
        <f t="shared" ref="BW135:BW157" si="211">IQ*S135</f>
        <v>2.2499999999999999E-2</v>
      </c>
      <c r="BX135">
        <f t="shared" si="139"/>
        <v>0.67649006822910973</v>
      </c>
      <c r="BY135">
        <f t="shared" si="140"/>
        <v>3.4688874004528834</v>
      </c>
      <c r="BZ135">
        <f t="shared" si="187"/>
        <v>90.219914819181525</v>
      </c>
    </row>
    <row r="136" spans="17:78" x14ac:dyDescent="0.3">
      <c r="Q136">
        <v>129</v>
      </c>
      <c r="R136" s="42">
        <f t="shared" si="189"/>
        <v>32.25</v>
      </c>
      <c r="S136">
        <f t="shared" si="190"/>
        <v>50</v>
      </c>
      <c r="T136" s="44">
        <f t="shared" si="191"/>
        <v>0.64500000000000002</v>
      </c>
      <c r="U136" s="42">
        <f t="shared" si="192"/>
        <v>1</v>
      </c>
      <c r="V136">
        <f t="shared" si="193"/>
        <v>0.30049958402633437</v>
      </c>
      <c r="W136">
        <f t="shared" si="194"/>
        <v>0.44273605379879927</v>
      </c>
      <c r="X136">
        <f t="shared" ref="X136:X157" si="212">CHOOSE(U136,1-V136-W136,0)</f>
        <v>0.25676436217486637</v>
      </c>
      <c r="Y136" s="42">
        <f t="shared" ref="Y136:Y157" si="213">R136/(S136*EFF_est*V136)</f>
        <v>2.146425600188103</v>
      </c>
      <c r="Z136">
        <f t="shared" si="195"/>
        <v>4.2928512003762052</v>
      </c>
      <c r="AA136">
        <f t="shared" ref="AA136:AA156" si="214">Y136+(Z136/2)</f>
        <v>4.2928512003762052</v>
      </c>
      <c r="AB136" s="44">
        <f t="shared" si="196"/>
        <v>1.3586485992197423</v>
      </c>
      <c r="AC136" s="42">
        <v>0</v>
      </c>
      <c r="AD136">
        <f t="shared" si="197"/>
        <v>3.6918520323235365E-2</v>
      </c>
      <c r="AE136" s="44">
        <f t="shared" ref="AE136:AE157" si="215">AC136+AD136</f>
        <v>3.6918520323235365E-2</v>
      </c>
      <c r="AF136" s="42">
        <f t="shared" si="198"/>
        <v>0.64500000000000002</v>
      </c>
      <c r="AG136" s="44">
        <f t="shared" si="199"/>
        <v>0.64500000000000002</v>
      </c>
      <c r="AH136" s="42">
        <f t="shared" si="200"/>
        <v>6.2761484549500118E-2</v>
      </c>
      <c r="AI136">
        <f t="shared" si="201"/>
        <v>0.77343497493559443</v>
      </c>
      <c r="AJ136" s="44">
        <f t="shared" ref="AJ136:AJ157" si="216">AH136+AI136</f>
        <v>0.83619645948509458</v>
      </c>
      <c r="AK136" s="42">
        <f t="shared" si="202"/>
        <v>32.25</v>
      </c>
      <c r="AL136">
        <f t="shared" si="203"/>
        <v>150</v>
      </c>
      <c r="AM136" s="44">
        <f t="shared" ref="AM136:AM157" si="217">AK136/AL136</f>
        <v>0.215</v>
      </c>
      <c r="AN136" s="42">
        <f t="shared" ref="AN136:AN157" si="218">IF(((AL136*AO136)/(Fsw*$AO$2))/2&gt;AP136,1,2)</f>
        <v>2</v>
      </c>
      <c r="AO136">
        <f t="shared" ref="AO136:AO157" si="219">AM136/AP136</f>
        <v>0.44273605379879927</v>
      </c>
      <c r="AP136">
        <f t="shared" ref="AP136:AP157" si="220">Np*$Y136*AK136/(R136*NS1_)</f>
        <v>0.48561665162626766</v>
      </c>
      <c r="AQ136">
        <f t="shared" ref="AQ136:AQ157" si="221">(AL136*AO136)/(Fsw*$AO$2)</f>
        <v>0.97123330325253521</v>
      </c>
      <c r="AR136">
        <f t="shared" si="142"/>
        <v>0.97123330325253532</v>
      </c>
      <c r="AS136" s="44">
        <f t="shared" si="143"/>
        <v>0.37310870641078592</v>
      </c>
      <c r="AT136" s="42"/>
      <c r="AU136">
        <f t="shared" ref="AU136:AU157" si="222">(AM136^2)*Rdcr1</f>
        <v>2.4037E-5</v>
      </c>
      <c r="AV136" s="44">
        <f t="shared" si="144"/>
        <v>2.4037E-5</v>
      </c>
      <c r="AW136" s="42">
        <f t="shared" ref="AW136:AW157" si="223">(VOUT1+((NS1_/Np)*S136))*QRR1_*Fsw</f>
        <v>0.92749999999999999</v>
      </c>
      <c r="AX136">
        <f t="shared" ref="AX136:AX157" si="224">AM136*VD1_</f>
        <v>0.30099999999999999</v>
      </c>
      <c r="AY136" s="44">
        <f t="shared" si="145"/>
        <v>1.2284999999999999</v>
      </c>
      <c r="AZ136" s="42">
        <f t="shared" si="204"/>
        <v>0</v>
      </c>
      <c r="BA136">
        <f t="shared" si="205"/>
        <v>0</v>
      </c>
      <c r="BB136">
        <f t="shared" si="146"/>
        <v>0</v>
      </c>
      <c r="BC136" s="44">
        <f t="shared" ref="BC136:BC157" si="225">IF(EN_OUT_2=1,AZ136/BA136,0)</f>
        <v>0</v>
      </c>
      <c r="BD136" s="42">
        <v>0</v>
      </c>
      <c r="BE136">
        <f t="shared" ref="BE136:BE157" si="226">(BB136^2)*Rdcr2</f>
        <v>0</v>
      </c>
      <c r="BF136" s="44">
        <f t="shared" si="147"/>
        <v>0</v>
      </c>
      <c r="BG136" s="42">
        <f t="shared" ref="BG136:BG157" si="227">(VOUT2+((NS2_/Np)*S136))*QRR2_*Fsw</f>
        <v>0</v>
      </c>
      <c r="BH136">
        <f t="shared" ref="BH136:BH157" si="228">BB136*VD2_</f>
        <v>0</v>
      </c>
      <c r="BI136" s="44">
        <f t="shared" ref="BI136:BI157" si="229">BH136+BG136</f>
        <v>0</v>
      </c>
      <c r="BK136" s="42">
        <f t="shared" si="206"/>
        <v>0</v>
      </c>
      <c r="BL136">
        <f t="shared" si="207"/>
        <v>0</v>
      </c>
      <c r="BM136">
        <f t="shared" si="208"/>
        <v>0</v>
      </c>
      <c r="BN136" s="44">
        <f t="shared" si="188"/>
        <v>0</v>
      </c>
      <c r="BO136" s="42">
        <v>0</v>
      </c>
      <c r="BP136">
        <f t="shared" ref="BP136:BP157" si="230">(BM136^2)*Rdcr3</f>
        <v>0</v>
      </c>
      <c r="BQ136" s="44">
        <f t="shared" si="148"/>
        <v>0</v>
      </c>
      <c r="BR136" s="42">
        <f t="shared" ref="BR136:BR157" si="231">(VOUT3+((NS3_/Np)*S136))*QRR3_*Fsw</f>
        <v>0</v>
      </c>
      <c r="BS136">
        <f t="shared" ref="BS136:BS157" si="232">BM136*VD3_</f>
        <v>0</v>
      </c>
      <c r="BT136" s="44">
        <f t="shared" si="149"/>
        <v>0</v>
      </c>
      <c r="BU136" s="42">
        <f t="shared" si="209"/>
        <v>2.7688890242426521E-2</v>
      </c>
      <c r="BV136">
        <f t="shared" si="210"/>
        <v>4.3874999999999997E-2</v>
      </c>
      <c r="BW136" s="44">
        <f t="shared" si="211"/>
        <v>2.2499999999999999E-2</v>
      </c>
      <c r="BX136">
        <f t="shared" ref="BX136:BX157" si="233">BF136+BQ136+AE136+AG136</f>
        <v>0.68191852032323541</v>
      </c>
      <c r="BY136">
        <f t="shared" ref="BY136:BY157" si="234">BW136+BV136+BU136+BT136+BQ136+BI136+BF136++AY136+AV136+AJ136+AF136+AE136+AG136</f>
        <v>3.4857029070507561</v>
      </c>
      <c r="BZ136">
        <f t="shared" ref="BZ136:BZ157" si="235">(R136/(R136+BY136))*100</f>
        <v>90.245881223836179</v>
      </c>
    </row>
    <row r="137" spans="17:78" x14ac:dyDescent="0.3">
      <c r="Q137">
        <v>130</v>
      </c>
      <c r="R137" s="42">
        <f t="shared" si="189"/>
        <v>32.5</v>
      </c>
      <c r="S137">
        <f t="shared" si="190"/>
        <v>50</v>
      </c>
      <c r="T137" s="44">
        <f t="shared" si="191"/>
        <v>0.65</v>
      </c>
      <c r="U137" s="42">
        <f t="shared" si="192"/>
        <v>1</v>
      </c>
      <c r="V137">
        <f t="shared" si="193"/>
        <v>0.30166206257996714</v>
      </c>
      <c r="W137">
        <f t="shared" si="194"/>
        <v>0.44444877220115159</v>
      </c>
      <c r="X137">
        <f t="shared" si="212"/>
        <v>0.25388916521888133</v>
      </c>
      <c r="Y137" s="42">
        <f t="shared" si="213"/>
        <v>2.1547290184283368</v>
      </c>
      <c r="Z137">
        <f t="shared" si="195"/>
        <v>4.3094580368566735</v>
      </c>
      <c r="AA137">
        <f t="shared" si="214"/>
        <v>4.3094580368566735</v>
      </c>
      <c r="AB137" s="44">
        <f t="shared" si="196"/>
        <v>1.3665400894123909</v>
      </c>
      <c r="AC137" s="42">
        <v>0</v>
      </c>
      <c r="AD137">
        <f t="shared" si="197"/>
        <v>3.7348636319424505E-2</v>
      </c>
      <c r="AE137" s="44">
        <f t="shared" si="215"/>
        <v>3.7348636319424505E-2</v>
      </c>
      <c r="AF137" s="42">
        <f t="shared" si="198"/>
        <v>0.65</v>
      </c>
      <c r="AG137" s="44">
        <f t="shared" si="199"/>
        <v>0.65</v>
      </c>
      <c r="AH137" s="42">
        <f t="shared" si="200"/>
        <v>6.3492681743021667E-2</v>
      </c>
      <c r="AI137">
        <f t="shared" si="201"/>
        <v>0.77642699761644207</v>
      </c>
      <c r="AJ137" s="44">
        <f t="shared" si="216"/>
        <v>0.83991967935946377</v>
      </c>
      <c r="AK137" s="42">
        <f t="shared" si="202"/>
        <v>32.5</v>
      </c>
      <c r="AL137">
        <f t="shared" si="203"/>
        <v>150</v>
      </c>
      <c r="AM137" s="44">
        <f t="shared" si="217"/>
        <v>0.21666666666666667</v>
      </c>
      <c r="AN137" s="42">
        <f t="shared" si="218"/>
        <v>2</v>
      </c>
      <c r="AO137">
        <f t="shared" si="219"/>
        <v>0.44444877220115159</v>
      </c>
      <c r="AP137">
        <f t="shared" si="220"/>
        <v>0.48749525303808516</v>
      </c>
      <c r="AQ137">
        <f t="shared" si="221"/>
        <v>0.97499050607617055</v>
      </c>
      <c r="AR137">
        <f t="shared" ref="AR137:AR157" si="236">AP137+(AQ137/2)</f>
        <v>0.97499050607617044</v>
      </c>
      <c r="AS137" s="44">
        <f t="shared" ref="AS137:AS157" si="237">CHOOSE(AN137,AR137*SQRT(AO137/3),SQRT(AO137*((AR137^2)+((AQ137^2)/(3))-(AQ137*AR137))))</f>
        <v>0.37527584786231605</v>
      </c>
      <c r="AT137" s="42"/>
      <c r="AU137">
        <f t="shared" si="222"/>
        <v>2.4411111111111116E-5</v>
      </c>
      <c r="AV137" s="44">
        <f t="shared" ref="AV137:AV157" si="238">AT137+AU137</f>
        <v>2.4411111111111116E-5</v>
      </c>
      <c r="AW137" s="42">
        <f t="shared" si="223"/>
        <v>0.92749999999999999</v>
      </c>
      <c r="AX137">
        <f t="shared" si="224"/>
        <v>0.30333333333333334</v>
      </c>
      <c r="AY137" s="44">
        <f t="shared" ref="AY137:AY157" si="239">AW137+AX137</f>
        <v>1.2308333333333334</v>
      </c>
      <c r="AZ137" s="42">
        <f t="shared" si="204"/>
        <v>0</v>
      </c>
      <c r="BA137">
        <f t="shared" si="205"/>
        <v>0</v>
      </c>
      <c r="BB137">
        <f t="shared" ref="BB137:BB157" si="240">IF(EN_OUT_2=1,AZ137/BA137,0)</f>
        <v>0</v>
      </c>
      <c r="BC137" s="44">
        <f t="shared" si="225"/>
        <v>0</v>
      </c>
      <c r="BD137" s="42">
        <v>0</v>
      </c>
      <c r="BE137">
        <f t="shared" si="226"/>
        <v>0</v>
      </c>
      <c r="BF137" s="44">
        <f t="shared" ref="BF137:BF157" si="241">BD137+BE137</f>
        <v>0</v>
      </c>
      <c r="BG137" s="42">
        <f t="shared" si="227"/>
        <v>0</v>
      </c>
      <c r="BH137">
        <f t="shared" si="228"/>
        <v>0</v>
      </c>
      <c r="BI137" s="44">
        <f t="shared" si="229"/>
        <v>0</v>
      </c>
      <c r="BK137" s="42">
        <f t="shared" si="206"/>
        <v>0</v>
      </c>
      <c r="BL137">
        <f t="shared" si="207"/>
        <v>0</v>
      </c>
      <c r="BM137">
        <f t="shared" si="208"/>
        <v>0</v>
      </c>
      <c r="BN137" s="44">
        <f t="shared" si="188"/>
        <v>0</v>
      </c>
      <c r="BO137" s="42">
        <v>0</v>
      </c>
      <c r="BP137">
        <f t="shared" si="230"/>
        <v>0</v>
      </c>
      <c r="BQ137" s="44">
        <f t="shared" ref="BQ137:BQ157" si="242">BO137+BP137</f>
        <v>0</v>
      </c>
      <c r="BR137" s="42">
        <f t="shared" si="231"/>
        <v>0</v>
      </c>
      <c r="BS137">
        <f t="shared" si="232"/>
        <v>0</v>
      </c>
      <c r="BT137" s="44">
        <f t="shared" ref="BT137:BT157" si="243">BS137+BR137</f>
        <v>0</v>
      </c>
      <c r="BU137" s="42">
        <f t="shared" si="209"/>
        <v>2.8011477239568379E-2</v>
      </c>
      <c r="BV137">
        <f t="shared" si="210"/>
        <v>4.3874999999999997E-2</v>
      </c>
      <c r="BW137" s="44">
        <f t="shared" si="211"/>
        <v>2.2499999999999999E-2</v>
      </c>
      <c r="BX137">
        <f t="shared" si="233"/>
        <v>0.68734863631942456</v>
      </c>
      <c r="BY137">
        <f t="shared" si="234"/>
        <v>3.5025125373629011</v>
      </c>
      <c r="BZ137">
        <f t="shared" si="235"/>
        <v>90.271477487222455</v>
      </c>
    </row>
    <row r="138" spans="17:78" x14ac:dyDescent="0.3">
      <c r="Q138">
        <v>131</v>
      </c>
      <c r="R138" s="42">
        <f t="shared" si="189"/>
        <v>32.75</v>
      </c>
      <c r="S138">
        <f t="shared" si="190"/>
        <v>50</v>
      </c>
      <c r="T138" s="44">
        <f t="shared" si="191"/>
        <v>0.65500000000000003</v>
      </c>
      <c r="U138" s="42">
        <f t="shared" si="192"/>
        <v>1</v>
      </c>
      <c r="V138">
        <f t="shared" si="193"/>
        <v>0.30282007859453441</v>
      </c>
      <c r="W138">
        <f t="shared" si="194"/>
        <v>0.4461549157959474</v>
      </c>
      <c r="X138">
        <f t="shared" si="212"/>
        <v>0.25102500560951818</v>
      </c>
      <c r="Y138" s="42">
        <f t="shared" si="213"/>
        <v>2.1630005613895316</v>
      </c>
      <c r="Z138">
        <f t="shared" si="195"/>
        <v>4.3260011227790631</v>
      </c>
      <c r="AA138">
        <f t="shared" si="214"/>
        <v>4.3260011227790631</v>
      </c>
      <c r="AB138" s="44">
        <f t="shared" si="196"/>
        <v>1.3744164180772109</v>
      </c>
      <c r="AC138" s="42">
        <v>0</v>
      </c>
      <c r="AD138">
        <f t="shared" si="197"/>
        <v>3.7780409805603814E-2</v>
      </c>
      <c r="AE138" s="44">
        <f t="shared" si="215"/>
        <v>3.7780409805603814E-2</v>
      </c>
      <c r="AF138" s="42">
        <f t="shared" si="198"/>
        <v>0.65500000000000003</v>
      </c>
      <c r="AG138" s="44">
        <f t="shared" si="199"/>
        <v>0.65500000000000003</v>
      </c>
      <c r="AH138" s="42">
        <f t="shared" si="200"/>
        <v>6.422669666952649E-2</v>
      </c>
      <c r="AI138">
        <f t="shared" si="201"/>
        <v>0.7794075344784277</v>
      </c>
      <c r="AJ138" s="44">
        <f t="shared" si="216"/>
        <v>0.84363423114795422</v>
      </c>
      <c r="AK138" s="42">
        <f t="shared" si="202"/>
        <v>32.75</v>
      </c>
      <c r="AL138">
        <f t="shared" si="203"/>
        <v>150</v>
      </c>
      <c r="AM138" s="44">
        <f t="shared" si="217"/>
        <v>0.21833333333333332</v>
      </c>
      <c r="AN138" s="42">
        <f t="shared" si="218"/>
        <v>2</v>
      </c>
      <c r="AO138">
        <f t="shared" si="219"/>
        <v>0.44615491579594735</v>
      </c>
      <c r="AP138">
        <f t="shared" si="220"/>
        <v>0.48936664284831033</v>
      </c>
      <c r="AQ138">
        <f t="shared" si="221"/>
        <v>0.97873328569662055</v>
      </c>
      <c r="AR138">
        <f t="shared" si="236"/>
        <v>0.97873328569662066</v>
      </c>
      <c r="AS138" s="44">
        <f t="shared" si="237"/>
        <v>0.37743882569270198</v>
      </c>
      <c r="AT138" s="42"/>
      <c r="AU138">
        <f t="shared" si="222"/>
        <v>2.478811111111111E-5</v>
      </c>
      <c r="AV138" s="44">
        <f t="shared" si="238"/>
        <v>2.478811111111111E-5</v>
      </c>
      <c r="AW138" s="42">
        <f t="shared" si="223"/>
        <v>0.92749999999999999</v>
      </c>
      <c r="AX138">
        <f t="shared" si="224"/>
        <v>0.30566666666666664</v>
      </c>
      <c r="AY138" s="44">
        <f t="shared" si="239"/>
        <v>1.2331666666666665</v>
      </c>
      <c r="AZ138" s="42">
        <f t="shared" si="204"/>
        <v>0</v>
      </c>
      <c r="BA138">
        <f t="shared" si="205"/>
        <v>0</v>
      </c>
      <c r="BB138">
        <f t="shared" si="240"/>
        <v>0</v>
      </c>
      <c r="BC138" s="44">
        <f t="shared" si="225"/>
        <v>0</v>
      </c>
      <c r="BD138" s="42">
        <v>0</v>
      </c>
      <c r="BE138">
        <f t="shared" si="226"/>
        <v>0</v>
      </c>
      <c r="BF138" s="44">
        <f t="shared" si="241"/>
        <v>0</v>
      </c>
      <c r="BG138" s="42">
        <f t="shared" si="227"/>
        <v>0</v>
      </c>
      <c r="BH138">
        <f t="shared" si="228"/>
        <v>0</v>
      </c>
      <c r="BI138" s="44">
        <f t="shared" si="229"/>
        <v>0</v>
      </c>
      <c r="BK138" s="42">
        <f t="shared" si="206"/>
        <v>0</v>
      </c>
      <c r="BL138">
        <f t="shared" si="207"/>
        <v>0</v>
      </c>
      <c r="BM138">
        <f t="shared" si="208"/>
        <v>0</v>
      </c>
      <c r="BN138" s="44">
        <f t="shared" si="188"/>
        <v>0</v>
      </c>
      <c r="BO138" s="42">
        <v>0</v>
      </c>
      <c r="BP138">
        <f t="shared" si="230"/>
        <v>0</v>
      </c>
      <c r="BQ138" s="44">
        <f t="shared" si="242"/>
        <v>0</v>
      </c>
      <c r="BR138" s="42">
        <f t="shared" si="231"/>
        <v>0</v>
      </c>
      <c r="BS138">
        <f t="shared" si="232"/>
        <v>0</v>
      </c>
      <c r="BT138" s="44">
        <f t="shared" si="243"/>
        <v>0</v>
      </c>
      <c r="BU138" s="42">
        <f t="shared" si="209"/>
        <v>2.8335307354202859E-2</v>
      </c>
      <c r="BV138">
        <f t="shared" si="210"/>
        <v>4.3874999999999997E-2</v>
      </c>
      <c r="BW138" s="44">
        <f t="shared" si="211"/>
        <v>2.2499999999999999E-2</v>
      </c>
      <c r="BX138">
        <f t="shared" si="233"/>
        <v>0.69278040980560385</v>
      </c>
      <c r="BY138">
        <f t="shared" si="234"/>
        <v>3.5193164030855382</v>
      </c>
      <c r="BZ138">
        <f t="shared" si="235"/>
        <v>90.296711512362165</v>
      </c>
    </row>
    <row r="139" spans="17:78" x14ac:dyDescent="0.3">
      <c r="Q139">
        <v>132</v>
      </c>
      <c r="R139" s="42">
        <f t="shared" si="189"/>
        <v>33</v>
      </c>
      <c r="S139">
        <f t="shared" si="190"/>
        <v>50</v>
      </c>
      <c r="T139" s="44">
        <f t="shared" si="191"/>
        <v>0.66</v>
      </c>
      <c r="U139" s="42">
        <f t="shared" si="192"/>
        <v>1</v>
      </c>
      <c r="V139">
        <f t="shared" si="193"/>
        <v>0.30397368307141326</v>
      </c>
      <c r="W139">
        <f t="shared" si="194"/>
        <v>0.44785455972521554</v>
      </c>
      <c r="X139">
        <f t="shared" si="212"/>
        <v>0.2481717572033712</v>
      </c>
      <c r="Y139" s="42">
        <f t="shared" si="213"/>
        <v>2.1712405933672376</v>
      </c>
      <c r="Z139">
        <f t="shared" si="195"/>
        <v>4.3424811867344753</v>
      </c>
      <c r="AA139">
        <f t="shared" si="214"/>
        <v>4.3424811867344753</v>
      </c>
      <c r="AB139" s="44">
        <f t="shared" si="196"/>
        <v>1.3822777297501283</v>
      </c>
      <c r="AC139" s="42">
        <v>0</v>
      </c>
      <c r="AD139">
        <f t="shared" si="197"/>
        <v>3.8213834443263373E-2</v>
      </c>
      <c r="AE139" s="44">
        <f t="shared" si="215"/>
        <v>3.8213834443263373E-2</v>
      </c>
      <c r="AF139" s="42">
        <f t="shared" si="198"/>
        <v>0.66</v>
      </c>
      <c r="AG139" s="44">
        <f t="shared" si="199"/>
        <v>0.66</v>
      </c>
      <c r="AH139" s="42">
        <f t="shared" si="200"/>
        <v>6.4963518553547747E-2</v>
      </c>
      <c r="AI139">
        <f t="shared" si="201"/>
        <v>0.78237671679044773</v>
      </c>
      <c r="AJ139" s="44">
        <f t="shared" si="216"/>
        <v>0.8473402353439955</v>
      </c>
      <c r="AK139" s="42">
        <f t="shared" si="202"/>
        <v>33</v>
      </c>
      <c r="AL139">
        <f t="shared" si="203"/>
        <v>150</v>
      </c>
      <c r="AM139" s="44">
        <f t="shared" si="217"/>
        <v>0.22</v>
      </c>
      <c r="AN139" s="42">
        <f t="shared" si="218"/>
        <v>2</v>
      </c>
      <c r="AO139">
        <f t="shared" si="219"/>
        <v>0.44785455972521548</v>
      </c>
      <c r="AP139">
        <f t="shared" si="220"/>
        <v>0.49123090347675069</v>
      </c>
      <c r="AQ139">
        <f t="shared" si="221"/>
        <v>0.98246180695350116</v>
      </c>
      <c r="AR139">
        <f t="shared" si="236"/>
        <v>0.98246180695350127</v>
      </c>
      <c r="AS139" s="44">
        <f t="shared" si="237"/>
        <v>0.379597679594041</v>
      </c>
      <c r="AT139" s="42"/>
      <c r="AU139">
        <f t="shared" si="222"/>
        <v>2.5168000000000004E-5</v>
      </c>
      <c r="AV139" s="44">
        <f t="shared" si="238"/>
        <v>2.5168000000000004E-5</v>
      </c>
      <c r="AW139" s="42">
        <f t="shared" si="223"/>
        <v>0.92749999999999999</v>
      </c>
      <c r="AX139">
        <f t="shared" si="224"/>
        <v>0.308</v>
      </c>
      <c r="AY139" s="44">
        <f t="shared" si="239"/>
        <v>1.2355</v>
      </c>
      <c r="AZ139" s="42">
        <f t="shared" si="204"/>
        <v>0</v>
      </c>
      <c r="BA139">
        <f t="shared" si="205"/>
        <v>0</v>
      </c>
      <c r="BB139">
        <f t="shared" si="240"/>
        <v>0</v>
      </c>
      <c r="BC139" s="44">
        <f t="shared" si="225"/>
        <v>0</v>
      </c>
      <c r="BD139" s="42">
        <v>0</v>
      </c>
      <c r="BE139">
        <f t="shared" si="226"/>
        <v>0</v>
      </c>
      <c r="BF139" s="44">
        <f t="shared" si="241"/>
        <v>0</v>
      </c>
      <c r="BG139" s="42">
        <f t="shared" si="227"/>
        <v>0</v>
      </c>
      <c r="BH139">
        <f t="shared" si="228"/>
        <v>0</v>
      </c>
      <c r="BI139" s="44">
        <f t="shared" si="229"/>
        <v>0</v>
      </c>
      <c r="BK139" s="42">
        <f t="shared" si="206"/>
        <v>0</v>
      </c>
      <c r="BL139">
        <f t="shared" si="207"/>
        <v>0</v>
      </c>
      <c r="BM139">
        <f t="shared" si="208"/>
        <v>0</v>
      </c>
      <c r="BN139" s="44">
        <f t="shared" si="188"/>
        <v>0</v>
      </c>
      <c r="BO139" s="42">
        <v>0</v>
      </c>
      <c r="BP139">
        <f t="shared" si="230"/>
        <v>0</v>
      </c>
      <c r="BQ139" s="44">
        <f t="shared" si="242"/>
        <v>0</v>
      </c>
      <c r="BR139" s="42">
        <f t="shared" si="231"/>
        <v>0</v>
      </c>
      <c r="BS139">
        <f t="shared" si="232"/>
        <v>0</v>
      </c>
      <c r="BT139" s="44">
        <f t="shared" si="243"/>
        <v>0</v>
      </c>
      <c r="BU139" s="42">
        <f t="shared" si="209"/>
        <v>2.8660375832447529E-2</v>
      </c>
      <c r="BV139">
        <f t="shared" si="210"/>
        <v>4.3874999999999997E-2</v>
      </c>
      <c r="BW139" s="44">
        <f t="shared" si="211"/>
        <v>2.2499999999999999E-2</v>
      </c>
      <c r="BX139">
        <f t="shared" si="233"/>
        <v>0.69821383444326335</v>
      </c>
      <c r="BY139">
        <f t="shared" si="234"/>
        <v>3.5361146136197066</v>
      </c>
      <c r="BZ139">
        <f t="shared" si="235"/>
        <v>90.321590976448434</v>
      </c>
    </row>
    <row r="140" spans="17:78" x14ac:dyDescent="0.3">
      <c r="Q140">
        <v>133</v>
      </c>
      <c r="R140" s="42">
        <f t="shared" si="189"/>
        <v>33.25</v>
      </c>
      <c r="S140">
        <f t="shared" si="190"/>
        <v>50</v>
      </c>
      <c r="T140" s="44">
        <f t="shared" si="191"/>
        <v>0.66500000000000004</v>
      </c>
      <c r="U140" s="42">
        <f t="shared" si="192"/>
        <v>1</v>
      </c>
      <c r="V140">
        <f t="shared" si="193"/>
        <v>0.30512292604784713</v>
      </c>
      <c r="W140">
        <f t="shared" si="194"/>
        <v>0.44954777771049476</v>
      </c>
      <c r="X140">
        <f t="shared" si="212"/>
        <v>0.24532929624165806</v>
      </c>
      <c r="Y140" s="42">
        <f t="shared" si="213"/>
        <v>2.179449471770337</v>
      </c>
      <c r="Z140">
        <f t="shared" si="195"/>
        <v>4.3588989435406731</v>
      </c>
      <c r="AA140">
        <f t="shared" si="214"/>
        <v>4.3588989435406731</v>
      </c>
      <c r="AB140" s="44">
        <f t="shared" si="196"/>
        <v>1.3901241665056514</v>
      </c>
      <c r="AC140" s="42">
        <v>0</v>
      </c>
      <c r="AD140">
        <f t="shared" si="197"/>
        <v>3.864890396606064E-2</v>
      </c>
      <c r="AE140" s="44">
        <f t="shared" si="215"/>
        <v>3.864890396606064E-2</v>
      </c>
      <c r="AF140" s="42">
        <f t="shared" si="198"/>
        <v>0.66500000000000004</v>
      </c>
      <c r="AG140" s="44">
        <f t="shared" si="199"/>
        <v>0.66500000000000004</v>
      </c>
      <c r="AH140" s="42">
        <f t="shared" si="200"/>
        <v>6.5703136742303089E-2</v>
      </c>
      <c r="AI140">
        <f t="shared" si="201"/>
        <v>0.78533467333988238</v>
      </c>
      <c r="AJ140" s="44">
        <f t="shared" si="216"/>
        <v>0.85103781008218549</v>
      </c>
      <c r="AK140" s="42">
        <f t="shared" si="202"/>
        <v>33.25</v>
      </c>
      <c r="AL140">
        <f t="shared" si="203"/>
        <v>150</v>
      </c>
      <c r="AM140" s="44">
        <f t="shared" si="217"/>
        <v>0.22166666666666668</v>
      </c>
      <c r="AN140" s="42">
        <f t="shared" si="218"/>
        <v>2</v>
      </c>
      <c r="AO140">
        <f t="shared" si="219"/>
        <v>0.44954777771049481</v>
      </c>
      <c r="AP140">
        <f t="shared" si="220"/>
        <v>0.49308811578514411</v>
      </c>
      <c r="AQ140">
        <f t="shared" si="221"/>
        <v>0.98617623157028833</v>
      </c>
      <c r="AR140">
        <f t="shared" si="236"/>
        <v>0.98617623157028822</v>
      </c>
      <c r="AS140" s="44">
        <f t="shared" si="237"/>
        <v>0.38175244858248181</v>
      </c>
      <c r="AT140" s="42"/>
      <c r="AU140">
        <f t="shared" si="222"/>
        <v>2.5550777777777785E-5</v>
      </c>
      <c r="AV140" s="44">
        <f t="shared" si="238"/>
        <v>2.5550777777777785E-5</v>
      </c>
      <c r="AW140" s="42">
        <f t="shared" si="223"/>
        <v>0.92749999999999999</v>
      </c>
      <c r="AX140">
        <f t="shared" si="224"/>
        <v>0.31033333333333335</v>
      </c>
      <c r="AY140" s="44">
        <f t="shared" si="239"/>
        <v>1.2378333333333333</v>
      </c>
      <c r="AZ140" s="42">
        <f t="shared" si="204"/>
        <v>0</v>
      </c>
      <c r="BA140">
        <f t="shared" si="205"/>
        <v>0</v>
      </c>
      <c r="BB140">
        <f t="shared" si="240"/>
        <v>0</v>
      </c>
      <c r="BC140" s="44">
        <f t="shared" si="225"/>
        <v>0</v>
      </c>
      <c r="BD140" s="42">
        <v>0</v>
      </c>
      <c r="BE140">
        <f t="shared" si="226"/>
        <v>0</v>
      </c>
      <c r="BF140" s="44">
        <f t="shared" si="241"/>
        <v>0</v>
      </c>
      <c r="BG140" s="42">
        <f t="shared" si="227"/>
        <v>0</v>
      </c>
      <c r="BH140">
        <f t="shared" si="228"/>
        <v>0</v>
      </c>
      <c r="BI140" s="44">
        <f t="shared" si="229"/>
        <v>0</v>
      </c>
      <c r="BK140" s="42">
        <f t="shared" si="206"/>
        <v>0</v>
      </c>
      <c r="BL140">
        <f t="shared" si="207"/>
        <v>0</v>
      </c>
      <c r="BM140">
        <f t="shared" si="208"/>
        <v>0</v>
      </c>
      <c r="BN140" s="44">
        <f t="shared" si="188"/>
        <v>0</v>
      </c>
      <c r="BO140" s="42">
        <v>0</v>
      </c>
      <c r="BP140">
        <f t="shared" si="230"/>
        <v>0</v>
      </c>
      <c r="BQ140" s="44">
        <f t="shared" si="242"/>
        <v>0</v>
      </c>
      <c r="BR140" s="42">
        <f t="shared" si="231"/>
        <v>0</v>
      </c>
      <c r="BS140">
        <f t="shared" si="232"/>
        <v>0</v>
      </c>
      <c r="BT140" s="44">
        <f t="shared" si="243"/>
        <v>0</v>
      </c>
      <c r="BU140" s="42">
        <f t="shared" si="209"/>
        <v>2.8986677974545478E-2</v>
      </c>
      <c r="BV140">
        <f t="shared" si="210"/>
        <v>4.3874999999999997E-2</v>
      </c>
      <c r="BW140" s="44">
        <f t="shared" si="211"/>
        <v>2.2499999999999999E-2</v>
      </c>
      <c r="BX140">
        <f t="shared" si="233"/>
        <v>0.70364890396606072</v>
      </c>
      <c r="BY140">
        <f t="shared" si="234"/>
        <v>3.5529072761339027</v>
      </c>
      <c r="BZ140">
        <f t="shared" si="235"/>
        <v>90.346123338908328</v>
      </c>
    </row>
    <row r="141" spans="17:78" x14ac:dyDescent="0.3">
      <c r="Q141">
        <v>134</v>
      </c>
      <c r="R141" s="42">
        <f t="shared" si="189"/>
        <v>33.5</v>
      </c>
      <c r="S141">
        <f t="shared" si="190"/>
        <v>50</v>
      </c>
      <c r="T141" s="44">
        <f t="shared" si="191"/>
        <v>0.67</v>
      </c>
      <c r="U141" s="42">
        <f t="shared" si="192"/>
        <v>1</v>
      </c>
      <c r="V141">
        <f t="shared" si="193"/>
        <v>0.30626785662227107</v>
      </c>
      <c r="W141">
        <f t="shared" si="194"/>
        <v>0.45123464209014608</v>
      </c>
      <c r="X141">
        <f t="shared" si="212"/>
        <v>0.24249750128758285</v>
      </c>
      <c r="Y141" s="42">
        <f t="shared" si="213"/>
        <v>2.1876275473019366</v>
      </c>
      <c r="Z141">
        <f t="shared" si="195"/>
        <v>4.3752550946038724</v>
      </c>
      <c r="AA141">
        <f t="shared" si="214"/>
        <v>4.3752550946038724</v>
      </c>
      <c r="AB141" s="44">
        <f t="shared" si="196"/>
        <v>1.3979558680169637</v>
      </c>
      <c r="AC141" s="42">
        <v>0</v>
      </c>
      <c r="AD141">
        <f t="shared" si="197"/>
        <v>3.9085612178461251E-2</v>
      </c>
      <c r="AE141" s="44">
        <f t="shared" si="215"/>
        <v>3.9085612178461251E-2</v>
      </c>
      <c r="AF141" s="42">
        <f t="shared" si="198"/>
        <v>0.67</v>
      </c>
      <c r="AG141" s="44">
        <f t="shared" si="199"/>
        <v>0.67</v>
      </c>
      <c r="AH141" s="42">
        <f t="shared" si="200"/>
        <v>6.6445540703384126E-2</v>
      </c>
      <c r="AI141">
        <f t="shared" si="201"/>
        <v>0.78828153049777772</v>
      </c>
      <c r="AJ141" s="44">
        <f t="shared" si="216"/>
        <v>0.85472707120116187</v>
      </c>
      <c r="AK141" s="42">
        <f t="shared" si="202"/>
        <v>33.5</v>
      </c>
      <c r="AL141">
        <f t="shared" si="203"/>
        <v>150</v>
      </c>
      <c r="AM141" s="44">
        <f t="shared" si="217"/>
        <v>0.22333333333333333</v>
      </c>
      <c r="AN141" s="42">
        <f t="shared" si="218"/>
        <v>2</v>
      </c>
      <c r="AO141">
        <f t="shared" si="219"/>
        <v>0.45123464209014597</v>
      </c>
      <c r="AP141">
        <f t="shared" si="220"/>
        <v>0.49493835911808526</v>
      </c>
      <c r="AQ141">
        <f t="shared" si="221"/>
        <v>0.98987671823617018</v>
      </c>
      <c r="AR141">
        <f t="shared" si="236"/>
        <v>0.98987671823617029</v>
      </c>
      <c r="AS141" s="44">
        <f t="shared" si="237"/>
        <v>0.38390317101472754</v>
      </c>
      <c r="AT141" s="42"/>
      <c r="AU141">
        <f t="shared" si="222"/>
        <v>2.5936444444444447E-5</v>
      </c>
      <c r="AV141" s="44">
        <f t="shared" si="238"/>
        <v>2.5936444444444447E-5</v>
      </c>
      <c r="AW141" s="42">
        <f t="shared" si="223"/>
        <v>0.92749999999999999</v>
      </c>
      <c r="AX141">
        <f t="shared" si="224"/>
        <v>0.31266666666666665</v>
      </c>
      <c r="AY141" s="44">
        <f t="shared" si="239"/>
        <v>1.2401666666666666</v>
      </c>
      <c r="AZ141" s="42">
        <f t="shared" si="204"/>
        <v>0</v>
      </c>
      <c r="BA141">
        <f t="shared" si="205"/>
        <v>0</v>
      </c>
      <c r="BB141">
        <f t="shared" si="240"/>
        <v>0</v>
      </c>
      <c r="BC141" s="44">
        <f t="shared" si="225"/>
        <v>0</v>
      </c>
      <c r="BD141" s="42">
        <v>0</v>
      </c>
      <c r="BE141">
        <f t="shared" si="226"/>
        <v>0</v>
      </c>
      <c r="BF141" s="44">
        <f t="shared" si="241"/>
        <v>0</v>
      </c>
      <c r="BG141" s="42">
        <f t="shared" si="227"/>
        <v>0</v>
      </c>
      <c r="BH141">
        <f t="shared" si="228"/>
        <v>0</v>
      </c>
      <c r="BI141" s="44">
        <f t="shared" si="229"/>
        <v>0</v>
      </c>
      <c r="BK141" s="42">
        <f t="shared" si="206"/>
        <v>0</v>
      </c>
      <c r="BL141">
        <f t="shared" si="207"/>
        <v>0</v>
      </c>
      <c r="BM141">
        <f t="shared" si="208"/>
        <v>0</v>
      </c>
      <c r="BN141" s="44">
        <f t="shared" si="188"/>
        <v>0</v>
      </c>
      <c r="BO141" s="42">
        <v>0</v>
      </c>
      <c r="BP141">
        <f t="shared" si="230"/>
        <v>0</v>
      </c>
      <c r="BQ141" s="44">
        <f t="shared" si="242"/>
        <v>0</v>
      </c>
      <c r="BR141" s="42">
        <f t="shared" si="231"/>
        <v>0</v>
      </c>
      <c r="BS141">
        <f t="shared" si="232"/>
        <v>0</v>
      </c>
      <c r="BT141" s="44">
        <f t="shared" si="243"/>
        <v>0</v>
      </c>
      <c r="BU141" s="42">
        <f t="shared" si="209"/>
        <v>2.9314209133845935E-2</v>
      </c>
      <c r="BV141">
        <f t="shared" si="210"/>
        <v>4.3874999999999997E-2</v>
      </c>
      <c r="BW141" s="44">
        <f t="shared" si="211"/>
        <v>2.2499999999999999E-2</v>
      </c>
      <c r="BX141">
        <f t="shared" si="233"/>
        <v>0.70908561217846133</v>
      </c>
      <c r="BY141">
        <f t="shared" si="234"/>
        <v>3.5696944956245802</v>
      </c>
      <c r="BZ141">
        <f t="shared" si="235"/>
        <v>90.370315849120573</v>
      </c>
    </row>
    <row r="142" spans="17:78" x14ac:dyDescent="0.3">
      <c r="Q142">
        <v>135</v>
      </c>
      <c r="R142" s="42">
        <f t="shared" si="189"/>
        <v>33.75</v>
      </c>
      <c r="S142">
        <f t="shared" si="190"/>
        <v>50</v>
      </c>
      <c r="T142" s="44">
        <f t="shared" si="191"/>
        <v>0.67500000000000004</v>
      </c>
      <c r="U142" s="42">
        <f t="shared" si="192"/>
        <v>1</v>
      </c>
      <c r="V142">
        <f t="shared" si="193"/>
        <v>0.30740852297878796</v>
      </c>
      <c r="W142">
        <f t="shared" si="194"/>
        <v>0.45291522385541422</v>
      </c>
      <c r="X142">
        <f t="shared" si="212"/>
        <v>0.23967625316579783</v>
      </c>
      <c r="Y142" s="42">
        <f t="shared" si="213"/>
        <v>2.1957751641341998</v>
      </c>
      <c r="Z142">
        <f t="shared" si="195"/>
        <v>4.3915503282683996</v>
      </c>
      <c r="AA142">
        <f t="shared" si="214"/>
        <v>4.3915503282683996</v>
      </c>
      <c r="AB142" s="44">
        <f t="shared" si="196"/>
        <v>1.4057729716141154</v>
      </c>
      <c r="AC142" s="42">
        <v>0</v>
      </c>
      <c r="AD142">
        <f t="shared" si="197"/>
        <v>3.952395295441561E-2</v>
      </c>
      <c r="AE142" s="44">
        <f t="shared" si="215"/>
        <v>3.952395295441561E-2</v>
      </c>
      <c r="AF142" s="42">
        <f t="shared" si="198"/>
        <v>0.67500000000000004</v>
      </c>
      <c r="AG142" s="44">
        <f t="shared" si="199"/>
        <v>0.67500000000000004</v>
      </c>
      <c r="AH142" s="42">
        <f t="shared" si="200"/>
        <v>6.7190720022506548E-2</v>
      </c>
      <c r="AI142">
        <f t="shared" si="201"/>
        <v>0.79121741228184428</v>
      </c>
      <c r="AJ142" s="44">
        <f t="shared" si="216"/>
        <v>0.85840813230435087</v>
      </c>
      <c r="AK142" s="42">
        <f t="shared" si="202"/>
        <v>33.75</v>
      </c>
      <c r="AL142">
        <f t="shared" si="203"/>
        <v>150</v>
      </c>
      <c r="AM142" s="44">
        <f t="shared" si="217"/>
        <v>0.22500000000000001</v>
      </c>
      <c r="AN142" s="42">
        <f t="shared" si="218"/>
        <v>2</v>
      </c>
      <c r="AO142">
        <f t="shared" si="219"/>
        <v>0.45291522385541427</v>
      </c>
      <c r="AP142">
        <f t="shared" si="220"/>
        <v>0.49678171134257909</v>
      </c>
      <c r="AQ142">
        <f t="shared" si="221"/>
        <v>0.9935634226851584</v>
      </c>
      <c r="AR142">
        <f t="shared" si="236"/>
        <v>0.99356342268515829</v>
      </c>
      <c r="AS142" s="44">
        <f t="shared" si="237"/>
        <v>0.38604988460401551</v>
      </c>
      <c r="AT142" s="42"/>
      <c r="AU142">
        <f t="shared" si="222"/>
        <v>2.6325000000000006E-5</v>
      </c>
      <c r="AV142" s="44">
        <f t="shared" si="238"/>
        <v>2.6325000000000006E-5</v>
      </c>
      <c r="AW142" s="42">
        <f t="shared" si="223"/>
        <v>0.92749999999999999</v>
      </c>
      <c r="AX142">
        <f t="shared" si="224"/>
        <v>0.315</v>
      </c>
      <c r="AY142" s="44">
        <f t="shared" si="239"/>
        <v>1.2424999999999999</v>
      </c>
      <c r="AZ142" s="42">
        <f t="shared" si="204"/>
        <v>0</v>
      </c>
      <c r="BA142">
        <f t="shared" si="205"/>
        <v>0</v>
      </c>
      <c r="BB142">
        <f t="shared" si="240"/>
        <v>0</v>
      </c>
      <c r="BC142" s="44">
        <f t="shared" si="225"/>
        <v>0</v>
      </c>
      <c r="BD142" s="42">
        <v>0</v>
      </c>
      <c r="BE142">
        <f t="shared" si="226"/>
        <v>0</v>
      </c>
      <c r="BF142" s="44">
        <f t="shared" si="241"/>
        <v>0</v>
      </c>
      <c r="BG142" s="42">
        <f t="shared" si="227"/>
        <v>0</v>
      </c>
      <c r="BH142">
        <f t="shared" si="228"/>
        <v>0</v>
      </c>
      <c r="BI142" s="44">
        <f t="shared" si="229"/>
        <v>0</v>
      </c>
      <c r="BK142" s="42">
        <f t="shared" si="206"/>
        <v>0</v>
      </c>
      <c r="BL142">
        <f t="shared" si="207"/>
        <v>0</v>
      </c>
      <c r="BM142">
        <f t="shared" si="208"/>
        <v>0</v>
      </c>
      <c r="BN142" s="44">
        <f t="shared" si="188"/>
        <v>0</v>
      </c>
      <c r="BO142" s="42">
        <v>0</v>
      </c>
      <c r="BP142">
        <f t="shared" si="230"/>
        <v>0</v>
      </c>
      <c r="BQ142" s="44">
        <f t="shared" si="242"/>
        <v>0</v>
      </c>
      <c r="BR142" s="42">
        <f t="shared" si="231"/>
        <v>0</v>
      </c>
      <c r="BS142">
        <f t="shared" si="232"/>
        <v>0</v>
      </c>
      <c r="BT142" s="44">
        <f t="shared" si="243"/>
        <v>0</v>
      </c>
      <c r="BU142" s="42">
        <f t="shared" si="209"/>
        <v>2.9642964715811706E-2</v>
      </c>
      <c r="BV142">
        <f t="shared" si="210"/>
        <v>4.3874999999999997E-2</v>
      </c>
      <c r="BW142" s="44">
        <f t="shared" si="211"/>
        <v>2.2499999999999999E-2</v>
      </c>
      <c r="BX142">
        <f t="shared" si="233"/>
        <v>0.71452395295441562</v>
      </c>
      <c r="BY142">
        <f t="shared" si="234"/>
        <v>3.5864763749745778</v>
      </c>
      <c r="BZ142">
        <f t="shared" si="235"/>
        <v>90.394175553806463</v>
      </c>
    </row>
    <row r="143" spans="17:78" x14ac:dyDescent="0.3">
      <c r="Q143">
        <v>136</v>
      </c>
      <c r="R143" s="42">
        <f t="shared" si="189"/>
        <v>34</v>
      </c>
      <c r="S143">
        <f t="shared" si="190"/>
        <v>50</v>
      </c>
      <c r="T143" s="44">
        <f t="shared" si="191"/>
        <v>0.68</v>
      </c>
      <c r="U143" s="42">
        <f t="shared" si="192"/>
        <v>1</v>
      </c>
      <c r="V143">
        <f t="shared" si="193"/>
        <v>0.30854497241083023</v>
      </c>
      <c r="W143">
        <f t="shared" si="194"/>
        <v>0.45458959268528987</v>
      </c>
      <c r="X143">
        <f t="shared" si="212"/>
        <v>0.2368654349038799</v>
      </c>
      <c r="Y143" s="42">
        <f t="shared" si="213"/>
        <v>2.2038926600773592</v>
      </c>
      <c r="Z143">
        <f t="shared" si="195"/>
        <v>4.4077853201547175</v>
      </c>
      <c r="AA143">
        <f t="shared" si="214"/>
        <v>4.4077853201547175</v>
      </c>
      <c r="AB143" s="44">
        <f t="shared" si="196"/>
        <v>1.4135756123403771</v>
      </c>
      <c r="AC143" s="42">
        <v>0</v>
      </c>
      <c r="AD143">
        <f t="shared" si="197"/>
        <v>3.9963920236069442E-2</v>
      </c>
      <c r="AE143" s="44">
        <f t="shared" si="215"/>
        <v>3.9963920236069442E-2</v>
      </c>
      <c r="AF143" s="42">
        <f t="shared" si="198"/>
        <v>0.68</v>
      </c>
      <c r="AG143" s="44">
        <f t="shared" si="199"/>
        <v>0.68</v>
      </c>
      <c r="AH143" s="42">
        <f t="shared" si="200"/>
        <v>6.7938664401318058E-2</v>
      </c>
      <c r="AI143">
        <f t="shared" si="201"/>
        <v>0.79414244041735804</v>
      </c>
      <c r="AJ143" s="44">
        <f t="shared" si="216"/>
        <v>0.86208110481867606</v>
      </c>
      <c r="AK143" s="42">
        <f t="shared" si="202"/>
        <v>34</v>
      </c>
      <c r="AL143">
        <f t="shared" si="203"/>
        <v>150</v>
      </c>
      <c r="AM143" s="44">
        <f t="shared" si="217"/>
        <v>0.22666666666666666</v>
      </c>
      <c r="AN143" s="42">
        <f t="shared" si="218"/>
        <v>2</v>
      </c>
      <c r="AO143">
        <f t="shared" si="219"/>
        <v>0.45458959268528987</v>
      </c>
      <c r="AP143">
        <f t="shared" si="220"/>
        <v>0.49861824888628031</v>
      </c>
      <c r="AQ143">
        <f t="shared" si="221"/>
        <v>0.99723649777256063</v>
      </c>
      <c r="AR143">
        <f t="shared" si="236"/>
        <v>0.99723649777256063</v>
      </c>
      <c r="AS143" s="44">
        <f t="shared" si="237"/>
        <v>0.38819262643559416</v>
      </c>
      <c r="AT143" s="42"/>
      <c r="AU143">
        <f t="shared" si="222"/>
        <v>2.6716444444444446E-5</v>
      </c>
      <c r="AV143" s="44">
        <f t="shared" si="238"/>
        <v>2.6716444444444446E-5</v>
      </c>
      <c r="AW143" s="42">
        <f t="shared" si="223"/>
        <v>0.92749999999999999</v>
      </c>
      <c r="AX143">
        <f t="shared" si="224"/>
        <v>0.3173333333333333</v>
      </c>
      <c r="AY143" s="44">
        <f t="shared" si="239"/>
        <v>1.2448333333333332</v>
      </c>
      <c r="AZ143" s="42">
        <f t="shared" si="204"/>
        <v>0</v>
      </c>
      <c r="BA143">
        <f t="shared" si="205"/>
        <v>0</v>
      </c>
      <c r="BB143">
        <f t="shared" si="240"/>
        <v>0</v>
      </c>
      <c r="BC143" s="44">
        <f t="shared" si="225"/>
        <v>0</v>
      </c>
      <c r="BD143" s="42">
        <v>0</v>
      </c>
      <c r="BE143">
        <f t="shared" si="226"/>
        <v>0</v>
      </c>
      <c r="BF143" s="44">
        <f t="shared" si="241"/>
        <v>0</v>
      </c>
      <c r="BG143" s="42">
        <f t="shared" si="227"/>
        <v>0</v>
      </c>
      <c r="BH143">
        <f t="shared" si="228"/>
        <v>0</v>
      </c>
      <c r="BI143" s="44">
        <f t="shared" si="229"/>
        <v>0</v>
      </c>
      <c r="BK143" s="42">
        <f t="shared" si="206"/>
        <v>0</v>
      </c>
      <c r="BL143">
        <f t="shared" si="207"/>
        <v>0</v>
      </c>
      <c r="BM143">
        <f t="shared" si="208"/>
        <v>0</v>
      </c>
      <c r="BN143" s="44">
        <f t="shared" si="188"/>
        <v>0</v>
      </c>
      <c r="BO143" s="42">
        <v>0</v>
      </c>
      <c r="BP143">
        <f t="shared" si="230"/>
        <v>0</v>
      </c>
      <c r="BQ143" s="44">
        <f t="shared" si="242"/>
        <v>0</v>
      </c>
      <c r="BR143" s="42">
        <f t="shared" si="231"/>
        <v>0</v>
      </c>
      <c r="BS143">
        <f t="shared" si="232"/>
        <v>0</v>
      </c>
      <c r="BT143" s="44">
        <f t="shared" si="243"/>
        <v>0</v>
      </c>
      <c r="BU143" s="42">
        <f t="shared" si="209"/>
        <v>2.9972940177052081E-2</v>
      </c>
      <c r="BV143">
        <f t="shared" si="210"/>
        <v>4.3874999999999997E-2</v>
      </c>
      <c r="BW143" s="44">
        <f t="shared" si="211"/>
        <v>2.2499999999999999E-2</v>
      </c>
      <c r="BX143">
        <f t="shared" si="233"/>
        <v>0.71996392023606948</v>
      </c>
      <c r="BY143">
        <f t="shared" si="234"/>
        <v>3.6032530150095758</v>
      </c>
      <c r="BZ143">
        <f t="shared" si="235"/>
        <v>90.417709304109096</v>
      </c>
    </row>
    <row r="144" spans="17:78" x14ac:dyDescent="0.3">
      <c r="Q144">
        <v>137</v>
      </c>
      <c r="R144" s="42">
        <f t="shared" si="189"/>
        <v>34.25</v>
      </c>
      <c r="S144">
        <f t="shared" si="190"/>
        <v>50</v>
      </c>
      <c r="T144" s="44">
        <f t="shared" si="191"/>
        <v>0.68500000000000005</v>
      </c>
      <c r="U144" s="42">
        <f t="shared" si="192"/>
        <v>1</v>
      </c>
      <c r="V144">
        <f t="shared" si="193"/>
        <v>0.30967725134404045</v>
      </c>
      <c r="W144">
        <f t="shared" si="194"/>
        <v>0.45625781698021955</v>
      </c>
      <c r="X144">
        <f t="shared" si="212"/>
        <v>0.23406493167574</v>
      </c>
      <c r="Y144" s="42">
        <f t="shared" si="213"/>
        <v>2.2119803667431461</v>
      </c>
      <c r="Z144">
        <f t="shared" si="195"/>
        <v>4.4239607334862923</v>
      </c>
      <c r="AA144">
        <f t="shared" si="214"/>
        <v>4.4239607334862923</v>
      </c>
      <c r="AB144" s="44">
        <f t="shared" si="196"/>
        <v>1.4213639230068444</v>
      </c>
      <c r="AC144" s="42">
        <v>0</v>
      </c>
      <c r="AD144">
        <f t="shared" si="197"/>
        <v>4.0405508032508142E-2</v>
      </c>
      <c r="AE144" s="44">
        <f t="shared" si="215"/>
        <v>4.0405508032508142E-2</v>
      </c>
      <c r="AF144" s="42">
        <f t="shared" si="198"/>
        <v>0.68500000000000005</v>
      </c>
      <c r="AG144" s="44">
        <f t="shared" si="199"/>
        <v>0.68500000000000005</v>
      </c>
      <c r="AH144" s="42">
        <f t="shared" si="200"/>
        <v>6.8689363655263846E-2</v>
      </c>
      <c r="AI144">
        <f t="shared" si="201"/>
        <v>0.7970567343960504</v>
      </c>
      <c r="AJ144" s="44">
        <f t="shared" si="216"/>
        <v>0.86574609805131431</v>
      </c>
      <c r="AK144" s="42">
        <f t="shared" si="202"/>
        <v>34.25</v>
      </c>
      <c r="AL144">
        <f t="shared" si="203"/>
        <v>150</v>
      </c>
      <c r="AM144" s="44">
        <f t="shared" si="217"/>
        <v>0.22833333333333333</v>
      </c>
      <c r="AN144" s="42">
        <f t="shared" si="218"/>
        <v>2</v>
      </c>
      <c r="AO144">
        <f t="shared" si="219"/>
        <v>0.4562578169802195</v>
      </c>
      <c r="AP144">
        <f t="shared" si="220"/>
        <v>0.50044804677446753</v>
      </c>
      <c r="AQ144">
        <f t="shared" si="221"/>
        <v>1.0008960935489346</v>
      </c>
      <c r="AR144">
        <f t="shared" si="236"/>
        <v>1.0008960935489348</v>
      </c>
      <c r="AS144" s="44">
        <f t="shared" si="237"/>
        <v>0.39033143298171635</v>
      </c>
      <c r="AT144" s="42"/>
      <c r="AU144">
        <f t="shared" si="222"/>
        <v>2.711077777777778E-5</v>
      </c>
      <c r="AV144" s="44">
        <f t="shared" si="238"/>
        <v>2.711077777777778E-5</v>
      </c>
      <c r="AW144" s="42">
        <f t="shared" si="223"/>
        <v>0.92749999999999999</v>
      </c>
      <c r="AX144">
        <f t="shared" si="224"/>
        <v>0.31966666666666665</v>
      </c>
      <c r="AY144" s="44">
        <f t="shared" si="239"/>
        <v>1.2471666666666668</v>
      </c>
      <c r="AZ144" s="42">
        <f t="shared" si="204"/>
        <v>0</v>
      </c>
      <c r="BA144">
        <f t="shared" si="205"/>
        <v>0</v>
      </c>
      <c r="BB144">
        <f t="shared" si="240"/>
        <v>0</v>
      </c>
      <c r="BC144" s="44">
        <f t="shared" si="225"/>
        <v>0</v>
      </c>
      <c r="BD144" s="42">
        <v>0</v>
      </c>
      <c r="BE144">
        <f t="shared" si="226"/>
        <v>0</v>
      </c>
      <c r="BF144" s="44">
        <f t="shared" si="241"/>
        <v>0</v>
      </c>
      <c r="BG144" s="42">
        <f t="shared" si="227"/>
        <v>0</v>
      </c>
      <c r="BH144">
        <f t="shared" si="228"/>
        <v>0</v>
      </c>
      <c r="BI144" s="44">
        <f t="shared" si="229"/>
        <v>0</v>
      </c>
      <c r="BK144" s="42">
        <f t="shared" si="206"/>
        <v>0</v>
      </c>
      <c r="BL144">
        <f t="shared" si="207"/>
        <v>0</v>
      </c>
      <c r="BM144">
        <f t="shared" si="208"/>
        <v>0</v>
      </c>
      <c r="BN144" s="44">
        <f t="shared" ref="BN144:BN157" si="244">IF(EN_OUT_3=1,BK144/BL144,0)</f>
        <v>0</v>
      </c>
      <c r="BO144" s="42">
        <v>0</v>
      </c>
      <c r="BP144">
        <f t="shared" si="230"/>
        <v>0</v>
      </c>
      <c r="BQ144" s="44">
        <f t="shared" si="242"/>
        <v>0</v>
      </c>
      <c r="BR144" s="42">
        <f t="shared" si="231"/>
        <v>0</v>
      </c>
      <c r="BS144">
        <f t="shared" si="232"/>
        <v>0</v>
      </c>
      <c r="BT144" s="44">
        <f t="shared" si="243"/>
        <v>0</v>
      </c>
      <c r="BU144" s="42">
        <f t="shared" si="209"/>
        <v>3.0304131024381103E-2</v>
      </c>
      <c r="BV144">
        <f t="shared" si="210"/>
        <v>4.3874999999999997E-2</v>
      </c>
      <c r="BW144" s="44">
        <f t="shared" si="211"/>
        <v>2.2499999999999999E-2</v>
      </c>
      <c r="BX144">
        <f t="shared" si="233"/>
        <v>0.72540550803250814</v>
      </c>
      <c r="BY144">
        <f t="shared" si="234"/>
        <v>3.6200245145526484</v>
      </c>
      <c r="BZ144">
        <f t="shared" si="235"/>
        <v>90.440923762376883</v>
      </c>
    </row>
    <row r="145" spans="17:78" x14ac:dyDescent="0.3">
      <c r="Q145">
        <v>138</v>
      </c>
      <c r="R145" s="42">
        <f t="shared" si="189"/>
        <v>34.5</v>
      </c>
      <c r="S145">
        <f t="shared" si="190"/>
        <v>50</v>
      </c>
      <c r="T145" s="44">
        <f t="shared" si="191"/>
        <v>0.69</v>
      </c>
      <c r="U145" s="42">
        <f t="shared" si="192"/>
        <v>1</v>
      </c>
      <c r="V145">
        <f t="shared" si="193"/>
        <v>0.31080540535840107</v>
      </c>
      <c r="W145">
        <f t="shared" si="194"/>
        <v>0.4579199638947109</v>
      </c>
      <c r="X145">
        <f t="shared" si="212"/>
        <v>0.23127463074688803</v>
      </c>
      <c r="Y145" s="42">
        <f t="shared" si="213"/>
        <v>2.2200386097028648</v>
      </c>
      <c r="Z145">
        <f t="shared" si="195"/>
        <v>4.4400772194057296</v>
      </c>
      <c r="AA145">
        <f t="shared" si="214"/>
        <v>4.4400772194057296</v>
      </c>
      <c r="AB145" s="44">
        <f t="shared" si="196"/>
        <v>1.4291380342453406</v>
      </c>
      <c r="AC145" s="42">
        <v>0</v>
      </c>
      <c r="AD145">
        <f t="shared" si="197"/>
        <v>4.0848710418532726E-2</v>
      </c>
      <c r="AE145" s="44">
        <f t="shared" si="215"/>
        <v>4.0848710418532726E-2</v>
      </c>
      <c r="AF145" s="42">
        <f t="shared" si="198"/>
        <v>0.69000000000000006</v>
      </c>
      <c r="AG145" s="44">
        <f t="shared" si="199"/>
        <v>0.69000000000000006</v>
      </c>
      <c r="AH145" s="42">
        <f t="shared" si="200"/>
        <v>6.9442807711505641E-2</v>
      </c>
      <c r="AI145">
        <f t="shared" si="201"/>
        <v>0.79996041153306763</v>
      </c>
      <c r="AJ145" s="44">
        <f t="shared" si="216"/>
        <v>0.86940321924457331</v>
      </c>
      <c r="AK145" s="42">
        <f t="shared" si="202"/>
        <v>34.5</v>
      </c>
      <c r="AL145">
        <f t="shared" si="203"/>
        <v>150</v>
      </c>
      <c r="AM145" s="44">
        <f t="shared" si="217"/>
        <v>0.23</v>
      </c>
      <c r="AN145" s="42">
        <f t="shared" si="218"/>
        <v>2</v>
      </c>
      <c r="AO145">
        <f t="shared" si="219"/>
        <v>0.4579199638947109</v>
      </c>
      <c r="AP145">
        <f t="shared" si="220"/>
        <v>0.50227117866580651</v>
      </c>
      <c r="AQ145">
        <f t="shared" si="221"/>
        <v>1.004542357331613</v>
      </c>
      <c r="AR145">
        <f t="shared" si="236"/>
        <v>1.004542357331613</v>
      </c>
      <c r="AS145" s="44">
        <f t="shared" si="237"/>
        <v>0.39246634011616932</v>
      </c>
      <c r="AT145" s="42"/>
      <c r="AU145">
        <f t="shared" si="222"/>
        <v>2.7508000000000005E-5</v>
      </c>
      <c r="AV145" s="44">
        <f t="shared" si="238"/>
        <v>2.7508000000000005E-5</v>
      </c>
      <c r="AW145" s="42">
        <f t="shared" si="223"/>
        <v>0.92749999999999999</v>
      </c>
      <c r="AX145">
        <f t="shared" si="224"/>
        <v>0.32200000000000001</v>
      </c>
      <c r="AY145" s="44">
        <f t="shared" si="239"/>
        <v>1.2495000000000001</v>
      </c>
      <c r="AZ145" s="42">
        <f t="shared" si="204"/>
        <v>0</v>
      </c>
      <c r="BA145">
        <f t="shared" si="205"/>
        <v>0</v>
      </c>
      <c r="BB145">
        <f t="shared" si="240"/>
        <v>0</v>
      </c>
      <c r="BC145" s="44">
        <f t="shared" si="225"/>
        <v>0</v>
      </c>
      <c r="BD145" s="42">
        <v>0</v>
      </c>
      <c r="BE145">
        <f t="shared" si="226"/>
        <v>0</v>
      </c>
      <c r="BF145" s="44">
        <f t="shared" si="241"/>
        <v>0</v>
      </c>
      <c r="BG145" s="42">
        <f t="shared" si="227"/>
        <v>0</v>
      </c>
      <c r="BH145">
        <f t="shared" si="228"/>
        <v>0</v>
      </c>
      <c r="BI145" s="44">
        <f t="shared" si="229"/>
        <v>0</v>
      </c>
      <c r="BK145" s="42">
        <f t="shared" si="206"/>
        <v>0</v>
      </c>
      <c r="BL145">
        <f t="shared" si="207"/>
        <v>0</v>
      </c>
      <c r="BM145">
        <f t="shared" si="208"/>
        <v>0</v>
      </c>
      <c r="BN145" s="44">
        <f t="shared" si="244"/>
        <v>0</v>
      </c>
      <c r="BO145" s="42">
        <v>0</v>
      </c>
      <c r="BP145">
        <f t="shared" si="230"/>
        <v>0</v>
      </c>
      <c r="BQ145" s="44">
        <f t="shared" si="242"/>
        <v>0</v>
      </c>
      <c r="BR145" s="42">
        <f t="shared" si="231"/>
        <v>0</v>
      </c>
      <c r="BS145">
        <f t="shared" si="232"/>
        <v>0</v>
      </c>
      <c r="BT145" s="44">
        <f t="shared" si="243"/>
        <v>0</v>
      </c>
      <c r="BU145" s="42">
        <f t="shared" si="209"/>
        <v>3.0636532813899543E-2</v>
      </c>
      <c r="BV145">
        <f t="shared" si="210"/>
        <v>4.3874999999999997E-2</v>
      </c>
      <c r="BW145" s="44">
        <f t="shared" si="211"/>
        <v>2.2499999999999999E-2</v>
      </c>
      <c r="BX145">
        <f t="shared" si="233"/>
        <v>0.73084871041853283</v>
      </c>
      <c r="BY145">
        <f t="shared" si="234"/>
        <v>3.6367909704770058</v>
      </c>
      <c r="BZ145">
        <f t="shared" si="235"/>
        <v>90.463825408665429</v>
      </c>
    </row>
    <row r="146" spans="17:78" x14ac:dyDescent="0.3">
      <c r="Q146">
        <v>139</v>
      </c>
      <c r="R146" s="42">
        <f t="shared" si="189"/>
        <v>34.75</v>
      </c>
      <c r="S146">
        <f t="shared" si="190"/>
        <v>50</v>
      </c>
      <c r="T146" s="44">
        <f t="shared" si="191"/>
        <v>0.69499999999999995</v>
      </c>
      <c r="U146" s="42">
        <f t="shared" si="192"/>
        <v>1</v>
      </c>
      <c r="V146">
        <f t="shared" si="193"/>
        <v>0.31192947920964442</v>
      </c>
      <c r="W146">
        <f t="shared" si="194"/>
        <v>0.45957609936887611</v>
      </c>
      <c r="X146">
        <f t="shared" si="212"/>
        <v>0.22849442142147947</v>
      </c>
      <c r="Y146" s="42">
        <f t="shared" si="213"/>
        <v>2.2280677086403173</v>
      </c>
      <c r="Z146">
        <f t="shared" si="195"/>
        <v>4.4561354172806347</v>
      </c>
      <c r="AA146">
        <f t="shared" si="214"/>
        <v>4.4561354172806347</v>
      </c>
      <c r="AB146" s="44">
        <f t="shared" si="196"/>
        <v>1.4368980745596958</v>
      </c>
      <c r="AC146" s="42">
        <v>0</v>
      </c>
      <c r="AD146">
        <f t="shared" si="197"/>
        <v>4.1293521533467221E-2</v>
      </c>
      <c r="AE146" s="44">
        <f t="shared" si="215"/>
        <v>4.1293521533467221E-2</v>
      </c>
      <c r="AF146" s="42">
        <f t="shared" si="198"/>
        <v>0.69500000000000006</v>
      </c>
      <c r="AG146" s="44">
        <f t="shared" si="199"/>
        <v>0.69500000000000006</v>
      </c>
      <c r="AH146" s="42">
        <f t="shared" si="200"/>
        <v>7.0198986606894276E-2</v>
      </c>
      <c r="AI146">
        <f t="shared" si="201"/>
        <v>0.80285358702207599</v>
      </c>
      <c r="AJ146" s="44">
        <f t="shared" si="216"/>
        <v>0.87305257362897026</v>
      </c>
      <c r="AK146" s="42">
        <f t="shared" si="202"/>
        <v>34.75</v>
      </c>
      <c r="AL146">
        <f t="shared" si="203"/>
        <v>150</v>
      </c>
      <c r="AM146" s="44">
        <f t="shared" si="217"/>
        <v>0.23166666666666666</v>
      </c>
      <c r="AN146" s="42">
        <f t="shared" si="218"/>
        <v>2</v>
      </c>
      <c r="AO146">
        <f t="shared" si="219"/>
        <v>0.45957609936887611</v>
      </c>
      <c r="AP146">
        <f t="shared" si="220"/>
        <v>0.50408771688694964</v>
      </c>
      <c r="AQ146">
        <f t="shared" si="221"/>
        <v>1.0081754337738993</v>
      </c>
      <c r="AR146">
        <f t="shared" si="236"/>
        <v>1.0081754337738993</v>
      </c>
      <c r="AS146" s="44">
        <f t="shared" si="237"/>
        <v>0.39459738312835613</v>
      </c>
      <c r="AT146" s="42"/>
      <c r="AU146">
        <f t="shared" si="222"/>
        <v>2.7908111111111114E-5</v>
      </c>
      <c r="AV146" s="44">
        <f t="shared" si="238"/>
        <v>2.7908111111111114E-5</v>
      </c>
      <c r="AW146" s="42">
        <f t="shared" si="223"/>
        <v>0.92749999999999999</v>
      </c>
      <c r="AX146">
        <f t="shared" si="224"/>
        <v>0.32433333333333331</v>
      </c>
      <c r="AY146" s="44">
        <f t="shared" si="239"/>
        <v>1.2518333333333334</v>
      </c>
      <c r="AZ146" s="42">
        <f t="shared" si="204"/>
        <v>0</v>
      </c>
      <c r="BA146">
        <f t="shared" si="205"/>
        <v>0</v>
      </c>
      <c r="BB146">
        <f t="shared" si="240"/>
        <v>0</v>
      </c>
      <c r="BC146" s="44">
        <f t="shared" si="225"/>
        <v>0</v>
      </c>
      <c r="BD146" s="42">
        <v>0</v>
      </c>
      <c r="BE146">
        <f t="shared" si="226"/>
        <v>0</v>
      </c>
      <c r="BF146" s="44">
        <f t="shared" si="241"/>
        <v>0</v>
      </c>
      <c r="BG146" s="42">
        <f t="shared" si="227"/>
        <v>0</v>
      </c>
      <c r="BH146">
        <f t="shared" si="228"/>
        <v>0</v>
      </c>
      <c r="BI146" s="44">
        <f t="shared" si="229"/>
        <v>0</v>
      </c>
      <c r="BK146" s="42">
        <f t="shared" si="206"/>
        <v>0</v>
      </c>
      <c r="BL146">
        <f t="shared" si="207"/>
        <v>0</v>
      </c>
      <c r="BM146">
        <f t="shared" si="208"/>
        <v>0</v>
      </c>
      <c r="BN146" s="44">
        <f t="shared" si="244"/>
        <v>0</v>
      </c>
      <c r="BO146" s="42">
        <v>0</v>
      </c>
      <c r="BP146">
        <f t="shared" si="230"/>
        <v>0</v>
      </c>
      <c r="BQ146" s="44">
        <f t="shared" si="242"/>
        <v>0</v>
      </c>
      <c r="BR146" s="42">
        <f t="shared" si="231"/>
        <v>0</v>
      </c>
      <c r="BS146">
        <f t="shared" si="232"/>
        <v>0</v>
      </c>
      <c r="BT146" s="44">
        <f t="shared" si="243"/>
        <v>0</v>
      </c>
      <c r="BU146" s="42">
        <f t="shared" si="209"/>
        <v>3.0970141150100414E-2</v>
      </c>
      <c r="BV146">
        <f t="shared" si="210"/>
        <v>4.3874999999999997E-2</v>
      </c>
      <c r="BW146" s="44">
        <f t="shared" si="211"/>
        <v>2.2499999999999999E-2</v>
      </c>
      <c r="BX146">
        <f t="shared" si="233"/>
        <v>0.73629352153346728</v>
      </c>
      <c r="BY146">
        <f t="shared" si="234"/>
        <v>3.6535524777569819</v>
      </c>
      <c r="BZ146">
        <f t="shared" si="235"/>
        <v>90.486420546971303</v>
      </c>
    </row>
    <row r="147" spans="17:78" x14ac:dyDescent="0.3">
      <c r="Q147">
        <v>140</v>
      </c>
      <c r="R147" s="42">
        <f t="shared" si="189"/>
        <v>35</v>
      </c>
      <c r="S147">
        <f t="shared" si="190"/>
        <v>50</v>
      </c>
      <c r="T147" s="44">
        <f t="shared" si="191"/>
        <v>0.7</v>
      </c>
      <c r="U147" s="42">
        <f t="shared" si="192"/>
        <v>1</v>
      </c>
      <c r="V147">
        <f t="shared" si="193"/>
        <v>0.31304951684997057</v>
      </c>
      <c r="W147">
        <f t="shared" si="194"/>
        <v>0.46122628815895667</v>
      </c>
      <c r="X147">
        <f t="shared" si="212"/>
        <v>0.22572419499107282</v>
      </c>
      <c r="Y147" s="42">
        <f t="shared" si="213"/>
        <v>2.2360679774997898</v>
      </c>
      <c r="Z147">
        <f t="shared" si="195"/>
        <v>4.4721359549995796</v>
      </c>
      <c r="AA147">
        <f t="shared" si="214"/>
        <v>4.4721359549995796</v>
      </c>
      <c r="AB147" s="44">
        <f t="shared" si="196"/>
        <v>1.4446441703754611</v>
      </c>
      <c r="AC147" s="42">
        <v>0</v>
      </c>
      <c r="AD147">
        <f t="shared" si="197"/>
        <v>4.1739935579996085E-2</v>
      </c>
      <c r="AE147" s="44">
        <f t="shared" si="215"/>
        <v>4.1739935579996085E-2</v>
      </c>
      <c r="AF147" s="42">
        <f t="shared" si="198"/>
        <v>0.70000000000000007</v>
      </c>
      <c r="AG147" s="44">
        <f t="shared" si="199"/>
        <v>0.70000000000000007</v>
      </c>
      <c r="AH147" s="42">
        <f t="shared" si="200"/>
        <v>7.0957890485993352E-2</v>
      </c>
      <c r="AI147">
        <f t="shared" si="201"/>
        <v>0.80573637398858522</v>
      </c>
      <c r="AJ147" s="44">
        <f t="shared" si="216"/>
        <v>0.87669426447457854</v>
      </c>
      <c r="AK147" s="42">
        <f t="shared" si="202"/>
        <v>35</v>
      </c>
      <c r="AL147">
        <f t="shared" si="203"/>
        <v>150</v>
      </c>
      <c r="AM147" s="44">
        <f t="shared" si="217"/>
        <v>0.23333333333333334</v>
      </c>
      <c r="AN147" s="42">
        <f t="shared" si="218"/>
        <v>2</v>
      </c>
      <c r="AO147">
        <f t="shared" si="219"/>
        <v>0.4612262881589565</v>
      </c>
      <c r="AP147">
        <f t="shared" si="220"/>
        <v>0.50589773246601588</v>
      </c>
      <c r="AQ147">
        <f t="shared" si="221"/>
        <v>1.0117954649320313</v>
      </c>
      <c r="AR147">
        <f t="shared" si="236"/>
        <v>1.0117954649320315</v>
      </c>
      <c r="AS147" s="44">
        <f t="shared" si="237"/>
        <v>0.39672459673694777</v>
      </c>
      <c r="AT147" s="42"/>
      <c r="AU147">
        <f t="shared" si="222"/>
        <v>2.8311111111111116E-5</v>
      </c>
      <c r="AV147" s="44">
        <f t="shared" si="238"/>
        <v>2.8311111111111116E-5</v>
      </c>
      <c r="AW147" s="42">
        <f t="shared" si="223"/>
        <v>0.92749999999999999</v>
      </c>
      <c r="AX147">
        <f t="shared" si="224"/>
        <v>0.32666666666666666</v>
      </c>
      <c r="AY147" s="44">
        <f t="shared" si="239"/>
        <v>1.2541666666666667</v>
      </c>
      <c r="AZ147" s="42">
        <f t="shared" si="204"/>
        <v>0</v>
      </c>
      <c r="BA147">
        <f t="shared" si="205"/>
        <v>0</v>
      </c>
      <c r="BB147">
        <f t="shared" si="240"/>
        <v>0</v>
      </c>
      <c r="BC147" s="44">
        <f t="shared" si="225"/>
        <v>0</v>
      </c>
      <c r="BD147" s="42">
        <v>0</v>
      </c>
      <c r="BE147">
        <f t="shared" si="226"/>
        <v>0</v>
      </c>
      <c r="BF147" s="44">
        <f t="shared" si="241"/>
        <v>0</v>
      </c>
      <c r="BG147" s="42">
        <f t="shared" si="227"/>
        <v>0</v>
      </c>
      <c r="BH147">
        <f t="shared" si="228"/>
        <v>0</v>
      </c>
      <c r="BI147" s="44">
        <f t="shared" si="229"/>
        <v>0</v>
      </c>
      <c r="BK147" s="42">
        <f t="shared" si="206"/>
        <v>0</v>
      </c>
      <c r="BL147">
        <f t="shared" si="207"/>
        <v>0</v>
      </c>
      <c r="BM147">
        <f t="shared" si="208"/>
        <v>0</v>
      </c>
      <c r="BN147" s="44">
        <f t="shared" si="244"/>
        <v>0</v>
      </c>
      <c r="BO147" s="42">
        <v>0</v>
      </c>
      <c r="BP147">
        <f t="shared" si="230"/>
        <v>0</v>
      </c>
      <c r="BQ147" s="44">
        <f t="shared" si="242"/>
        <v>0</v>
      </c>
      <c r="BR147" s="42">
        <f t="shared" si="231"/>
        <v>0</v>
      </c>
      <c r="BS147">
        <f t="shared" si="232"/>
        <v>0</v>
      </c>
      <c r="BT147" s="44">
        <f t="shared" si="243"/>
        <v>0</v>
      </c>
      <c r="BU147" s="42">
        <f t="shared" si="209"/>
        <v>3.1304951684997064E-2</v>
      </c>
      <c r="BV147">
        <f t="shared" si="210"/>
        <v>4.3874999999999997E-2</v>
      </c>
      <c r="BW147" s="44">
        <f t="shared" si="211"/>
        <v>2.2499999999999999E-2</v>
      </c>
      <c r="BX147">
        <f t="shared" si="233"/>
        <v>0.74173993557999618</v>
      </c>
      <c r="BY147">
        <f t="shared" si="234"/>
        <v>3.6703091295173498</v>
      </c>
      <c r="BZ147">
        <f t="shared" si="235"/>
        <v>90.50871531121075</v>
      </c>
    </row>
    <row r="148" spans="17:78" x14ac:dyDescent="0.3">
      <c r="Q148">
        <v>141</v>
      </c>
      <c r="R148" s="42">
        <f t="shared" si="189"/>
        <v>35.25</v>
      </c>
      <c r="S148">
        <f t="shared" si="190"/>
        <v>50</v>
      </c>
      <c r="T148" s="44">
        <f t="shared" si="191"/>
        <v>0.70499999999999996</v>
      </c>
      <c r="U148" s="42">
        <f t="shared" si="192"/>
        <v>1</v>
      </c>
      <c r="V148">
        <f t="shared" si="193"/>
        <v>0.31416556144810015</v>
      </c>
      <c r="W148">
        <f t="shared" si="194"/>
        <v>0.46287059386686752</v>
      </c>
      <c r="X148">
        <f t="shared" si="212"/>
        <v>0.22296384468503233</v>
      </c>
      <c r="Y148" s="42">
        <f t="shared" si="213"/>
        <v>2.2440397246292867</v>
      </c>
      <c r="Z148">
        <f t="shared" si="195"/>
        <v>4.4880794492585734</v>
      </c>
      <c r="AA148">
        <f t="shared" si="214"/>
        <v>4.4880794492585734</v>
      </c>
      <c r="AB148" s="44">
        <f t="shared" si="196"/>
        <v>1.4523764460881103</v>
      </c>
      <c r="AC148" s="42">
        <v>0</v>
      </c>
      <c r="AD148">
        <f t="shared" si="197"/>
        <v>4.2187946823030592E-2</v>
      </c>
      <c r="AE148" s="44">
        <f t="shared" si="215"/>
        <v>4.2187946823030592E-2</v>
      </c>
      <c r="AF148" s="42">
        <f t="shared" si="198"/>
        <v>0.70499999999999996</v>
      </c>
      <c r="AG148" s="44">
        <f t="shared" si="199"/>
        <v>0.70499999999999996</v>
      </c>
      <c r="AH148" s="42">
        <f t="shared" si="200"/>
        <v>7.171950959915202E-2</v>
      </c>
      <c r="AI148">
        <f t="shared" si="201"/>
        <v>0.80860888354156257</v>
      </c>
      <c r="AJ148" s="44">
        <f t="shared" si="216"/>
        <v>0.88032839314071465</v>
      </c>
      <c r="AK148" s="42">
        <f t="shared" si="202"/>
        <v>35.25</v>
      </c>
      <c r="AL148">
        <f t="shared" si="203"/>
        <v>150</v>
      </c>
      <c r="AM148" s="44">
        <f t="shared" si="217"/>
        <v>0.23499999999999999</v>
      </c>
      <c r="AN148" s="42">
        <f t="shared" si="218"/>
        <v>2</v>
      </c>
      <c r="AO148">
        <f t="shared" si="219"/>
        <v>0.46287059386686763</v>
      </c>
      <c r="AP148">
        <f t="shared" si="220"/>
        <v>0.50770129516499696</v>
      </c>
      <c r="AQ148">
        <f t="shared" si="221"/>
        <v>1.0154025903299944</v>
      </c>
      <c r="AR148">
        <f t="shared" si="236"/>
        <v>1.0154025903299941</v>
      </c>
      <c r="AS148" s="44">
        <f t="shared" si="237"/>
        <v>0.39884801510312062</v>
      </c>
      <c r="AT148" s="42"/>
      <c r="AU148">
        <f t="shared" si="222"/>
        <v>2.8717000000000003E-5</v>
      </c>
      <c r="AV148" s="44">
        <f t="shared" si="238"/>
        <v>2.8717000000000003E-5</v>
      </c>
      <c r="AW148" s="42">
        <f t="shared" si="223"/>
        <v>0.92749999999999999</v>
      </c>
      <c r="AX148">
        <f t="shared" si="224"/>
        <v>0.32899999999999996</v>
      </c>
      <c r="AY148" s="44">
        <f t="shared" si="239"/>
        <v>1.2565</v>
      </c>
      <c r="AZ148" s="42">
        <f t="shared" si="204"/>
        <v>0</v>
      </c>
      <c r="BA148">
        <f t="shared" si="205"/>
        <v>0</v>
      </c>
      <c r="BB148">
        <f t="shared" si="240"/>
        <v>0</v>
      </c>
      <c r="BC148" s="44">
        <f t="shared" si="225"/>
        <v>0</v>
      </c>
      <c r="BD148" s="42">
        <v>0</v>
      </c>
      <c r="BE148">
        <f t="shared" si="226"/>
        <v>0</v>
      </c>
      <c r="BF148" s="44">
        <f t="shared" si="241"/>
        <v>0</v>
      </c>
      <c r="BG148" s="42">
        <f t="shared" si="227"/>
        <v>0</v>
      </c>
      <c r="BH148">
        <f t="shared" si="228"/>
        <v>0</v>
      </c>
      <c r="BI148" s="44">
        <f t="shared" si="229"/>
        <v>0</v>
      </c>
      <c r="BK148" s="42">
        <f t="shared" si="206"/>
        <v>0</v>
      </c>
      <c r="BL148">
        <f t="shared" si="207"/>
        <v>0</v>
      </c>
      <c r="BM148">
        <f t="shared" si="208"/>
        <v>0</v>
      </c>
      <c r="BN148" s="44">
        <f t="shared" si="244"/>
        <v>0</v>
      </c>
      <c r="BO148" s="42">
        <v>0</v>
      </c>
      <c r="BP148">
        <f t="shared" si="230"/>
        <v>0</v>
      </c>
      <c r="BQ148" s="44">
        <f t="shared" si="242"/>
        <v>0</v>
      </c>
      <c r="BR148" s="42">
        <f t="shared" si="231"/>
        <v>0</v>
      </c>
      <c r="BS148">
        <f t="shared" si="232"/>
        <v>0</v>
      </c>
      <c r="BT148" s="44">
        <f t="shared" si="243"/>
        <v>0</v>
      </c>
      <c r="BU148" s="42">
        <f t="shared" si="209"/>
        <v>3.1640960117272944E-2</v>
      </c>
      <c r="BV148">
        <f t="shared" si="210"/>
        <v>4.3874999999999997E-2</v>
      </c>
      <c r="BW148" s="44">
        <f t="shared" si="211"/>
        <v>2.2499999999999999E-2</v>
      </c>
      <c r="BX148">
        <f t="shared" si="233"/>
        <v>0.74718794682303058</v>
      </c>
      <c r="BY148">
        <f t="shared" si="234"/>
        <v>3.6870610170810179</v>
      </c>
      <c r="BZ148">
        <f t="shared" si="235"/>
        <v>90.530715670955303</v>
      </c>
    </row>
    <row r="149" spans="17:78" x14ac:dyDescent="0.3">
      <c r="Q149">
        <v>142</v>
      </c>
      <c r="R149" s="42">
        <f t="shared" si="189"/>
        <v>35.5</v>
      </c>
      <c r="S149">
        <f t="shared" si="190"/>
        <v>50</v>
      </c>
      <c r="T149" s="44">
        <f t="shared" si="191"/>
        <v>0.71</v>
      </c>
      <c r="U149" s="42">
        <f t="shared" si="192"/>
        <v>1</v>
      </c>
      <c r="V149">
        <f t="shared" si="193"/>
        <v>0.31527765540868896</v>
      </c>
      <c r="W149">
        <f t="shared" si="194"/>
        <v>0.46450907896880173</v>
      </c>
      <c r="X149">
        <f t="shared" si="212"/>
        <v>0.22021326562250937</v>
      </c>
      <c r="Y149" s="42">
        <f t="shared" si="213"/>
        <v>2.2519832529192065</v>
      </c>
      <c r="Z149">
        <f t="shared" si="195"/>
        <v>4.503966505838414</v>
      </c>
      <c r="AA149">
        <f t="shared" si="214"/>
        <v>4.5039665058384131</v>
      </c>
      <c r="AB149" s="44">
        <f t="shared" si="196"/>
        <v>1.4600950241097947</v>
      </c>
      <c r="AC149" s="42">
        <v>0</v>
      </c>
      <c r="AD149">
        <f t="shared" si="197"/>
        <v>4.2637549588603642E-2</v>
      </c>
      <c r="AE149" s="44">
        <f t="shared" si="215"/>
        <v>4.2637549588603642E-2</v>
      </c>
      <c r="AF149" s="42">
        <f t="shared" si="198"/>
        <v>0.71</v>
      </c>
      <c r="AG149" s="44">
        <f t="shared" si="199"/>
        <v>0.71</v>
      </c>
      <c r="AH149" s="42">
        <f t="shared" si="200"/>
        <v>7.2483834300626188E-2</v>
      </c>
      <c r="AI149">
        <f t="shared" si="201"/>
        <v>0.8114712248234015</v>
      </c>
      <c r="AJ149" s="44">
        <f t="shared" si="216"/>
        <v>0.88395505912402772</v>
      </c>
      <c r="AK149" s="42">
        <f t="shared" si="202"/>
        <v>35.5</v>
      </c>
      <c r="AL149">
        <f t="shared" si="203"/>
        <v>150</v>
      </c>
      <c r="AM149" s="44">
        <f t="shared" si="217"/>
        <v>0.23666666666666666</v>
      </c>
      <c r="AN149" s="42">
        <f t="shared" si="218"/>
        <v>2</v>
      </c>
      <c r="AO149">
        <f t="shared" si="219"/>
        <v>0.46450907896880178</v>
      </c>
      <c r="AP149">
        <f t="shared" si="220"/>
        <v>0.50949847351113264</v>
      </c>
      <c r="AQ149">
        <f t="shared" si="221"/>
        <v>1.0189969470222657</v>
      </c>
      <c r="AR149">
        <f t="shared" si="236"/>
        <v>1.0189969470222655</v>
      </c>
      <c r="AS149" s="44">
        <f t="shared" si="237"/>
        <v>0.40096767184339566</v>
      </c>
      <c r="AT149" s="42"/>
      <c r="AU149">
        <f t="shared" si="222"/>
        <v>2.912577777777778E-5</v>
      </c>
      <c r="AV149" s="44">
        <f t="shared" si="238"/>
        <v>2.912577777777778E-5</v>
      </c>
      <c r="AW149" s="42">
        <f t="shared" si="223"/>
        <v>0.92749999999999999</v>
      </c>
      <c r="AX149">
        <f t="shared" si="224"/>
        <v>0.33133333333333331</v>
      </c>
      <c r="AY149" s="44">
        <f t="shared" si="239"/>
        <v>1.2588333333333332</v>
      </c>
      <c r="AZ149" s="42">
        <f t="shared" si="204"/>
        <v>0</v>
      </c>
      <c r="BA149">
        <f t="shared" si="205"/>
        <v>0</v>
      </c>
      <c r="BB149">
        <f t="shared" si="240"/>
        <v>0</v>
      </c>
      <c r="BC149" s="44">
        <f t="shared" si="225"/>
        <v>0</v>
      </c>
      <c r="BD149" s="42">
        <v>0</v>
      </c>
      <c r="BE149">
        <f t="shared" si="226"/>
        <v>0</v>
      </c>
      <c r="BF149" s="44">
        <f t="shared" si="241"/>
        <v>0</v>
      </c>
      <c r="BG149" s="42">
        <f t="shared" si="227"/>
        <v>0</v>
      </c>
      <c r="BH149">
        <f t="shared" si="228"/>
        <v>0</v>
      </c>
      <c r="BI149" s="44">
        <f t="shared" si="229"/>
        <v>0</v>
      </c>
      <c r="BK149" s="42">
        <f t="shared" si="206"/>
        <v>0</v>
      </c>
      <c r="BL149">
        <f t="shared" si="207"/>
        <v>0</v>
      </c>
      <c r="BM149">
        <f t="shared" si="208"/>
        <v>0</v>
      </c>
      <c r="BN149" s="44">
        <f t="shared" si="244"/>
        <v>0</v>
      </c>
      <c r="BO149" s="42">
        <v>0</v>
      </c>
      <c r="BP149">
        <f t="shared" si="230"/>
        <v>0</v>
      </c>
      <c r="BQ149" s="44">
        <f t="shared" si="242"/>
        <v>0</v>
      </c>
      <c r="BR149" s="42">
        <f t="shared" si="231"/>
        <v>0</v>
      </c>
      <c r="BS149">
        <f t="shared" si="232"/>
        <v>0</v>
      </c>
      <c r="BT149" s="44">
        <f t="shared" si="243"/>
        <v>0</v>
      </c>
      <c r="BU149" s="42">
        <f t="shared" si="209"/>
        <v>3.1978162191452726E-2</v>
      </c>
      <c r="BV149">
        <f t="shared" si="210"/>
        <v>4.3874999999999997E-2</v>
      </c>
      <c r="BW149" s="44">
        <f t="shared" si="211"/>
        <v>2.2499999999999999E-2</v>
      </c>
      <c r="BX149">
        <f t="shared" si="233"/>
        <v>0.75263754958860363</v>
      </c>
      <c r="BY149">
        <f t="shared" si="234"/>
        <v>3.7038082300151949</v>
      </c>
      <c r="BZ149">
        <f t="shared" si="235"/>
        <v>90.552427436935858</v>
      </c>
    </row>
    <row r="150" spans="17:78" x14ac:dyDescent="0.3">
      <c r="Q150">
        <v>143</v>
      </c>
      <c r="R150" s="42">
        <f t="shared" si="189"/>
        <v>35.75</v>
      </c>
      <c r="S150">
        <f t="shared" si="190"/>
        <v>50</v>
      </c>
      <c r="T150" s="44">
        <f t="shared" si="191"/>
        <v>0.71499999999999997</v>
      </c>
      <c r="U150" s="42">
        <f t="shared" si="192"/>
        <v>1</v>
      </c>
      <c r="V150">
        <f t="shared" si="193"/>
        <v>0.31638584039112749</v>
      </c>
      <c r="W150">
        <f t="shared" si="194"/>
        <v>0.46614180484292783</v>
      </c>
      <c r="X150">
        <f t="shared" si="212"/>
        <v>0.21747235476594468</v>
      </c>
      <c r="Y150" s="42">
        <f t="shared" si="213"/>
        <v>2.2598988599366248</v>
      </c>
      <c r="Z150">
        <f t="shared" si="195"/>
        <v>4.5197977198732504</v>
      </c>
      <c r="AA150">
        <f t="shared" si="214"/>
        <v>4.5197977198732495</v>
      </c>
      <c r="AB150" s="44">
        <f t="shared" si="196"/>
        <v>1.4678000249146961</v>
      </c>
      <c r="AC150" s="42">
        <v>0</v>
      </c>
      <c r="AD150">
        <f t="shared" si="197"/>
        <v>4.3088738262791651E-2</v>
      </c>
      <c r="AE150" s="44">
        <f t="shared" si="215"/>
        <v>4.3088738262791651E-2</v>
      </c>
      <c r="AF150" s="42">
        <f t="shared" si="198"/>
        <v>0.71499999999999997</v>
      </c>
      <c r="AG150" s="44">
        <f t="shared" si="199"/>
        <v>0.71499999999999997</v>
      </c>
      <c r="AH150" s="42">
        <f t="shared" si="200"/>
        <v>7.3250855046745819E-2</v>
      </c>
      <c r="AI150">
        <f t="shared" si="201"/>
        <v>0.81432350505830942</v>
      </c>
      <c r="AJ150" s="44">
        <f t="shared" si="216"/>
        <v>0.88757436010505519</v>
      </c>
      <c r="AK150" s="42">
        <f t="shared" si="202"/>
        <v>35.75</v>
      </c>
      <c r="AL150">
        <f t="shared" si="203"/>
        <v>150</v>
      </c>
      <c r="AM150" s="44">
        <f t="shared" si="217"/>
        <v>0.23833333333333334</v>
      </c>
      <c r="AN150" s="42">
        <f t="shared" si="218"/>
        <v>2</v>
      </c>
      <c r="AO150">
        <f t="shared" si="219"/>
        <v>0.46614180484292778</v>
      </c>
      <c r="AP150">
        <f t="shared" si="220"/>
        <v>0.51128933482729078</v>
      </c>
      <c r="AQ150">
        <f t="shared" si="221"/>
        <v>1.0225786696545813</v>
      </c>
      <c r="AR150">
        <f t="shared" si="236"/>
        <v>1.0225786696545813</v>
      </c>
      <c r="AS150" s="44">
        <f t="shared" si="237"/>
        <v>0.40308360004209365</v>
      </c>
      <c r="AT150" s="42"/>
      <c r="AU150">
        <f t="shared" si="222"/>
        <v>2.9537444444444449E-5</v>
      </c>
      <c r="AV150" s="44">
        <f t="shared" si="238"/>
        <v>2.9537444444444449E-5</v>
      </c>
      <c r="AW150" s="42">
        <f t="shared" si="223"/>
        <v>0.92749999999999999</v>
      </c>
      <c r="AX150">
        <f t="shared" si="224"/>
        <v>0.33366666666666667</v>
      </c>
      <c r="AY150" s="44">
        <f t="shared" si="239"/>
        <v>1.2611666666666665</v>
      </c>
      <c r="AZ150" s="42">
        <f t="shared" si="204"/>
        <v>0</v>
      </c>
      <c r="BA150">
        <f t="shared" si="205"/>
        <v>0</v>
      </c>
      <c r="BB150">
        <f t="shared" si="240"/>
        <v>0</v>
      </c>
      <c r="BC150" s="44">
        <f t="shared" si="225"/>
        <v>0</v>
      </c>
      <c r="BD150" s="42">
        <v>0</v>
      </c>
      <c r="BE150">
        <f t="shared" si="226"/>
        <v>0</v>
      </c>
      <c r="BF150" s="44">
        <f t="shared" si="241"/>
        <v>0</v>
      </c>
      <c r="BG150" s="42">
        <f t="shared" si="227"/>
        <v>0</v>
      </c>
      <c r="BH150">
        <f t="shared" si="228"/>
        <v>0</v>
      </c>
      <c r="BI150" s="44">
        <f t="shared" si="229"/>
        <v>0</v>
      </c>
      <c r="BK150" s="42">
        <f t="shared" si="206"/>
        <v>0</v>
      </c>
      <c r="BL150">
        <f t="shared" si="207"/>
        <v>0</v>
      </c>
      <c r="BM150">
        <f t="shared" si="208"/>
        <v>0</v>
      </c>
      <c r="BN150" s="44">
        <f t="shared" si="244"/>
        <v>0</v>
      </c>
      <c r="BO150" s="42">
        <v>0</v>
      </c>
      <c r="BP150">
        <f t="shared" si="230"/>
        <v>0</v>
      </c>
      <c r="BQ150" s="44">
        <f t="shared" si="242"/>
        <v>0</v>
      </c>
      <c r="BR150" s="42">
        <f t="shared" si="231"/>
        <v>0</v>
      </c>
      <c r="BS150">
        <f t="shared" si="232"/>
        <v>0</v>
      </c>
      <c r="BT150" s="44">
        <f t="shared" si="243"/>
        <v>0</v>
      </c>
      <c r="BU150" s="42">
        <f t="shared" si="209"/>
        <v>3.2316553697093742E-2</v>
      </c>
      <c r="BV150">
        <f t="shared" si="210"/>
        <v>4.3874999999999997E-2</v>
      </c>
      <c r="BW150" s="44">
        <f t="shared" si="211"/>
        <v>2.2499999999999999E-2</v>
      </c>
      <c r="BX150">
        <f t="shared" si="233"/>
        <v>0.75808873826279166</v>
      </c>
      <c r="BY150">
        <f t="shared" si="234"/>
        <v>3.7205508561760516</v>
      </c>
      <c r="BZ150">
        <f t="shared" si="235"/>
        <v>90.57385626632599</v>
      </c>
    </row>
    <row r="151" spans="17:78" x14ac:dyDescent="0.3">
      <c r="Q151">
        <v>144</v>
      </c>
      <c r="R151" s="42">
        <f t="shared" si="189"/>
        <v>36</v>
      </c>
      <c r="S151">
        <f t="shared" si="190"/>
        <v>50</v>
      </c>
      <c r="T151" s="44">
        <f t="shared" si="191"/>
        <v>0.72</v>
      </c>
      <c r="U151" s="42">
        <f t="shared" si="192"/>
        <v>1</v>
      </c>
      <c r="V151">
        <f t="shared" si="193"/>
        <v>0.31749015732775088</v>
      </c>
      <c r="W151">
        <f t="shared" si="194"/>
        <v>0.46776883179621964</v>
      </c>
      <c r="X151">
        <f t="shared" si="212"/>
        <v>0.21474101087602948</v>
      </c>
      <c r="Y151" s="42">
        <f t="shared" si="213"/>
        <v>2.2677868380553634</v>
      </c>
      <c r="Z151">
        <f t="shared" si="195"/>
        <v>4.5355736761107268</v>
      </c>
      <c r="AA151">
        <f t="shared" si="214"/>
        <v>4.5355736761107268</v>
      </c>
      <c r="AB151" s="44">
        <f t="shared" si="196"/>
        <v>1.4754915670830346</v>
      </c>
      <c r="AC151" s="42">
        <v>0</v>
      </c>
      <c r="AD151">
        <f t="shared" si="197"/>
        <v>4.3541507290662987E-2</v>
      </c>
      <c r="AE151" s="44">
        <f t="shared" si="215"/>
        <v>4.3541507290662987E-2</v>
      </c>
      <c r="AF151" s="42">
        <f t="shared" si="198"/>
        <v>0.72</v>
      </c>
      <c r="AG151" s="44">
        <f t="shared" si="199"/>
        <v>0.72</v>
      </c>
      <c r="AH151" s="42">
        <f t="shared" si="200"/>
        <v>7.4020562394127076E-2</v>
      </c>
      <c r="AI151">
        <f t="shared" si="201"/>
        <v>0.81716582959917605</v>
      </c>
      <c r="AJ151" s="44">
        <f t="shared" si="216"/>
        <v>0.89118639199330318</v>
      </c>
      <c r="AK151" s="42">
        <f t="shared" si="202"/>
        <v>36</v>
      </c>
      <c r="AL151">
        <f t="shared" si="203"/>
        <v>150</v>
      </c>
      <c r="AM151" s="44">
        <f t="shared" si="217"/>
        <v>0.24</v>
      </c>
      <c r="AN151" s="42">
        <f t="shared" si="218"/>
        <v>2</v>
      </c>
      <c r="AO151">
        <f t="shared" si="219"/>
        <v>0.46776883179621953</v>
      </c>
      <c r="AP151">
        <f t="shared" si="220"/>
        <v>0.51307394526139449</v>
      </c>
      <c r="AQ151">
        <f t="shared" si="221"/>
        <v>1.0261478905227888</v>
      </c>
      <c r="AR151">
        <f t="shared" si="236"/>
        <v>1.0261478905227888</v>
      </c>
      <c r="AS151" s="44">
        <f t="shared" si="237"/>
        <v>0.40519583226342065</v>
      </c>
      <c r="AT151" s="42"/>
      <c r="AU151">
        <f t="shared" si="222"/>
        <v>2.9952000000000004E-5</v>
      </c>
      <c r="AV151" s="44">
        <f t="shared" si="238"/>
        <v>2.9952000000000004E-5</v>
      </c>
      <c r="AW151" s="42">
        <f t="shared" si="223"/>
        <v>0.92749999999999999</v>
      </c>
      <c r="AX151">
        <f t="shared" si="224"/>
        <v>0.33599999999999997</v>
      </c>
      <c r="AY151" s="44">
        <f t="shared" si="239"/>
        <v>1.2635000000000001</v>
      </c>
      <c r="AZ151" s="42">
        <f t="shared" si="204"/>
        <v>0</v>
      </c>
      <c r="BA151">
        <f t="shared" si="205"/>
        <v>0</v>
      </c>
      <c r="BB151">
        <f t="shared" si="240"/>
        <v>0</v>
      </c>
      <c r="BC151" s="44">
        <f t="shared" si="225"/>
        <v>0</v>
      </c>
      <c r="BD151" s="42">
        <v>0</v>
      </c>
      <c r="BE151">
        <f t="shared" si="226"/>
        <v>0</v>
      </c>
      <c r="BF151" s="44">
        <f t="shared" si="241"/>
        <v>0</v>
      </c>
      <c r="BG151" s="42">
        <f t="shared" si="227"/>
        <v>0</v>
      </c>
      <c r="BH151">
        <f t="shared" si="228"/>
        <v>0</v>
      </c>
      <c r="BI151" s="44">
        <f t="shared" si="229"/>
        <v>0</v>
      </c>
      <c r="BK151" s="42">
        <f t="shared" si="206"/>
        <v>0</v>
      </c>
      <c r="BL151">
        <f t="shared" si="207"/>
        <v>0</v>
      </c>
      <c r="BM151">
        <f t="shared" si="208"/>
        <v>0</v>
      </c>
      <c r="BN151" s="44">
        <f t="shared" si="244"/>
        <v>0</v>
      </c>
      <c r="BO151" s="42">
        <v>0</v>
      </c>
      <c r="BP151">
        <f t="shared" si="230"/>
        <v>0</v>
      </c>
      <c r="BQ151" s="44">
        <f t="shared" si="242"/>
        <v>0</v>
      </c>
      <c r="BR151" s="42">
        <f t="shared" si="231"/>
        <v>0</v>
      </c>
      <c r="BS151">
        <f t="shared" si="232"/>
        <v>0</v>
      </c>
      <c r="BT151" s="44">
        <f t="shared" si="243"/>
        <v>0</v>
      </c>
      <c r="BU151" s="42">
        <f t="shared" si="209"/>
        <v>3.2656130467997237E-2</v>
      </c>
      <c r="BV151">
        <f t="shared" si="210"/>
        <v>4.3874999999999997E-2</v>
      </c>
      <c r="BW151" s="44">
        <f t="shared" si="211"/>
        <v>2.2499999999999999E-2</v>
      </c>
      <c r="BX151">
        <f t="shared" si="233"/>
        <v>0.76354150729066295</v>
      </c>
      <c r="BY151">
        <f t="shared" si="234"/>
        <v>3.7372889817519628</v>
      </c>
      <c r="BZ151">
        <f t="shared" si="235"/>
        <v>90.595007667815025</v>
      </c>
    </row>
    <row r="152" spans="17:78" x14ac:dyDescent="0.3">
      <c r="Q152">
        <v>145</v>
      </c>
      <c r="R152" s="42">
        <f t="shared" si="189"/>
        <v>36.25</v>
      </c>
      <c r="S152">
        <f t="shared" si="190"/>
        <v>50</v>
      </c>
      <c r="T152" s="44">
        <f t="shared" si="191"/>
        <v>0.72499999999999998</v>
      </c>
      <c r="U152" s="42">
        <f t="shared" si="192"/>
        <v>1</v>
      </c>
      <c r="V152">
        <f t="shared" si="193"/>
        <v>0.31859064644147983</v>
      </c>
      <c r="W152">
        <f t="shared" si="194"/>
        <v>0.46939021909044698</v>
      </c>
      <c r="X152">
        <f t="shared" si="212"/>
        <v>0.21201913446807319</v>
      </c>
      <c r="Y152" s="42">
        <f t="shared" si="213"/>
        <v>2.2756474745819983</v>
      </c>
      <c r="Z152">
        <f t="shared" si="195"/>
        <v>4.5512949491639976</v>
      </c>
      <c r="AA152">
        <f t="shared" si="214"/>
        <v>4.5512949491639976</v>
      </c>
      <c r="AB152" s="44">
        <f t="shared" si="196"/>
        <v>1.4831697673437789</v>
      </c>
      <c r="AC152" s="42">
        <v>0</v>
      </c>
      <c r="AD152">
        <f t="shared" si="197"/>
        <v>4.3995851175251989E-2</v>
      </c>
      <c r="AE152" s="44">
        <f t="shared" si="215"/>
        <v>4.3995851175251989E-2</v>
      </c>
      <c r="AF152" s="42">
        <f t="shared" si="198"/>
        <v>0.72499999999999998</v>
      </c>
      <c r="AG152" s="44">
        <f t="shared" si="199"/>
        <v>0.72499999999999998</v>
      </c>
      <c r="AH152" s="42">
        <f t="shared" si="200"/>
        <v>7.4792946997928378E-2</v>
      </c>
      <c r="AI152">
        <f t="shared" si="201"/>
        <v>0.81999830197297874</v>
      </c>
      <c r="AJ152" s="44">
        <f t="shared" si="216"/>
        <v>0.89479124897090712</v>
      </c>
      <c r="AK152" s="42">
        <f t="shared" si="202"/>
        <v>36.25</v>
      </c>
      <c r="AL152">
        <f t="shared" si="203"/>
        <v>150</v>
      </c>
      <c r="AM152" s="44">
        <f t="shared" si="217"/>
        <v>0.24166666666666667</v>
      </c>
      <c r="AN152" s="42">
        <f t="shared" si="218"/>
        <v>2</v>
      </c>
      <c r="AO152">
        <f t="shared" si="219"/>
        <v>0.46939021909044704</v>
      </c>
      <c r="AP152">
        <f t="shared" si="220"/>
        <v>0.51485236981493177</v>
      </c>
      <c r="AQ152">
        <f t="shared" si="221"/>
        <v>1.029704739629864</v>
      </c>
      <c r="AR152">
        <f t="shared" si="236"/>
        <v>1.0297047396298638</v>
      </c>
      <c r="AS152" s="44">
        <f t="shared" si="237"/>
        <v>0.40730440056319639</v>
      </c>
      <c r="AT152" s="42"/>
      <c r="AU152">
        <f t="shared" si="222"/>
        <v>3.0369444444444447E-5</v>
      </c>
      <c r="AV152" s="44">
        <f t="shared" si="238"/>
        <v>3.0369444444444447E-5</v>
      </c>
      <c r="AW152" s="42">
        <f t="shared" si="223"/>
        <v>0.92749999999999999</v>
      </c>
      <c r="AX152">
        <f t="shared" si="224"/>
        <v>0.33833333333333332</v>
      </c>
      <c r="AY152" s="44">
        <f t="shared" si="239"/>
        <v>1.2658333333333334</v>
      </c>
      <c r="AZ152" s="42">
        <f t="shared" si="204"/>
        <v>0</v>
      </c>
      <c r="BA152">
        <f t="shared" si="205"/>
        <v>0</v>
      </c>
      <c r="BB152">
        <f t="shared" si="240"/>
        <v>0</v>
      </c>
      <c r="BC152" s="44">
        <f t="shared" si="225"/>
        <v>0</v>
      </c>
      <c r="BD152" s="42">
        <v>0</v>
      </c>
      <c r="BE152">
        <f t="shared" si="226"/>
        <v>0</v>
      </c>
      <c r="BF152" s="44">
        <f t="shared" si="241"/>
        <v>0</v>
      </c>
      <c r="BG152" s="42">
        <f t="shared" si="227"/>
        <v>0</v>
      </c>
      <c r="BH152">
        <f t="shared" si="228"/>
        <v>0</v>
      </c>
      <c r="BI152" s="44">
        <f t="shared" si="229"/>
        <v>0</v>
      </c>
      <c r="BK152" s="42">
        <f t="shared" si="206"/>
        <v>0</v>
      </c>
      <c r="BL152">
        <f t="shared" si="207"/>
        <v>0</v>
      </c>
      <c r="BM152">
        <f t="shared" si="208"/>
        <v>0</v>
      </c>
      <c r="BN152" s="44">
        <f t="shared" si="244"/>
        <v>0</v>
      </c>
      <c r="BO152" s="42">
        <v>0</v>
      </c>
      <c r="BP152">
        <f t="shared" si="230"/>
        <v>0</v>
      </c>
      <c r="BQ152" s="44">
        <f t="shared" si="242"/>
        <v>0</v>
      </c>
      <c r="BR152" s="42">
        <f t="shared" si="231"/>
        <v>0</v>
      </c>
      <c r="BS152">
        <f t="shared" si="232"/>
        <v>0</v>
      </c>
      <c r="BT152" s="44">
        <f t="shared" si="243"/>
        <v>0</v>
      </c>
      <c r="BU152" s="42">
        <f t="shared" si="209"/>
        <v>3.2996888381438987E-2</v>
      </c>
      <c r="BV152">
        <f t="shared" si="210"/>
        <v>4.3874999999999997E-2</v>
      </c>
      <c r="BW152" s="44">
        <f t="shared" si="211"/>
        <v>2.2499999999999999E-2</v>
      </c>
      <c r="BX152">
        <f t="shared" si="233"/>
        <v>0.76899585117525193</v>
      </c>
      <c r="BY152">
        <f t="shared" si="234"/>
        <v>3.7540226913053756</v>
      </c>
      <c r="BZ152">
        <f t="shared" si="235"/>
        <v>90.61588700648025</v>
      </c>
    </row>
    <row r="153" spans="17:78" x14ac:dyDescent="0.3">
      <c r="Q153">
        <v>146</v>
      </c>
      <c r="R153" s="42">
        <f t="shared" si="189"/>
        <v>36.5</v>
      </c>
      <c r="S153">
        <f t="shared" si="190"/>
        <v>50</v>
      </c>
      <c r="T153" s="44">
        <f t="shared" si="191"/>
        <v>0.73</v>
      </c>
      <c r="U153" s="42">
        <f t="shared" si="192"/>
        <v>1</v>
      </c>
      <c r="V153">
        <f t="shared" si="193"/>
        <v>0.31968734726291559</v>
      </c>
      <c r="W153">
        <f t="shared" si="194"/>
        <v>0.47100602496736227</v>
      </c>
      <c r="X153">
        <f t="shared" si="212"/>
        <v>0.20930662776972214</v>
      </c>
      <c r="Y153" s="42">
        <f t="shared" si="213"/>
        <v>2.2834810518779691</v>
      </c>
      <c r="Z153">
        <f t="shared" si="195"/>
        <v>4.5669621037559365</v>
      </c>
      <c r="AA153">
        <f t="shared" si="214"/>
        <v>4.5669621037559374</v>
      </c>
      <c r="AB153" s="44">
        <f t="shared" si="196"/>
        <v>1.4908347406161051</v>
      </c>
      <c r="AC153" s="42">
        <v>0</v>
      </c>
      <c r="AD153">
        <f t="shared" si="197"/>
        <v>4.4451764476557791E-2</v>
      </c>
      <c r="AE153" s="44">
        <f t="shared" si="215"/>
        <v>4.4451764476557791E-2</v>
      </c>
      <c r="AF153" s="42">
        <f t="shared" si="198"/>
        <v>0.73</v>
      </c>
      <c r="AG153" s="44">
        <f t="shared" si="199"/>
        <v>0.73</v>
      </c>
      <c r="AH153" s="42">
        <f t="shared" si="200"/>
        <v>7.5567999610148248E-2</v>
      </c>
      <c r="AI153">
        <f t="shared" si="201"/>
        <v>0.82282102392478285</v>
      </c>
      <c r="AJ153" s="44">
        <f t="shared" si="216"/>
        <v>0.89838902353493111</v>
      </c>
      <c r="AK153" s="42">
        <f t="shared" si="202"/>
        <v>36.5</v>
      </c>
      <c r="AL153">
        <f t="shared" si="203"/>
        <v>150</v>
      </c>
      <c r="AM153" s="44">
        <f t="shared" si="217"/>
        <v>0.24333333333333335</v>
      </c>
      <c r="AN153" s="42">
        <f t="shared" si="218"/>
        <v>2</v>
      </c>
      <c r="AO153">
        <f t="shared" si="219"/>
        <v>0.47100602496736221</v>
      </c>
      <c r="AP153">
        <f t="shared" si="220"/>
        <v>0.51662467237058129</v>
      </c>
      <c r="AQ153">
        <f t="shared" si="221"/>
        <v>1.0332493447411621</v>
      </c>
      <c r="AR153">
        <f t="shared" si="236"/>
        <v>1.0332493447411624</v>
      </c>
      <c r="AS153" s="44">
        <f t="shared" si="237"/>
        <v>0.40940933650023953</v>
      </c>
      <c r="AT153" s="42"/>
      <c r="AU153">
        <f t="shared" si="222"/>
        <v>3.0789777777777783E-5</v>
      </c>
      <c r="AV153" s="44">
        <f t="shared" si="238"/>
        <v>3.0789777777777783E-5</v>
      </c>
      <c r="AW153" s="42">
        <f t="shared" si="223"/>
        <v>0.92749999999999999</v>
      </c>
      <c r="AX153">
        <f t="shared" si="224"/>
        <v>0.34066666666666667</v>
      </c>
      <c r="AY153" s="44">
        <f t="shared" si="239"/>
        <v>1.2681666666666667</v>
      </c>
      <c r="AZ153" s="42">
        <f t="shared" si="204"/>
        <v>0</v>
      </c>
      <c r="BA153">
        <f t="shared" si="205"/>
        <v>0</v>
      </c>
      <c r="BB153">
        <f t="shared" si="240"/>
        <v>0</v>
      </c>
      <c r="BC153" s="44">
        <f t="shared" si="225"/>
        <v>0</v>
      </c>
      <c r="BD153" s="42">
        <v>0</v>
      </c>
      <c r="BE153">
        <f t="shared" si="226"/>
        <v>0</v>
      </c>
      <c r="BF153" s="44">
        <f t="shared" si="241"/>
        <v>0</v>
      </c>
      <c r="BG153" s="42">
        <f t="shared" si="227"/>
        <v>0</v>
      </c>
      <c r="BH153">
        <f t="shared" si="228"/>
        <v>0</v>
      </c>
      <c r="BI153" s="44">
        <f t="shared" si="229"/>
        <v>0</v>
      </c>
      <c r="BK153" s="42">
        <f t="shared" si="206"/>
        <v>0</v>
      </c>
      <c r="BL153">
        <f t="shared" si="207"/>
        <v>0</v>
      </c>
      <c r="BM153">
        <f t="shared" si="208"/>
        <v>0</v>
      </c>
      <c r="BN153" s="44">
        <f t="shared" si="244"/>
        <v>0</v>
      </c>
      <c r="BO153" s="42">
        <v>0</v>
      </c>
      <c r="BP153">
        <f t="shared" si="230"/>
        <v>0</v>
      </c>
      <c r="BQ153" s="44">
        <f t="shared" si="242"/>
        <v>0</v>
      </c>
      <c r="BR153" s="42">
        <f t="shared" si="231"/>
        <v>0</v>
      </c>
      <c r="BS153">
        <f t="shared" si="232"/>
        <v>0</v>
      </c>
      <c r="BT153" s="44">
        <f t="shared" si="243"/>
        <v>0</v>
      </c>
      <c r="BU153" s="42">
        <f t="shared" si="209"/>
        <v>3.3338823357418342E-2</v>
      </c>
      <c r="BV153">
        <f t="shared" si="210"/>
        <v>4.3874999999999997E-2</v>
      </c>
      <c r="BW153" s="44">
        <f t="shared" si="211"/>
        <v>2.2499999999999999E-2</v>
      </c>
      <c r="BX153">
        <f t="shared" si="233"/>
        <v>0.77445176447655772</v>
      </c>
      <c r="BY153">
        <f t="shared" si="234"/>
        <v>3.7707520678133517</v>
      </c>
      <c r="BZ153">
        <f t="shared" si="235"/>
        <v>90.636499508467949</v>
      </c>
    </row>
    <row r="154" spans="17:78" x14ac:dyDescent="0.3">
      <c r="Q154">
        <v>147</v>
      </c>
      <c r="R154" s="42">
        <f t="shared" si="189"/>
        <v>36.75</v>
      </c>
      <c r="S154">
        <f t="shared" si="190"/>
        <v>50</v>
      </c>
      <c r="T154" s="44">
        <f t="shared" si="191"/>
        <v>0.73499999999999999</v>
      </c>
      <c r="U154" s="42">
        <f t="shared" si="192"/>
        <v>1</v>
      </c>
      <c r="V154">
        <f t="shared" si="193"/>
        <v>0.32078029864690882</v>
      </c>
      <c r="W154">
        <f t="shared" si="194"/>
        <v>0.47261630667311239</v>
      </c>
      <c r="X154">
        <f t="shared" si="212"/>
        <v>0.20660339467997879</v>
      </c>
      <c r="Y154" s="42">
        <f t="shared" si="213"/>
        <v>2.2912878474779199</v>
      </c>
      <c r="Z154">
        <f t="shared" si="195"/>
        <v>4.5825756949558407</v>
      </c>
      <c r="AA154">
        <f t="shared" si="214"/>
        <v>4.5825756949558407</v>
      </c>
      <c r="AB154" s="44">
        <f t="shared" si="196"/>
        <v>1.4984866000496511</v>
      </c>
      <c r="AC154" s="42">
        <v>0</v>
      </c>
      <c r="AD154">
        <f t="shared" si="197"/>
        <v>4.4909241810567262E-2</v>
      </c>
      <c r="AE154" s="44">
        <f t="shared" si="215"/>
        <v>4.4909241810567262E-2</v>
      </c>
      <c r="AF154" s="42">
        <f t="shared" si="198"/>
        <v>0.73499999999999999</v>
      </c>
      <c r="AG154" s="44">
        <f t="shared" si="199"/>
        <v>0.73499999999999999</v>
      </c>
      <c r="AH154" s="42">
        <f t="shared" si="200"/>
        <v>7.634571107796434E-2</v>
      </c>
      <c r="AI154">
        <f t="shared" si="201"/>
        <v>0.82563409546038435</v>
      </c>
      <c r="AJ154" s="44">
        <f t="shared" si="216"/>
        <v>0.90197980653834864</v>
      </c>
      <c r="AK154" s="42">
        <f t="shared" si="202"/>
        <v>36.75</v>
      </c>
      <c r="AL154">
        <f t="shared" si="203"/>
        <v>150</v>
      </c>
      <c r="AM154" s="44">
        <f t="shared" si="217"/>
        <v>0.245</v>
      </c>
      <c r="AN154" s="42">
        <f t="shared" si="218"/>
        <v>2</v>
      </c>
      <c r="AO154">
        <f t="shared" si="219"/>
        <v>0.47261630667311227</v>
      </c>
      <c r="AP154">
        <f t="shared" si="220"/>
        <v>0.51839091571898643</v>
      </c>
      <c r="AQ154">
        <f t="shared" si="221"/>
        <v>1.0367818314379729</v>
      </c>
      <c r="AR154">
        <f t="shared" si="236"/>
        <v>1.0367818314379729</v>
      </c>
      <c r="AS154" s="44">
        <f t="shared" si="237"/>
        <v>0.41151067114742268</v>
      </c>
      <c r="AT154" s="42"/>
      <c r="AU154">
        <f t="shared" si="222"/>
        <v>3.1213000000000001E-5</v>
      </c>
      <c r="AV154" s="44">
        <f t="shared" si="238"/>
        <v>3.1213000000000001E-5</v>
      </c>
      <c r="AW154" s="42">
        <f t="shared" si="223"/>
        <v>0.92749999999999999</v>
      </c>
      <c r="AX154">
        <f t="shared" si="224"/>
        <v>0.34299999999999997</v>
      </c>
      <c r="AY154" s="44">
        <f t="shared" si="239"/>
        <v>1.2705</v>
      </c>
      <c r="AZ154" s="42">
        <f t="shared" si="204"/>
        <v>0</v>
      </c>
      <c r="BA154">
        <f t="shared" si="205"/>
        <v>0</v>
      </c>
      <c r="BB154">
        <f t="shared" si="240"/>
        <v>0</v>
      </c>
      <c r="BC154" s="44">
        <f t="shared" si="225"/>
        <v>0</v>
      </c>
      <c r="BD154" s="42">
        <v>0</v>
      </c>
      <c r="BE154">
        <f t="shared" si="226"/>
        <v>0</v>
      </c>
      <c r="BF154" s="44">
        <f t="shared" si="241"/>
        <v>0</v>
      </c>
      <c r="BG154" s="42">
        <f t="shared" si="227"/>
        <v>0</v>
      </c>
      <c r="BH154">
        <f t="shared" si="228"/>
        <v>0</v>
      </c>
      <c r="BI154" s="44">
        <f t="shared" si="229"/>
        <v>0</v>
      </c>
      <c r="BK154" s="42">
        <f t="shared" si="206"/>
        <v>0</v>
      </c>
      <c r="BL154">
        <f t="shared" si="207"/>
        <v>0</v>
      </c>
      <c r="BM154">
        <f t="shared" si="208"/>
        <v>0</v>
      </c>
      <c r="BN154" s="44">
        <f t="shared" si="244"/>
        <v>0</v>
      </c>
      <c r="BO154" s="42">
        <v>0</v>
      </c>
      <c r="BP154">
        <f t="shared" si="230"/>
        <v>0</v>
      </c>
      <c r="BQ154" s="44">
        <f t="shared" si="242"/>
        <v>0</v>
      </c>
      <c r="BR154" s="42">
        <f t="shared" si="231"/>
        <v>0</v>
      </c>
      <c r="BS154">
        <f t="shared" si="232"/>
        <v>0</v>
      </c>
      <c r="BT154" s="44">
        <f t="shared" si="243"/>
        <v>0</v>
      </c>
      <c r="BU154" s="42">
        <f t="shared" si="209"/>
        <v>3.3681931357925445E-2</v>
      </c>
      <c r="BV154">
        <f t="shared" si="210"/>
        <v>4.3874999999999997E-2</v>
      </c>
      <c r="BW154" s="44">
        <f t="shared" si="211"/>
        <v>2.2499999999999999E-2</v>
      </c>
      <c r="BX154">
        <f t="shared" si="233"/>
        <v>0.7799092418105672</v>
      </c>
      <c r="BY154">
        <f t="shared" si="234"/>
        <v>3.7874771927068411</v>
      </c>
      <c r="BZ154">
        <f t="shared" si="235"/>
        <v>90.656850265491485</v>
      </c>
    </row>
    <row r="155" spans="17:78" x14ac:dyDescent="0.3">
      <c r="Q155">
        <v>148</v>
      </c>
      <c r="R155" s="42">
        <f t="shared" si="189"/>
        <v>37</v>
      </c>
      <c r="S155">
        <f t="shared" si="190"/>
        <v>50</v>
      </c>
      <c r="T155" s="44">
        <f t="shared" si="191"/>
        <v>0.74</v>
      </c>
      <c r="U155" s="42">
        <f t="shared" si="192"/>
        <v>1</v>
      </c>
      <c r="V155">
        <f t="shared" si="193"/>
        <v>0.32186953878862162</v>
      </c>
      <c r="W155">
        <f t="shared" si="194"/>
        <v>0.47422112048190246</v>
      </c>
      <c r="X155">
        <f t="shared" si="212"/>
        <v>0.20390934072947586</v>
      </c>
      <c r="Y155" s="42">
        <f t="shared" si="213"/>
        <v>2.2990681342044401</v>
      </c>
      <c r="Z155">
        <f t="shared" si="195"/>
        <v>4.5981362684088802</v>
      </c>
      <c r="AA155">
        <f t="shared" si="214"/>
        <v>4.5981362684088802</v>
      </c>
      <c r="AB155" s="44">
        <f t="shared" si="196"/>
        <v>1.5061254570636031</v>
      </c>
      <c r="AC155" s="42">
        <v>0</v>
      </c>
      <c r="AD155">
        <f t="shared" si="197"/>
        <v>4.5368277848300949E-2</v>
      </c>
      <c r="AE155" s="44">
        <f t="shared" si="215"/>
        <v>4.5368277848300949E-2</v>
      </c>
      <c r="AF155" s="42">
        <f t="shared" si="198"/>
        <v>0.74</v>
      </c>
      <c r="AG155" s="44">
        <f t="shared" si="199"/>
        <v>0.74</v>
      </c>
      <c r="AH155" s="42">
        <f t="shared" si="200"/>
        <v>7.7126072342111621E-2</v>
      </c>
      <c r="AI155">
        <f t="shared" si="201"/>
        <v>0.82843761488765466</v>
      </c>
      <c r="AJ155" s="44">
        <f t="shared" si="216"/>
        <v>0.90556368722976632</v>
      </c>
      <c r="AK155" s="42">
        <f t="shared" si="202"/>
        <v>37</v>
      </c>
      <c r="AL155">
        <f t="shared" si="203"/>
        <v>150</v>
      </c>
      <c r="AM155" s="44">
        <f t="shared" si="217"/>
        <v>0.24666666666666667</v>
      </c>
      <c r="AN155" s="42">
        <f t="shared" si="218"/>
        <v>2</v>
      </c>
      <c r="AO155">
        <f t="shared" si="219"/>
        <v>0.47422112048190251</v>
      </c>
      <c r="AP155">
        <f t="shared" si="220"/>
        <v>0.52015116158471497</v>
      </c>
      <c r="AQ155">
        <f t="shared" si="221"/>
        <v>1.0403023231694299</v>
      </c>
      <c r="AR155">
        <f t="shared" si="236"/>
        <v>1.0403023231694299</v>
      </c>
      <c r="AS155" s="44">
        <f t="shared" si="237"/>
        <v>0.41360843510240675</v>
      </c>
      <c r="AT155" s="42"/>
      <c r="AU155">
        <f t="shared" si="222"/>
        <v>3.1639111111111116E-5</v>
      </c>
      <c r="AV155" s="44">
        <f t="shared" si="238"/>
        <v>3.1639111111111116E-5</v>
      </c>
      <c r="AW155" s="42">
        <f t="shared" si="223"/>
        <v>0.92749999999999999</v>
      </c>
      <c r="AX155">
        <f t="shared" si="224"/>
        <v>0.34533333333333333</v>
      </c>
      <c r="AY155" s="44">
        <f t="shared" si="239"/>
        <v>1.2728333333333333</v>
      </c>
      <c r="AZ155" s="42">
        <f t="shared" si="204"/>
        <v>0</v>
      </c>
      <c r="BA155">
        <f t="shared" si="205"/>
        <v>0</v>
      </c>
      <c r="BB155">
        <f t="shared" si="240"/>
        <v>0</v>
      </c>
      <c r="BC155" s="44">
        <f t="shared" si="225"/>
        <v>0</v>
      </c>
      <c r="BD155" s="42">
        <v>0</v>
      </c>
      <c r="BE155">
        <f t="shared" si="226"/>
        <v>0</v>
      </c>
      <c r="BF155" s="44">
        <f t="shared" si="241"/>
        <v>0</v>
      </c>
      <c r="BG155" s="42">
        <f t="shared" si="227"/>
        <v>0</v>
      </c>
      <c r="BH155">
        <f t="shared" si="228"/>
        <v>0</v>
      </c>
      <c r="BI155" s="44">
        <f t="shared" si="229"/>
        <v>0</v>
      </c>
      <c r="BK155" s="42">
        <f t="shared" si="206"/>
        <v>0</v>
      </c>
      <c r="BL155">
        <f t="shared" si="207"/>
        <v>0</v>
      </c>
      <c r="BM155">
        <f t="shared" si="208"/>
        <v>0</v>
      </c>
      <c r="BN155" s="44">
        <f t="shared" si="244"/>
        <v>0</v>
      </c>
      <c r="BO155" s="42">
        <v>0</v>
      </c>
      <c r="BP155">
        <f t="shared" si="230"/>
        <v>0</v>
      </c>
      <c r="BQ155" s="44">
        <f t="shared" si="242"/>
        <v>0</v>
      </c>
      <c r="BR155" s="42">
        <f t="shared" si="231"/>
        <v>0</v>
      </c>
      <c r="BS155">
        <f t="shared" si="232"/>
        <v>0</v>
      </c>
      <c r="BT155" s="44">
        <f t="shared" si="243"/>
        <v>0</v>
      </c>
      <c r="BU155" s="42">
        <f t="shared" si="209"/>
        <v>3.4026208386225713E-2</v>
      </c>
      <c r="BV155">
        <f t="shared" si="210"/>
        <v>4.3874999999999997E-2</v>
      </c>
      <c r="BW155" s="44">
        <f t="shared" si="211"/>
        <v>2.2499999999999999E-2</v>
      </c>
      <c r="BX155">
        <f t="shared" si="233"/>
        <v>0.78536827784830099</v>
      </c>
      <c r="BY155">
        <f t="shared" si="234"/>
        <v>3.8041981459087371</v>
      </c>
      <c r="BZ155">
        <f t="shared" si="235"/>
        <v>90.676944239155048</v>
      </c>
    </row>
    <row r="156" spans="17:78" x14ac:dyDescent="0.3">
      <c r="Q156">
        <v>149</v>
      </c>
      <c r="R156" s="42">
        <f t="shared" si="189"/>
        <v>37.25</v>
      </c>
      <c r="S156">
        <f t="shared" si="190"/>
        <v>50</v>
      </c>
      <c r="T156" s="44">
        <f t="shared" si="191"/>
        <v>0.745</v>
      </c>
      <c r="U156" s="42">
        <f t="shared" si="192"/>
        <v>1</v>
      </c>
      <c r="V156">
        <f t="shared" si="193"/>
        <v>0.32295510523910287</v>
      </c>
      <c r="W156">
        <f t="shared" si="194"/>
        <v>0.47582052171894496</v>
      </c>
      <c r="X156">
        <f t="shared" si="212"/>
        <v>0.20122437304195218</v>
      </c>
      <c r="Y156" s="42">
        <f t="shared" si="213"/>
        <v>2.3068221802793061</v>
      </c>
      <c r="Z156">
        <f t="shared" si="195"/>
        <v>4.6136443605586122</v>
      </c>
      <c r="AA156">
        <f t="shared" si="214"/>
        <v>4.6136443605586122</v>
      </c>
      <c r="AB156" s="44">
        <f t="shared" si="196"/>
        <v>1.5137514213846708</v>
      </c>
      <c r="AC156" s="42">
        <v>0</v>
      </c>
      <c r="AD156">
        <f t="shared" si="197"/>
        <v>4.582886731488222E-2</v>
      </c>
      <c r="AE156" s="44">
        <f t="shared" si="215"/>
        <v>4.582886731488222E-2</v>
      </c>
      <c r="AF156" s="42">
        <f t="shared" si="198"/>
        <v>0.745</v>
      </c>
      <c r="AG156" s="44">
        <f t="shared" si="199"/>
        <v>0.745</v>
      </c>
      <c r="AH156" s="42">
        <f t="shared" si="200"/>
        <v>7.7909074435299777E-2</v>
      </c>
      <c r="AI156">
        <f t="shared" si="201"/>
        <v>0.83123167885662597</v>
      </c>
      <c r="AJ156" s="44">
        <f t="shared" si="216"/>
        <v>0.90914075329192579</v>
      </c>
      <c r="AK156" s="42">
        <f t="shared" si="202"/>
        <v>37.25</v>
      </c>
      <c r="AL156">
        <f t="shared" si="203"/>
        <v>150</v>
      </c>
      <c r="AM156" s="44">
        <f t="shared" si="217"/>
        <v>0.24833333333333332</v>
      </c>
      <c r="AN156" s="42">
        <f t="shared" si="218"/>
        <v>2</v>
      </c>
      <c r="AO156">
        <f t="shared" si="219"/>
        <v>0.4758205217189449</v>
      </c>
      <c r="AP156">
        <f t="shared" si="220"/>
        <v>0.52190547065142667</v>
      </c>
      <c r="AQ156">
        <f t="shared" si="221"/>
        <v>1.0438109413028536</v>
      </c>
      <c r="AR156">
        <f t="shared" si="236"/>
        <v>1.0438109413028536</v>
      </c>
      <c r="AS156" s="44">
        <f t="shared" si="237"/>
        <v>0.41570265849806803</v>
      </c>
      <c r="AT156" s="42"/>
      <c r="AU156">
        <f t="shared" si="222"/>
        <v>3.2068111111111108E-5</v>
      </c>
      <c r="AV156" s="44">
        <f t="shared" si="238"/>
        <v>3.2068111111111108E-5</v>
      </c>
      <c r="AW156" s="42">
        <f t="shared" si="223"/>
        <v>0.92749999999999999</v>
      </c>
      <c r="AX156">
        <f t="shared" si="224"/>
        <v>0.34766666666666662</v>
      </c>
      <c r="AY156" s="44">
        <f t="shared" si="239"/>
        <v>1.2751666666666666</v>
      </c>
      <c r="AZ156" s="42">
        <f t="shared" si="204"/>
        <v>0</v>
      </c>
      <c r="BA156">
        <f t="shared" si="205"/>
        <v>0</v>
      </c>
      <c r="BB156">
        <f t="shared" si="240"/>
        <v>0</v>
      </c>
      <c r="BC156" s="44">
        <f t="shared" si="225"/>
        <v>0</v>
      </c>
      <c r="BD156" s="42">
        <v>0</v>
      </c>
      <c r="BE156">
        <f t="shared" si="226"/>
        <v>0</v>
      </c>
      <c r="BF156" s="44">
        <f t="shared" si="241"/>
        <v>0</v>
      </c>
      <c r="BG156" s="42">
        <f t="shared" si="227"/>
        <v>0</v>
      </c>
      <c r="BH156">
        <f t="shared" si="228"/>
        <v>0</v>
      </c>
      <c r="BI156" s="44">
        <f t="shared" si="229"/>
        <v>0</v>
      </c>
      <c r="BK156" s="42">
        <f t="shared" si="206"/>
        <v>0</v>
      </c>
      <c r="BL156">
        <f t="shared" si="207"/>
        <v>0</v>
      </c>
      <c r="BM156">
        <f t="shared" si="208"/>
        <v>0</v>
      </c>
      <c r="BN156" s="44">
        <f t="shared" si="244"/>
        <v>0</v>
      </c>
      <c r="BO156" s="42">
        <v>0</v>
      </c>
      <c r="BP156">
        <f t="shared" si="230"/>
        <v>0</v>
      </c>
      <c r="BQ156" s="44">
        <f t="shared" si="242"/>
        <v>0</v>
      </c>
      <c r="BR156" s="42">
        <f t="shared" si="231"/>
        <v>0</v>
      </c>
      <c r="BS156">
        <f t="shared" si="232"/>
        <v>0</v>
      </c>
      <c r="BT156" s="44">
        <f t="shared" si="243"/>
        <v>0</v>
      </c>
      <c r="BU156" s="42">
        <f t="shared" si="209"/>
        <v>3.4371650486161663E-2</v>
      </c>
      <c r="BV156">
        <f t="shared" si="210"/>
        <v>4.3874999999999997E-2</v>
      </c>
      <c r="BW156" s="44">
        <f t="shared" si="211"/>
        <v>2.2499999999999999E-2</v>
      </c>
      <c r="BX156">
        <f t="shared" si="233"/>
        <v>0.79082886731488222</v>
      </c>
      <c r="BY156">
        <f t="shared" si="234"/>
        <v>3.8209150058707477</v>
      </c>
      <c r="BZ156">
        <f t="shared" si="235"/>
        <v>90.696786265111015</v>
      </c>
    </row>
    <row r="157" spans="17:78" ht="15" thickBot="1" x14ac:dyDescent="0.35">
      <c r="Q157">
        <v>150</v>
      </c>
      <c r="R157" s="45">
        <f t="shared" si="189"/>
        <v>37.5</v>
      </c>
      <c r="S157" s="40">
        <f t="shared" si="190"/>
        <v>50</v>
      </c>
      <c r="T157" s="46">
        <f t="shared" si="191"/>
        <v>0.75</v>
      </c>
      <c r="U157" s="45">
        <f t="shared" si="192"/>
        <v>1</v>
      </c>
      <c r="V157" s="40">
        <f t="shared" si="193"/>
        <v>0.32403703492039299</v>
      </c>
      <c r="W157" s="40">
        <f t="shared" si="194"/>
        <v>0.47741456478271233</v>
      </c>
      <c r="X157" s="40">
        <f t="shared" si="212"/>
        <v>0.19854840029689474</v>
      </c>
      <c r="Y157" s="45">
        <f t="shared" si="213"/>
        <v>2.3145502494313788</v>
      </c>
      <c r="Z157" s="40">
        <f t="shared" si="195"/>
        <v>4.6291004988627567</v>
      </c>
      <c r="AA157" s="40">
        <f>Y157+(Z157/2)</f>
        <v>4.6291004988627567</v>
      </c>
      <c r="AB157" s="46">
        <f t="shared" si="196"/>
        <v>1.5213646010839668</v>
      </c>
      <c r="AC157" s="45">
        <v>0</v>
      </c>
      <c r="AD157" s="40">
        <f t="shared" si="197"/>
        <v>4.6291004988627552E-2</v>
      </c>
      <c r="AE157" s="46">
        <f t="shared" si="215"/>
        <v>4.6291004988627552E-2</v>
      </c>
      <c r="AF157" s="42">
        <f t="shared" si="198"/>
        <v>0.75</v>
      </c>
      <c r="AG157" s="46">
        <f t="shared" si="199"/>
        <v>0.75</v>
      </c>
      <c r="AH157" s="45">
        <f t="shared" si="200"/>
        <v>7.8694708480666842E-2</v>
      </c>
      <c r="AI157">
        <f t="shared" si="201"/>
        <v>0.83401638239837006</v>
      </c>
      <c r="AJ157" s="46">
        <f t="shared" si="216"/>
        <v>0.9127110908790369</v>
      </c>
      <c r="AK157" s="45">
        <f t="shared" si="202"/>
        <v>37.5</v>
      </c>
      <c r="AL157" s="40">
        <f t="shared" si="203"/>
        <v>150</v>
      </c>
      <c r="AM157" s="46">
        <f t="shared" si="217"/>
        <v>0.25</v>
      </c>
      <c r="AN157" s="45">
        <f t="shared" si="218"/>
        <v>2</v>
      </c>
      <c r="AO157" s="40">
        <f t="shared" si="219"/>
        <v>0.47741456478271238</v>
      </c>
      <c r="AP157" s="40">
        <f t="shared" si="220"/>
        <v>0.52365390258628475</v>
      </c>
      <c r="AQ157" s="40">
        <f t="shared" si="221"/>
        <v>1.0473078051725697</v>
      </c>
      <c r="AR157" s="40">
        <f t="shared" si="236"/>
        <v>1.0473078051725695</v>
      </c>
      <c r="AS157" s="46">
        <f t="shared" si="237"/>
        <v>0.41779337101262731</v>
      </c>
      <c r="AT157" s="42"/>
      <c r="AU157">
        <f t="shared" si="222"/>
        <v>3.2500000000000004E-5</v>
      </c>
      <c r="AV157" s="44">
        <f t="shared" si="238"/>
        <v>3.2500000000000004E-5</v>
      </c>
      <c r="AW157" s="42">
        <f t="shared" si="223"/>
        <v>0.92749999999999999</v>
      </c>
      <c r="AX157">
        <f t="shared" si="224"/>
        <v>0.35</v>
      </c>
      <c r="AY157" s="44">
        <f t="shared" si="239"/>
        <v>1.2774999999999999</v>
      </c>
      <c r="AZ157" s="45">
        <f t="shared" si="204"/>
        <v>0</v>
      </c>
      <c r="BA157" s="40">
        <f t="shared" si="205"/>
        <v>0</v>
      </c>
      <c r="BB157">
        <f t="shared" si="240"/>
        <v>0</v>
      </c>
      <c r="BC157" s="44">
        <f t="shared" si="225"/>
        <v>0</v>
      </c>
      <c r="BD157" s="42">
        <v>0</v>
      </c>
      <c r="BE157">
        <f t="shared" si="226"/>
        <v>0</v>
      </c>
      <c r="BF157" s="44">
        <f t="shared" si="241"/>
        <v>0</v>
      </c>
      <c r="BG157" s="42">
        <f t="shared" si="227"/>
        <v>0</v>
      </c>
      <c r="BH157">
        <f t="shared" si="228"/>
        <v>0</v>
      </c>
      <c r="BI157" s="46">
        <f t="shared" si="229"/>
        <v>0</v>
      </c>
      <c r="BJ157" s="40"/>
      <c r="BK157" s="45">
        <f t="shared" si="206"/>
        <v>0</v>
      </c>
      <c r="BL157" s="40">
        <f t="shared" si="207"/>
        <v>0</v>
      </c>
      <c r="BM157" s="40">
        <f t="shared" si="208"/>
        <v>0</v>
      </c>
      <c r="BN157" s="44">
        <f t="shared" si="244"/>
        <v>0</v>
      </c>
      <c r="BO157" s="42">
        <v>0</v>
      </c>
      <c r="BP157">
        <f t="shared" si="230"/>
        <v>0</v>
      </c>
      <c r="BQ157" s="44">
        <f t="shared" si="242"/>
        <v>0</v>
      </c>
      <c r="BR157" s="42">
        <f t="shared" si="231"/>
        <v>0</v>
      </c>
      <c r="BS157">
        <f t="shared" si="232"/>
        <v>0</v>
      </c>
      <c r="BT157" s="44">
        <f t="shared" si="243"/>
        <v>0</v>
      </c>
      <c r="BU157" s="42">
        <f t="shared" si="209"/>
        <v>3.471825374147066E-2</v>
      </c>
      <c r="BV157">
        <f t="shared" si="210"/>
        <v>4.3874999999999997E-2</v>
      </c>
      <c r="BW157" s="44">
        <f t="shared" si="211"/>
        <v>2.2499999999999999E-2</v>
      </c>
      <c r="BX157">
        <f t="shared" si="233"/>
        <v>0.79629100498862759</v>
      </c>
      <c r="BY157">
        <f t="shared" si="234"/>
        <v>3.8376278496091349</v>
      </c>
      <c r="BZ157">
        <f t="shared" si="235"/>
        <v>90.716381057058115</v>
      </c>
    </row>
  </sheetData>
  <mergeCells count="19">
    <mergeCell ref="BK4:BT4"/>
    <mergeCell ref="AF5:AG5"/>
    <mergeCell ref="R4:T5"/>
    <mergeCell ref="BK5:BN5"/>
    <mergeCell ref="BU5:BW5"/>
    <mergeCell ref="BD5:BF5"/>
    <mergeCell ref="AZ5:BC5"/>
    <mergeCell ref="BG5:BI5"/>
    <mergeCell ref="AZ4:BI4"/>
    <mergeCell ref="BO5:BQ5"/>
    <mergeCell ref="BR5:BT5"/>
    <mergeCell ref="A1:M1"/>
    <mergeCell ref="AH5:AJ5"/>
    <mergeCell ref="U4:AE4"/>
    <mergeCell ref="AK4:AY4"/>
    <mergeCell ref="AK5:AM5"/>
    <mergeCell ref="AN5:AS5"/>
    <mergeCell ref="AT5:AV5"/>
    <mergeCell ref="AW5:AY5"/>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1"/>
  <sheetViews>
    <sheetView topLeftCell="A34" zoomScaleNormal="100" workbookViewId="0">
      <selection activeCell="B59" sqref="B59"/>
    </sheetView>
  </sheetViews>
  <sheetFormatPr defaultRowHeight="14.4" x14ac:dyDescent="0.3"/>
  <cols>
    <col min="1" max="1" width="26.6640625" customWidth="1"/>
    <col min="2" max="2" width="25.5546875" customWidth="1"/>
    <col min="3" max="3" width="10.109375" customWidth="1"/>
  </cols>
  <sheetData>
    <row r="1" spans="1:9" ht="28.2" x14ac:dyDescent="0.5">
      <c r="A1" s="225" t="s">
        <v>71</v>
      </c>
      <c r="B1" s="225"/>
      <c r="C1" s="225"/>
      <c r="D1" s="225"/>
      <c r="E1" s="225"/>
      <c r="F1" s="225"/>
      <c r="G1" s="225"/>
      <c r="H1" s="225"/>
      <c r="I1" s="225"/>
    </row>
    <row r="2" spans="1:9" x14ac:dyDescent="0.3">
      <c r="A2" s="5"/>
      <c r="B2" s="5" t="s">
        <v>17</v>
      </c>
      <c r="C2" s="6"/>
      <c r="D2" s="4"/>
      <c r="E2" s="5"/>
      <c r="F2" s="5"/>
      <c r="G2" s="5"/>
      <c r="H2" s="5"/>
      <c r="I2" s="5"/>
    </row>
    <row r="3" spans="1:9" x14ac:dyDescent="0.3">
      <c r="A3" s="5"/>
      <c r="B3" s="5" t="s">
        <v>18</v>
      </c>
      <c r="C3" s="9"/>
      <c r="D3" s="4"/>
      <c r="E3" s="5"/>
      <c r="F3" s="5"/>
      <c r="G3" s="5"/>
      <c r="H3" s="5"/>
      <c r="I3" s="5"/>
    </row>
    <row r="4" spans="1:9" x14ac:dyDescent="0.3">
      <c r="A4" s="5"/>
      <c r="B4" s="5" t="s">
        <v>19</v>
      </c>
      <c r="C4" s="7"/>
      <c r="D4" s="4"/>
      <c r="E4" s="5"/>
      <c r="F4" s="5"/>
      <c r="G4" s="5"/>
      <c r="H4" s="5"/>
      <c r="I4" s="5"/>
    </row>
    <row r="5" spans="1:9" x14ac:dyDescent="0.3">
      <c r="A5" s="8" t="s">
        <v>20</v>
      </c>
      <c r="B5" s="8" t="s">
        <v>21</v>
      </c>
      <c r="C5" s="8" t="s">
        <v>22</v>
      </c>
      <c r="D5" s="4"/>
      <c r="E5" s="226" t="s">
        <v>23</v>
      </c>
      <c r="F5" s="226"/>
      <c r="G5" s="226"/>
      <c r="H5" s="226"/>
      <c r="I5" s="8"/>
    </row>
    <row r="6" spans="1:9" x14ac:dyDescent="0.3">
      <c r="A6" s="8"/>
      <c r="B6" s="8"/>
      <c r="C6" s="8"/>
      <c r="D6" s="4"/>
      <c r="E6" s="5"/>
      <c r="F6" s="5"/>
      <c r="G6" s="5"/>
      <c r="H6" s="5"/>
      <c r="I6" s="8"/>
    </row>
    <row r="7" spans="1:9" x14ac:dyDescent="0.3">
      <c r="A7" s="8" t="s">
        <v>446</v>
      </c>
      <c r="B7" s="8"/>
      <c r="C7" s="8"/>
      <c r="D7" s="4"/>
      <c r="E7" s="5"/>
      <c r="F7" s="5"/>
      <c r="G7" s="5"/>
      <c r="H7" s="5"/>
      <c r="I7" s="8"/>
    </row>
    <row r="8" spans="1:9" x14ac:dyDescent="0.3">
      <c r="A8" s="145" t="s">
        <v>447</v>
      </c>
      <c r="B8" s="146">
        <v>0</v>
      </c>
      <c r="C8" s="145" t="s">
        <v>11</v>
      </c>
      <c r="D8" s="145" t="s">
        <v>448</v>
      </c>
      <c r="E8" s="5"/>
      <c r="F8" s="5"/>
      <c r="G8" s="5"/>
      <c r="H8" s="5"/>
      <c r="I8" s="8"/>
    </row>
    <row r="9" spans="1:9" x14ac:dyDescent="0.3">
      <c r="A9" s="8" t="s">
        <v>51</v>
      </c>
      <c r="B9" s="8"/>
      <c r="C9" s="8"/>
      <c r="D9" s="4"/>
      <c r="E9" s="5"/>
      <c r="F9" s="5"/>
      <c r="G9" s="5"/>
      <c r="H9" s="5"/>
      <c r="I9" s="8"/>
    </row>
    <row r="10" spans="1:9" x14ac:dyDescent="0.3">
      <c r="A10" s="8"/>
      <c r="B10" s="8"/>
      <c r="C10" s="8"/>
      <c r="D10" s="4"/>
      <c r="E10" s="5"/>
      <c r="F10" s="5"/>
      <c r="G10" s="5"/>
      <c r="H10" s="5"/>
      <c r="I10" s="8"/>
    </row>
    <row r="11" spans="1:9" x14ac:dyDescent="0.3">
      <c r="A11" t="s">
        <v>40</v>
      </c>
      <c r="B11" s="12">
        <v>0.8</v>
      </c>
      <c r="D11" t="s">
        <v>43</v>
      </c>
    </row>
    <row r="12" spans="1:9" x14ac:dyDescent="0.3">
      <c r="A12" t="s">
        <v>44</v>
      </c>
      <c r="B12" s="13">
        <f>(1-B11)/(2.2*10^6)</f>
        <v>9.0909090909090888E-8</v>
      </c>
      <c r="C12" t="s">
        <v>47</v>
      </c>
      <c r="D12" t="s">
        <v>50</v>
      </c>
    </row>
    <row r="13" spans="1:9" x14ac:dyDescent="0.3">
      <c r="A13" t="s">
        <v>41</v>
      </c>
      <c r="B13" s="12">
        <v>0.85</v>
      </c>
      <c r="D13" t="s">
        <v>43</v>
      </c>
    </row>
    <row r="14" spans="1:9" x14ac:dyDescent="0.3">
      <c r="A14" t="s">
        <v>45</v>
      </c>
      <c r="B14" s="13">
        <f>(1-B13)/(2.2*10^6)</f>
        <v>6.8181818181818186E-8</v>
      </c>
      <c r="C14" t="s">
        <v>47</v>
      </c>
      <c r="D14" t="s">
        <v>49</v>
      </c>
    </row>
    <row r="15" spans="1:9" x14ac:dyDescent="0.3">
      <c r="A15" t="s">
        <v>42</v>
      </c>
      <c r="B15" s="12">
        <v>0.9</v>
      </c>
      <c r="D15" t="s">
        <v>43</v>
      </c>
    </row>
    <row r="16" spans="1:9" x14ac:dyDescent="0.3">
      <c r="A16" t="s">
        <v>46</v>
      </c>
      <c r="B16" s="13">
        <f>(1-B15)/(2.2*10^6)</f>
        <v>4.5454545454545444E-8</v>
      </c>
      <c r="C16" t="s">
        <v>47</v>
      </c>
      <c r="D16" t="s">
        <v>48</v>
      </c>
    </row>
    <row r="18" spans="1:4" x14ac:dyDescent="0.3">
      <c r="A18" t="s">
        <v>52</v>
      </c>
      <c r="B18" s="12">
        <v>0.9</v>
      </c>
      <c r="D18" t="s">
        <v>57</v>
      </c>
    </row>
    <row r="19" spans="1:4" x14ac:dyDescent="0.3">
      <c r="A19" t="s">
        <v>53</v>
      </c>
      <c r="B19" s="12">
        <v>0.93</v>
      </c>
      <c r="D19" t="s">
        <v>55</v>
      </c>
    </row>
    <row r="20" spans="1:4" x14ac:dyDescent="0.3">
      <c r="A20" t="s">
        <v>54</v>
      </c>
      <c r="B20" s="12">
        <v>0.96</v>
      </c>
      <c r="D20" t="s">
        <v>58</v>
      </c>
    </row>
    <row r="21" spans="1:4" x14ac:dyDescent="0.3">
      <c r="B21">
        <f>IF(((1-D_limit_nom)/Constants!B14)&lt;Fsw,2,1)</f>
        <v>1</v>
      </c>
      <c r="D21" t="s">
        <v>64</v>
      </c>
    </row>
    <row r="22" spans="1:4" x14ac:dyDescent="0.3">
      <c r="A22" t="s">
        <v>69</v>
      </c>
      <c r="B22" s="1">
        <f>CHOOSE(B21,D_limit_nom,(1-Constants!B14*Fsw))</f>
        <v>0.93</v>
      </c>
      <c r="D22" t="s">
        <v>70</v>
      </c>
    </row>
    <row r="24" spans="1:4" x14ac:dyDescent="0.3">
      <c r="A24" t="s">
        <v>72</v>
      </c>
      <c r="B24" s="12">
        <f>50*10^-9</f>
        <v>5.0000000000000004E-8</v>
      </c>
      <c r="C24" t="s">
        <v>47</v>
      </c>
      <c r="D24" t="s">
        <v>73</v>
      </c>
    </row>
    <row r="25" spans="1:4" x14ac:dyDescent="0.3">
      <c r="B25" s="12"/>
    </row>
    <row r="26" spans="1:4" ht="15.6" x14ac:dyDescent="0.3">
      <c r="A26" s="28" t="s">
        <v>135</v>
      </c>
    </row>
    <row r="27" spans="1:4" x14ac:dyDescent="0.3">
      <c r="A27" t="s">
        <v>109</v>
      </c>
      <c r="B27" s="12">
        <f>30*10^-6</f>
        <v>2.9999999999999997E-5</v>
      </c>
      <c r="C27" t="s">
        <v>12</v>
      </c>
      <c r="D27" t="s">
        <v>110</v>
      </c>
    </row>
    <row r="28" spans="1:4" x14ac:dyDescent="0.3">
      <c r="A28" t="s">
        <v>111</v>
      </c>
      <c r="B28" s="12">
        <v>1333</v>
      </c>
      <c r="C28" s="2" t="s">
        <v>35</v>
      </c>
      <c r="D28" t="s">
        <v>112</v>
      </c>
    </row>
    <row r="29" spans="1:4" x14ac:dyDescent="0.3">
      <c r="A29" t="s">
        <v>115</v>
      </c>
      <c r="B29" s="12">
        <f>0.1</f>
        <v>0.1</v>
      </c>
      <c r="C29" s="2" t="s">
        <v>11</v>
      </c>
      <c r="D29" t="s">
        <v>116</v>
      </c>
    </row>
    <row r="31" spans="1:4" x14ac:dyDescent="0.3">
      <c r="A31" t="s">
        <v>190</v>
      </c>
      <c r="B31" s="12">
        <v>0.14199999999999999</v>
      </c>
      <c r="C31" t="s">
        <v>144</v>
      </c>
      <c r="D31" t="s">
        <v>192</v>
      </c>
    </row>
    <row r="32" spans="1:4" x14ac:dyDescent="0.3">
      <c r="A32" t="s">
        <v>194</v>
      </c>
      <c r="B32" s="12">
        <v>1</v>
      </c>
      <c r="C32" t="s">
        <v>144</v>
      </c>
      <c r="D32" t="s">
        <v>195</v>
      </c>
    </row>
    <row r="34" spans="1:4" x14ac:dyDescent="0.3">
      <c r="A34" s="32" t="s">
        <v>215</v>
      </c>
    </row>
    <row r="35" spans="1:4" x14ac:dyDescent="0.3">
      <c r="A35" t="s">
        <v>234</v>
      </c>
      <c r="B35">
        <v>1</v>
      </c>
      <c r="C35" t="s">
        <v>11</v>
      </c>
      <c r="D35" t="s">
        <v>235</v>
      </c>
    </row>
    <row r="36" spans="1:4" x14ac:dyDescent="0.3">
      <c r="A36" t="s">
        <v>219</v>
      </c>
      <c r="B36">
        <f>(2*10^-3)/1</f>
        <v>2E-3</v>
      </c>
      <c r="C36" t="s">
        <v>221</v>
      </c>
      <c r="D36" t="s">
        <v>220</v>
      </c>
    </row>
    <row r="37" spans="1:4" x14ac:dyDescent="0.3">
      <c r="A37" t="s">
        <v>540</v>
      </c>
      <c r="B37">
        <v>2.5</v>
      </c>
      <c r="C37" t="s">
        <v>11</v>
      </c>
      <c r="D37" t="s">
        <v>541</v>
      </c>
    </row>
    <row r="38" spans="1:4" x14ac:dyDescent="0.3">
      <c r="A38" t="s">
        <v>542</v>
      </c>
      <c r="B38">
        <f>1.6*10^-3</f>
        <v>1.6000000000000001E-3</v>
      </c>
      <c r="C38" t="s">
        <v>12</v>
      </c>
      <c r="D38" t="s">
        <v>543</v>
      </c>
    </row>
    <row r="44" spans="1:4" x14ac:dyDescent="0.3">
      <c r="A44" s="32" t="s">
        <v>286</v>
      </c>
    </row>
    <row r="45" spans="1:4" x14ac:dyDescent="0.3">
      <c r="A45" t="s">
        <v>287</v>
      </c>
      <c r="B45">
        <f>10*10^-6</f>
        <v>9.9999999999999991E-6</v>
      </c>
      <c r="C45" t="s">
        <v>12</v>
      </c>
      <c r="D45" t="s">
        <v>288</v>
      </c>
    </row>
    <row r="47" spans="1:4" x14ac:dyDescent="0.3">
      <c r="A47" s="32" t="s">
        <v>308</v>
      </c>
    </row>
    <row r="48" spans="1:4" x14ac:dyDescent="0.3">
      <c r="A48" t="s">
        <v>309</v>
      </c>
      <c r="B48">
        <v>1.5</v>
      </c>
      <c r="C48" t="s">
        <v>11</v>
      </c>
      <c r="D48" t="s">
        <v>312</v>
      </c>
    </row>
    <row r="49" spans="1:4" x14ac:dyDescent="0.3">
      <c r="A49" t="s">
        <v>310</v>
      </c>
      <c r="B49">
        <v>1.45</v>
      </c>
      <c r="C49" t="s">
        <v>11</v>
      </c>
      <c r="D49" t="s">
        <v>311</v>
      </c>
    </row>
    <row r="50" spans="1:4" x14ac:dyDescent="0.3">
      <c r="A50" t="s">
        <v>315</v>
      </c>
      <c r="B50">
        <f>5*10^-6</f>
        <v>4.9999999999999996E-6</v>
      </c>
      <c r="C50" t="s">
        <v>12</v>
      </c>
      <c r="D50" t="s">
        <v>316</v>
      </c>
    </row>
    <row r="52" spans="1:4" x14ac:dyDescent="0.3">
      <c r="A52" s="32" t="s">
        <v>361</v>
      </c>
    </row>
    <row r="53" spans="1:4" x14ac:dyDescent="0.3">
      <c r="A53" t="s">
        <v>362</v>
      </c>
      <c r="B53">
        <v>6.75</v>
      </c>
      <c r="C53" t="s">
        <v>11</v>
      </c>
      <c r="D53" t="s">
        <v>363</v>
      </c>
    </row>
    <row r="55" spans="1:4" x14ac:dyDescent="0.3">
      <c r="A55" s="32" t="s">
        <v>375</v>
      </c>
    </row>
    <row r="56" spans="1:4" x14ac:dyDescent="0.3">
      <c r="A56" t="s">
        <v>376</v>
      </c>
      <c r="B56">
        <f>450*(10^-6)</f>
        <v>4.4999999999999999E-4</v>
      </c>
      <c r="C56" t="s">
        <v>12</v>
      </c>
      <c r="D56" t="s">
        <v>377</v>
      </c>
    </row>
    <row r="58" spans="1:4" x14ac:dyDescent="0.3">
      <c r="A58" t="s">
        <v>407</v>
      </c>
    </row>
    <row r="59" spans="1:4" x14ac:dyDescent="0.3">
      <c r="A59" t="s">
        <v>408</v>
      </c>
      <c r="B59">
        <v>1.5</v>
      </c>
      <c r="C59" t="s">
        <v>11</v>
      </c>
      <c r="D59" t="s">
        <v>409</v>
      </c>
    </row>
    <row r="60" spans="1:4" x14ac:dyDescent="0.3">
      <c r="A60" t="s">
        <v>411</v>
      </c>
      <c r="B60">
        <v>45</v>
      </c>
      <c r="C60" t="s">
        <v>11</v>
      </c>
      <c r="D60" t="s">
        <v>410</v>
      </c>
    </row>
    <row r="61" spans="1:4" x14ac:dyDescent="0.3">
      <c r="A61" t="s">
        <v>707</v>
      </c>
      <c r="B61">
        <v>60</v>
      </c>
      <c r="C61" t="s">
        <v>11</v>
      </c>
      <c r="D61" t="s">
        <v>708</v>
      </c>
    </row>
  </sheetData>
  <mergeCells count="2">
    <mergeCell ref="A1:I1"/>
    <mergeCell ref="E5:H5"/>
  </mergeCells>
  <conditionalFormatting sqref="H14">
    <cfRule type="cellIs" priority="1" operator="lessThan">
      <formula>100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9"/>
  <sheetViews>
    <sheetView topLeftCell="B4" zoomScale="70" zoomScaleNormal="70" workbookViewId="0">
      <selection activeCell="C14" sqref="C14"/>
    </sheetView>
  </sheetViews>
  <sheetFormatPr defaultColWidth="9.33203125" defaultRowHeight="14.4" x14ac:dyDescent="0.3"/>
  <cols>
    <col min="3" max="3" width="145.88671875" style="169" customWidth="1"/>
  </cols>
  <sheetData>
    <row r="2" spans="2:2" x14ac:dyDescent="0.3">
      <c r="B2" t="str">
        <f>CHOOSE(Variable_Management!B13,"Eff_OUT_1","Eff_OUT_2","Eff_OUT_3")</f>
        <v>Eff_OUT_1</v>
      </c>
    </row>
    <row r="3" spans="2:2" ht="379.65" customHeight="1" x14ac:dyDescent="0.3"/>
    <row r="6" spans="2:2" ht="379.65" customHeight="1" x14ac:dyDescent="0.3"/>
    <row r="9" spans="2:2" ht="379.95" customHeight="1" x14ac:dyDescent="0.3"/>
  </sheetData>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
  <sheetViews>
    <sheetView workbookViewId="0">
      <selection activeCell="F15" sqref="F15"/>
    </sheetView>
  </sheetViews>
  <sheetFormatPr defaultRowHeight="14.4" x14ac:dyDescent="0.3"/>
  <sheetData>
    <row r="1" spans="1:12" x14ac:dyDescent="0.3">
      <c r="I1" t="s">
        <v>514</v>
      </c>
    </row>
    <row r="2" spans="1:12" ht="18" x14ac:dyDescent="0.35">
      <c r="A2" t="s">
        <v>387</v>
      </c>
      <c r="F2" t="s">
        <v>432</v>
      </c>
      <c r="I2" s="189" t="s">
        <v>515</v>
      </c>
      <c r="L2" t="s">
        <v>635</v>
      </c>
    </row>
    <row r="3" spans="1:12" ht="18" x14ac:dyDescent="0.35">
      <c r="B3">
        <f>VIN_min</f>
        <v>45</v>
      </c>
      <c r="F3" t="s">
        <v>432</v>
      </c>
      <c r="G3">
        <v>1</v>
      </c>
      <c r="I3" s="189" t="s">
        <v>516</v>
      </c>
      <c r="L3" t="s">
        <v>636</v>
      </c>
    </row>
    <row r="4" spans="1:12" x14ac:dyDescent="0.3">
      <c r="B4">
        <f>VIN_nom</f>
        <v>50</v>
      </c>
      <c r="D4">
        <v>2.5</v>
      </c>
      <c r="G4">
        <v>0</v>
      </c>
      <c r="L4" t="s">
        <v>637</v>
      </c>
    </row>
    <row r="5" spans="1:12" x14ac:dyDescent="0.3">
      <c r="B5">
        <f>VIN_max</f>
        <v>55</v>
      </c>
    </row>
  </sheetData>
  <dataValidations count="3">
    <dataValidation type="list" allowBlank="1" showInputMessage="1" showErrorMessage="1" sqref="D4" xr:uid="{00000000-0002-0000-0700-000000000000}">
      <formula1>$B$3:$B$5</formula1>
    </dataValidation>
    <dataValidation type="decimal" allowBlank="1" showInputMessage="1" showErrorMessage="1" sqref="F4" xr:uid="{00000000-0002-0000-0700-000001000000}">
      <formula1>B3</formula1>
      <formula2>B5</formula2>
    </dataValidation>
    <dataValidation type="list" showDropDown="1" showInputMessage="1" showErrorMessage="1" sqref="I15" xr:uid="{00000000-0002-0000-0700-000002000000}">
      <formula1>$B$3:$B$5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202</vt:i4>
      </vt:variant>
    </vt:vector>
  </HeadingPairs>
  <TitlesOfParts>
    <vt:vector size="213" baseType="lpstr">
      <vt:lpstr>Design Converter</vt:lpstr>
      <vt:lpstr>Licenses</vt:lpstr>
      <vt:lpstr>Variable_Management</vt:lpstr>
      <vt:lpstr>CCM_Loop_Modeling_Isolated</vt:lpstr>
      <vt:lpstr>CCM_Loop_Modeling_non_isolated</vt:lpstr>
      <vt:lpstr>Eff_vs_IOUT</vt:lpstr>
      <vt:lpstr>Constants</vt:lpstr>
      <vt:lpstr>Plot_Management_Eff</vt:lpstr>
      <vt:lpstr>Lists</vt:lpstr>
      <vt:lpstr>Plot Management_Loop</vt:lpstr>
      <vt:lpstr>Plot Management_Sch</vt:lpstr>
      <vt:lpstr>Acs</vt:lpstr>
      <vt:lpstr>CCM_Loop_Modeling_Isolated!Adc</vt:lpstr>
      <vt:lpstr>Adc</vt:lpstr>
      <vt:lpstr>Adc_ea</vt:lpstr>
      <vt:lpstr>CCM_Loop_Modeling_Isolated!Adc_ea_iso</vt:lpstr>
      <vt:lpstr>ADC_VINmin</vt:lpstr>
      <vt:lpstr>CCOMP</vt:lpstr>
      <vt:lpstr>CComp_calc</vt:lpstr>
      <vt:lpstr>Ccomp_iso</vt:lpstr>
      <vt:lpstr>Ccomp_iso_calc</vt:lpstr>
      <vt:lpstr>CD3_</vt:lpstr>
      <vt:lpstr>CHF</vt:lpstr>
      <vt:lpstr>Comp_calc</vt:lpstr>
      <vt:lpstr>Copto</vt:lpstr>
      <vt:lpstr>Cout_total</vt:lpstr>
      <vt:lpstr>Cout1</vt:lpstr>
      <vt:lpstr>Cout1_min</vt:lpstr>
      <vt:lpstr>Cout2</vt:lpstr>
      <vt:lpstr>Cout2_min</vt:lpstr>
      <vt:lpstr>Cout3</vt:lpstr>
      <vt:lpstr>Cout3_min</vt:lpstr>
      <vt:lpstr>D_limit_max</vt:lpstr>
      <vt:lpstr>D_limit_min</vt:lpstr>
      <vt:lpstr>D_limit_nom</vt:lpstr>
      <vt:lpstr>CCM_Loop_Modeling_Isolated!Dc_var_ccm</vt:lpstr>
      <vt:lpstr>Dc_var_ccm</vt:lpstr>
      <vt:lpstr>Dc_VIN_max</vt:lpstr>
      <vt:lpstr>Dc_VIN_min</vt:lpstr>
      <vt:lpstr>Dc_VIN_nom</vt:lpstr>
      <vt:lpstr>Dmax_limit</vt:lpstr>
      <vt:lpstr>EFF_est</vt:lpstr>
      <vt:lpstr>Eff_OUT_1</vt:lpstr>
      <vt:lpstr>Eff_OUT_2</vt:lpstr>
      <vt:lpstr>Eff_OUT_3</vt:lpstr>
      <vt:lpstr>Eff_vs_IOUT</vt:lpstr>
      <vt:lpstr>EN_OUT_2</vt:lpstr>
      <vt:lpstr>EN_OUT_3</vt:lpstr>
      <vt:lpstr>FB_type</vt:lpstr>
      <vt:lpstr>fcross</vt:lpstr>
      <vt:lpstr>fcross_est</vt:lpstr>
      <vt:lpstr>fcross_iso</vt:lpstr>
      <vt:lpstr>fcross_iso_est</vt:lpstr>
      <vt:lpstr>fopto</vt:lpstr>
      <vt:lpstr>fp_ea_est</vt:lpstr>
      <vt:lpstr>Fsw</vt:lpstr>
      <vt:lpstr>fz_ea_est</vt:lpstr>
      <vt:lpstr>fz_rhp</vt:lpstr>
      <vt:lpstr>Gcomp</vt:lpstr>
      <vt:lpstr>Gea_mid_calc</vt:lpstr>
      <vt:lpstr>gfs</vt:lpstr>
      <vt:lpstr>gm_ea</vt:lpstr>
      <vt:lpstr>CCM_Loop_Modeling_Isolated!Gplant_fc_dB</vt:lpstr>
      <vt:lpstr>Gplant_fc_dB</vt:lpstr>
      <vt:lpstr>Icomp_sink_max</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IOUT1</vt:lpstr>
      <vt:lpstr>IOUT2</vt:lpstr>
      <vt:lpstr>IOUT3</vt:lpstr>
      <vt:lpstr>Ipk_margin</vt:lpstr>
      <vt:lpstr>Ipk_selected</vt:lpstr>
      <vt:lpstr>IQ</vt:lpstr>
      <vt:lpstr>IRMS_COUT</vt:lpstr>
      <vt:lpstr>Isl</vt:lpstr>
      <vt:lpstr>Iss</vt:lpstr>
      <vt:lpstr>kopto_max</vt:lpstr>
      <vt:lpstr>kopto_min</vt:lpstr>
      <vt:lpstr>Kslope</vt:lpstr>
      <vt:lpstr>Lm</vt:lpstr>
      <vt:lpstr>LOOP_ISO</vt:lpstr>
      <vt:lpstr>LOOP_nISO</vt:lpstr>
      <vt:lpstr>CCM_Loop_Modeling_Isolated!mc</vt:lpstr>
      <vt:lpstr>mc</vt:lpstr>
      <vt:lpstr>Np</vt:lpstr>
      <vt:lpstr>NS1_</vt:lpstr>
      <vt:lpstr>NS2_</vt:lpstr>
      <vt:lpstr>NS3_</vt:lpstr>
      <vt:lpstr>POUT_Total</vt:lpstr>
      <vt:lpstr>CCM_Loop_Modeling_Isolated!Pout_var</vt:lpstr>
      <vt:lpstr>Pout_var</vt:lpstr>
      <vt:lpstr>POUT1</vt:lpstr>
      <vt:lpstr>POUT2</vt:lpstr>
      <vt:lpstr>POUT3</vt:lpstr>
      <vt:lpstr>'Design Converter'!Print_Area</vt:lpstr>
      <vt:lpstr>CCM_Loop_Modeling_Isolated!Q</vt:lpstr>
      <vt:lpstr>Q</vt:lpstr>
      <vt:lpstr>Q_VINmin</vt:lpstr>
      <vt:lpstr>Qg_tot</vt:lpstr>
      <vt:lpstr>Qgd</vt:lpstr>
      <vt:lpstr>Qgs</vt:lpstr>
      <vt:lpstr>QRR1_</vt:lpstr>
      <vt:lpstr>QRR2_</vt:lpstr>
      <vt:lpstr>QRR3_</vt:lpstr>
      <vt:lpstr>R_cs</vt:lpstr>
      <vt:lpstr>R_sl</vt:lpstr>
      <vt:lpstr>RCOMP</vt:lpstr>
      <vt:lpstr>Rcomp_calc</vt:lpstr>
      <vt:lpstr>Rcomp_iso</vt:lpstr>
      <vt:lpstr>Rcs_max</vt:lpstr>
      <vt:lpstr>Rcs_w_sl</vt:lpstr>
      <vt:lpstr>Rcs_wo_sl</vt:lpstr>
      <vt:lpstr>Rdcr</vt:lpstr>
      <vt:lpstr>Rdcr1</vt:lpstr>
      <vt:lpstr>Rdcr2</vt:lpstr>
      <vt:lpstr>Rdcr3</vt:lpstr>
      <vt:lpstr>RDS_on</vt:lpstr>
      <vt:lpstr>Resr_total</vt:lpstr>
      <vt:lpstr>Resr1</vt:lpstr>
      <vt:lpstr>Resr2</vt:lpstr>
      <vt:lpstr>Resr2_Trans</vt:lpstr>
      <vt:lpstr>Resr3</vt:lpstr>
      <vt:lpstr>Resr3_Trans</vt:lpstr>
      <vt:lpstr>RFBB</vt:lpstr>
      <vt:lpstr>RFBB_calc</vt:lpstr>
      <vt:lpstr>RFBB_iso</vt:lpstr>
      <vt:lpstr>RFBB_iso_calc</vt:lpstr>
      <vt:lpstr>RFBT</vt:lpstr>
      <vt:lpstr>RFBT_iso</vt:lpstr>
      <vt:lpstr>Rgate</vt:lpstr>
      <vt:lpstr>RLED</vt:lpstr>
      <vt:lpstr>ROUT1</vt:lpstr>
      <vt:lpstr>ROUT2</vt:lpstr>
      <vt:lpstr>ROUT3</vt:lpstr>
      <vt:lpstr>Rpullup</vt:lpstr>
      <vt:lpstr>Rpullup_min</vt:lpstr>
      <vt:lpstr>Rsl_int</vt:lpstr>
      <vt:lpstr>RT</vt:lpstr>
      <vt:lpstr>Ruvlo_bottom_calc</vt:lpstr>
      <vt:lpstr>Ruvlo_top</vt:lpstr>
      <vt:lpstr>Ruvlo_top_calc</vt:lpstr>
      <vt:lpstr>sch_ISO_1</vt:lpstr>
      <vt:lpstr>sch_ISO_2</vt:lpstr>
      <vt:lpstr>sch_ISO_3</vt:lpstr>
      <vt:lpstr>sch_nISO_1</vt:lpstr>
      <vt:lpstr>sch_nISO_2</vt:lpstr>
      <vt:lpstr>sch_nISO_3</vt:lpstr>
      <vt:lpstr>Se_VINmin</vt:lpstr>
      <vt:lpstr>Sn_VINmin</vt:lpstr>
      <vt:lpstr>tf_sw</vt:lpstr>
      <vt:lpstr>tr_sw</vt:lpstr>
      <vt:lpstr>tss</vt:lpstr>
      <vt:lpstr>UV_fall</vt:lpstr>
      <vt:lpstr>UV_I_hyst</vt:lpstr>
      <vt:lpstr>UV_rise</vt:lpstr>
      <vt:lpstr>Vcc</vt:lpstr>
      <vt:lpstr>VCE_sat</vt:lpstr>
      <vt:lpstr>Vcl</vt:lpstr>
      <vt:lpstr>Vcomp_max</vt:lpstr>
      <vt:lpstr>VD</vt:lpstr>
      <vt:lpstr>Vd_opto</vt:lpstr>
      <vt:lpstr>VD1_</vt:lpstr>
      <vt:lpstr>VD2_</vt:lpstr>
      <vt:lpstr>VD3_</vt:lpstr>
      <vt:lpstr>VIN_max</vt:lpstr>
      <vt:lpstr>VIN_min</vt:lpstr>
      <vt:lpstr>VIN_nom</vt:lpstr>
      <vt:lpstr>VIN_op_max</vt:lpstr>
      <vt:lpstr>VIN_op_max_56</vt:lpstr>
      <vt:lpstr>VIN_op_min</vt:lpstr>
      <vt:lpstr>VIN_var</vt:lpstr>
      <vt:lpstr>VOUT1</vt:lpstr>
      <vt:lpstr>Vout1_rip_sel</vt:lpstr>
      <vt:lpstr>VOUT2</vt:lpstr>
      <vt:lpstr>Vout2_rip_sel</vt:lpstr>
      <vt:lpstr>VOUT3</vt:lpstr>
      <vt:lpstr>Vout3_rip_sel</vt:lpstr>
      <vt:lpstr>Vpullup</vt:lpstr>
      <vt:lpstr>Vref</vt:lpstr>
      <vt:lpstr>Vref_iso</vt:lpstr>
      <vt:lpstr>Vth</vt:lpstr>
      <vt:lpstr>Vuvlo_off</vt:lpstr>
      <vt:lpstr>Vuvlo_on</vt:lpstr>
      <vt:lpstr>CCM_Loop_Modeling_Isolated!wp_lf</vt:lpstr>
      <vt:lpstr>wp_lf</vt:lpstr>
      <vt:lpstr>wp_lf_VINmin</vt:lpstr>
      <vt:lpstr>wp0_ea</vt:lpstr>
      <vt:lpstr>wp1_ea</vt:lpstr>
      <vt:lpstr>CCM_Loop_Modeling_Isolated!wpA_ea_iso</vt:lpstr>
      <vt:lpstr>CCM_Loop_Modeling_Isolated!wpB_ea_iso</vt:lpstr>
      <vt:lpstr>wpC_ea_iso</vt:lpstr>
      <vt:lpstr>CCM_Loop_Modeling_Isolated!wsl</vt:lpstr>
      <vt:lpstr>wsl</vt:lpstr>
      <vt:lpstr>wsl_VINmin</vt:lpstr>
      <vt:lpstr>wz_ea</vt:lpstr>
      <vt:lpstr>CCM_Loop_Modeling_Isolated!wz_esr</vt:lpstr>
      <vt:lpstr>wz_esr</vt:lpstr>
      <vt:lpstr>wz_esr_VINmin</vt:lpstr>
      <vt:lpstr>CCM_Loop_Modeling_Isolated!wz_rhp</vt:lpstr>
      <vt:lpstr>wz_rhp</vt:lpstr>
      <vt:lpstr>wz_RHP_VINmin</vt:lpstr>
      <vt:lpstr>wz1_ea_iso</vt:lpstr>
      <vt:lpstr>CCM_Loop_Modeling_Isolated!wz2_ea_iso</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Denny Wong</cp:lastModifiedBy>
  <cp:lastPrinted>2018-08-09T07:13:51Z</cp:lastPrinted>
  <dcterms:created xsi:type="dcterms:W3CDTF">2018-06-26T09:13:29Z</dcterms:created>
  <dcterms:modified xsi:type="dcterms:W3CDTF">2023-10-23T18:42:25Z</dcterms:modified>
</cp:coreProperties>
</file>