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Nokia MDU\CDVT\PoE test\Test data\"/>
    </mc:Choice>
  </mc:AlternateContent>
  <bookViews>
    <workbookView xWindow="-105" yWindow="-105" windowWidth="19425" windowHeight="10305"/>
  </bookViews>
  <sheets>
    <sheet name="Loop1" sheetId="1" r:id="rId1"/>
    <sheet name="Limits" sheetId="2" r:id="rId2"/>
    <sheet name="Notes 5.x.x" sheetId="3" r:id="rId3"/>
    <sheet name="Interop" sheetId="4" r:id="rId4"/>
  </sheets>
  <externalReferences>
    <externalReference r:id="rId5"/>
  </externalReferences>
  <definedNames>
    <definedName name="ALT">Limits!$D$2</definedName>
    <definedName name="BT">Limits!$N$2</definedName>
    <definedName name="BT_type">Limits!$N$2</definedName>
    <definedName name="Date">Loop1!$A$2</definedName>
    <definedName name="HighPwrGrant">Limits!$H$2</definedName>
    <definedName name="Index">Loop1!$V$176</definedName>
    <definedName name="Loop_Count">Loop1!$B$4</definedName>
    <definedName name="Maximum">Loop1!$E$9:$E$177</definedName>
    <definedName name="Min_AT_Version">Loop1!$A$182</definedName>
    <definedName name="MinFwVer">Limits!$L$2</definedName>
    <definedName name="Minimum">Loop1!$D$9:$D$177</definedName>
    <definedName name="MinReqdFwVer">Loop1!$A$186</definedName>
    <definedName name="Parm_Count">Loop1!$V$178</definedName>
    <definedName name="PD_Pwr">Limits!$F$2</definedName>
    <definedName name="Port_Count">Loop1!$B$3</definedName>
    <definedName name="_xlnm.Print_Area" localSheetId="3">Interop!$A$1:$L$50</definedName>
    <definedName name="_xlnm.Print_Area" localSheetId="0">Loop1!$A$1:$L$178</definedName>
    <definedName name="_xlnm.Print_Area" localSheetId="2">'Notes 5.x.x'!$A$1:$I$157</definedName>
    <definedName name="PSA">Limits!$J$2</definedName>
    <definedName name="PSE_Tested">Loop1!$A$5</definedName>
    <definedName name="Report_Version">Loop1!$I$3</definedName>
    <definedName name="Test_Count">Loop1!$V$177</definedName>
    <definedName name="Test_Limits">Limits!$B$5:$I$185</definedName>
    <definedName name="Test_Parms">[1]Sheet1!$AR$129</definedName>
    <definedName name="Time">Loop1!$B$2</definedName>
    <definedName name="Version">Loop1!$J$2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I4" i="1" l="1"/>
  <c r="W168" i="1" l="1"/>
  <c r="T168" i="1"/>
  <c r="W167" i="1"/>
  <c r="T167" i="1"/>
  <c r="W166" i="1"/>
  <c r="T166" i="1"/>
  <c r="W165" i="1"/>
  <c r="T165" i="1"/>
  <c r="W164" i="1"/>
  <c r="T164" i="1"/>
  <c r="W163" i="1"/>
  <c r="T163" i="1"/>
  <c r="F168" i="1"/>
  <c r="I168" i="1" s="1"/>
  <c r="J168" i="1" s="1"/>
  <c r="E168" i="1"/>
  <c r="D168" i="1"/>
  <c r="F167" i="1"/>
  <c r="U167" i="1" s="1"/>
  <c r="E167" i="1"/>
  <c r="D167" i="1"/>
  <c r="F166" i="1"/>
  <c r="G166" i="1" s="1"/>
  <c r="H166" i="1" s="1"/>
  <c r="E166" i="1"/>
  <c r="D166" i="1"/>
  <c r="F165" i="1"/>
  <c r="U165" i="1" s="1"/>
  <c r="E165" i="1"/>
  <c r="D165" i="1"/>
  <c r="F164" i="1"/>
  <c r="I164" i="1" s="1"/>
  <c r="J164" i="1" s="1"/>
  <c r="E164" i="1"/>
  <c r="D164" i="1"/>
  <c r="F163" i="1"/>
  <c r="I163" i="1" s="1"/>
  <c r="J163" i="1" s="1"/>
  <c r="E163" i="1"/>
  <c r="D163" i="1"/>
  <c r="D97" i="2"/>
  <c r="F97" i="2"/>
  <c r="G167" i="1" l="1"/>
  <c r="H167" i="1" s="1"/>
  <c r="G163" i="1"/>
  <c r="H163" i="1" s="1"/>
  <c r="G165" i="1"/>
  <c r="H165" i="1" s="1"/>
  <c r="V165" i="1" s="1"/>
  <c r="S163" i="1"/>
  <c r="U163" i="1"/>
  <c r="I165" i="1"/>
  <c r="J165" i="1" s="1"/>
  <c r="I167" i="1"/>
  <c r="J167" i="1" s="1"/>
  <c r="R167" i="1" s="1"/>
  <c r="R163" i="1"/>
  <c r="V163" i="1"/>
  <c r="V167" i="1"/>
  <c r="U164" i="1"/>
  <c r="U166" i="1"/>
  <c r="U168" i="1"/>
  <c r="V166" i="1"/>
  <c r="G164" i="1"/>
  <c r="H164" i="1" s="1"/>
  <c r="I166" i="1"/>
  <c r="J166" i="1" s="1"/>
  <c r="R166" i="1" s="1"/>
  <c r="G168" i="1"/>
  <c r="H168" i="1" s="1"/>
  <c r="C42" i="2"/>
  <c r="S165" i="1" l="1"/>
  <c r="S166" i="1"/>
  <c r="S167" i="1"/>
  <c r="S168" i="1"/>
  <c r="V168" i="1"/>
  <c r="R168" i="1"/>
  <c r="R165" i="1"/>
  <c r="V164" i="1"/>
  <c r="R164" i="1"/>
  <c r="S164" i="1"/>
  <c r="V178" i="1"/>
  <c r="W169" i="1"/>
  <c r="T169" i="1"/>
  <c r="F169" i="1"/>
  <c r="U169" i="1" s="1"/>
  <c r="E169" i="1"/>
  <c r="D169" i="1"/>
  <c r="W162" i="1"/>
  <c r="T162" i="1"/>
  <c r="F162" i="1"/>
  <c r="I162" i="1" s="1"/>
  <c r="J162" i="1" s="1"/>
  <c r="E162" i="1"/>
  <c r="D162" i="1"/>
  <c r="D47" i="2"/>
  <c r="D24" i="2"/>
  <c r="G162" i="1" l="1"/>
  <c r="H162" i="1" s="1"/>
  <c r="R162" i="1" s="1"/>
  <c r="G169" i="1"/>
  <c r="H169" i="1" s="1"/>
  <c r="U162" i="1"/>
  <c r="I169" i="1"/>
  <c r="J169" i="1" s="1"/>
  <c r="D46" i="2"/>
  <c r="D43" i="2"/>
  <c r="C43" i="2"/>
  <c r="S162" i="1" l="1"/>
  <c r="V162" i="1"/>
  <c r="V169" i="1"/>
  <c r="S169" i="1"/>
  <c r="R169" i="1"/>
  <c r="I27" i="2"/>
  <c r="I12" i="2" l="1"/>
  <c r="D12" i="2"/>
  <c r="D42" i="2"/>
  <c r="D41" i="2"/>
  <c r="T11" i="1" l="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70" i="1"/>
  <c r="T171" i="1"/>
  <c r="T172" i="1"/>
  <c r="T173" i="1"/>
  <c r="T174" i="1"/>
  <c r="T10" i="1"/>
  <c r="T9" i="1"/>
  <c r="D140" i="1" l="1"/>
  <c r="E140" i="1"/>
  <c r="F140" i="1"/>
  <c r="W140" i="1"/>
  <c r="D141" i="1"/>
  <c r="E141" i="1"/>
  <c r="F141" i="1"/>
  <c r="W141" i="1"/>
  <c r="D142" i="1"/>
  <c r="E142" i="1"/>
  <c r="F142" i="1"/>
  <c r="W142" i="1"/>
  <c r="D143" i="1"/>
  <c r="E143" i="1"/>
  <c r="F143" i="1"/>
  <c r="W143" i="1"/>
  <c r="D144" i="1"/>
  <c r="E144" i="1"/>
  <c r="F144" i="1"/>
  <c r="W144" i="1"/>
  <c r="D145" i="1"/>
  <c r="E145" i="1"/>
  <c r="F145" i="1"/>
  <c r="W145" i="1"/>
  <c r="D146" i="1"/>
  <c r="E146" i="1"/>
  <c r="F146" i="1"/>
  <c r="W146" i="1"/>
  <c r="D147" i="1"/>
  <c r="E147" i="1"/>
  <c r="F147" i="1"/>
  <c r="W147" i="1"/>
  <c r="D148" i="1"/>
  <c r="E148" i="1"/>
  <c r="F148" i="1"/>
  <c r="W148" i="1"/>
  <c r="D149" i="1"/>
  <c r="E149" i="1"/>
  <c r="F149" i="1"/>
  <c r="W149" i="1"/>
  <c r="D150" i="1"/>
  <c r="E150" i="1"/>
  <c r="F150" i="1"/>
  <c r="W150" i="1"/>
  <c r="D151" i="1"/>
  <c r="E151" i="1"/>
  <c r="F151" i="1"/>
  <c r="W151" i="1"/>
  <c r="D122" i="1"/>
  <c r="E122" i="1"/>
  <c r="F122" i="1"/>
  <c r="U122" i="1" s="1"/>
  <c r="D123" i="1"/>
  <c r="E123" i="1"/>
  <c r="F123" i="1"/>
  <c r="D124" i="1"/>
  <c r="E124" i="1"/>
  <c r="F124" i="1"/>
  <c r="D125" i="1"/>
  <c r="E125" i="1"/>
  <c r="F125" i="1"/>
  <c r="D126" i="1"/>
  <c r="E126" i="1"/>
  <c r="F126" i="1"/>
  <c r="U126" i="1" s="1"/>
  <c r="D127" i="1"/>
  <c r="E127" i="1"/>
  <c r="F127" i="1"/>
  <c r="U127" i="1" s="1"/>
  <c r="D128" i="1"/>
  <c r="E128" i="1"/>
  <c r="F128" i="1"/>
  <c r="D129" i="1"/>
  <c r="E129" i="1"/>
  <c r="F129" i="1"/>
  <c r="D130" i="1"/>
  <c r="E130" i="1"/>
  <c r="F130" i="1"/>
  <c r="U130" i="1" s="1"/>
  <c r="D131" i="1"/>
  <c r="E131" i="1"/>
  <c r="F131" i="1"/>
  <c r="D132" i="1"/>
  <c r="E132" i="1"/>
  <c r="F132" i="1"/>
  <c r="D133" i="1"/>
  <c r="E133" i="1"/>
  <c r="F133" i="1"/>
  <c r="D134" i="1"/>
  <c r="E134" i="1"/>
  <c r="F134" i="1"/>
  <c r="U134" i="1" s="1"/>
  <c r="D135" i="1"/>
  <c r="E135" i="1"/>
  <c r="F135" i="1"/>
  <c r="W122" i="1"/>
  <c r="W123" i="1"/>
  <c r="W124" i="1"/>
  <c r="W125" i="1"/>
  <c r="W126" i="1"/>
  <c r="W127" i="1"/>
  <c r="W128" i="1"/>
  <c r="W129" i="1"/>
  <c r="W130" i="1"/>
  <c r="W131" i="1"/>
  <c r="W132" i="1"/>
  <c r="W133" i="1"/>
  <c r="W134" i="1"/>
  <c r="W135" i="1"/>
  <c r="G133" i="1" l="1"/>
  <c r="H133" i="1" s="1"/>
  <c r="U133" i="1"/>
  <c r="I151" i="1"/>
  <c r="J151" i="1" s="1"/>
  <c r="U151" i="1"/>
  <c r="I149" i="1"/>
  <c r="J149" i="1" s="1"/>
  <c r="U149" i="1"/>
  <c r="I147" i="1"/>
  <c r="J147" i="1" s="1"/>
  <c r="U147" i="1"/>
  <c r="I146" i="1"/>
  <c r="J146" i="1" s="1"/>
  <c r="U146" i="1"/>
  <c r="I144" i="1"/>
  <c r="J144" i="1" s="1"/>
  <c r="U144" i="1"/>
  <c r="I143" i="1"/>
  <c r="J143" i="1" s="1"/>
  <c r="U143" i="1"/>
  <c r="I141" i="1"/>
  <c r="J141" i="1" s="1"/>
  <c r="U141" i="1"/>
  <c r="I140" i="1"/>
  <c r="J140" i="1" s="1"/>
  <c r="U140" i="1"/>
  <c r="G135" i="1"/>
  <c r="H135" i="1" s="1"/>
  <c r="U135" i="1"/>
  <c r="G131" i="1"/>
  <c r="H131" i="1" s="1"/>
  <c r="U131" i="1"/>
  <c r="I123" i="1"/>
  <c r="J123" i="1" s="1"/>
  <c r="U123" i="1"/>
  <c r="G129" i="1"/>
  <c r="H129" i="1" s="1"/>
  <c r="U129" i="1"/>
  <c r="G125" i="1"/>
  <c r="H125" i="1" s="1"/>
  <c r="U125" i="1"/>
  <c r="I150" i="1"/>
  <c r="J150" i="1" s="1"/>
  <c r="U150" i="1"/>
  <c r="I148" i="1"/>
  <c r="J148" i="1" s="1"/>
  <c r="U148" i="1"/>
  <c r="I145" i="1"/>
  <c r="J145" i="1" s="1"/>
  <c r="U145" i="1"/>
  <c r="I142" i="1"/>
  <c r="J142" i="1" s="1"/>
  <c r="U142" i="1"/>
  <c r="G132" i="1"/>
  <c r="H132" i="1" s="1"/>
  <c r="U132" i="1"/>
  <c r="G128" i="1"/>
  <c r="H128" i="1" s="1"/>
  <c r="U128" i="1"/>
  <c r="G124" i="1"/>
  <c r="H124" i="1" s="1"/>
  <c r="V124" i="1" s="1"/>
  <c r="U124" i="1"/>
  <c r="G144" i="1"/>
  <c r="G148" i="1"/>
  <c r="I132" i="1"/>
  <c r="I131" i="1"/>
  <c r="G151" i="1"/>
  <c r="G147" i="1"/>
  <c r="G143" i="1"/>
  <c r="G150" i="1"/>
  <c r="G146" i="1"/>
  <c r="G142" i="1"/>
  <c r="I135" i="1"/>
  <c r="G149" i="1"/>
  <c r="G145" i="1"/>
  <c r="G141" i="1"/>
  <c r="G140" i="1"/>
  <c r="H140" i="1" s="1"/>
  <c r="G127" i="1"/>
  <c r="G126" i="1"/>
  <c r="G123" i="1"/>
  <c r="G122" i="1"/>
  <c r="G134" i="1"/>
  <c r="I128" i="1"/>
  <c r="I127" i="1"/>
  <c r="G130" i="1"/>
  <c r="I124" i="1"/>
  <c r="I133" i="1"/>
  <c r="I129" i="1"/>
  <c r="I134" i="1"/>
  <c r="J134" i="1" s="1"/>
  <c r="I130" i="1"/>
  <c r="J130" i="1" s="1"/>
  <c r="I126" i="1"/>
  <c r="I122" i="1"/>
  <c r="J122" i="1" s="1"/>
  <c r="I125" i="1"/>
  <c r="H130" i="1" l="1"/>
  <c r="V130" i="1" s="1"/>
  <c r="H141" i="1"/>
  <c r="S141" i="1" s="1"/>
  <c r="H142" i="1"/>
  <c r="R142" i="1" s="1"/>
  <c r="J126" i="1"/>
  <c r="J133" i="1"/>
  <c r="S133" i="1" s="1"/>
  <c r="H122" i="1"/>
  <c r="V122" i="1" s="1"/>
  <c r="H145" i="1"/>
  <c r="S145" i="1" s="1"/>
  <c r="H146" i="1"/>
  <c r="V146" i="1" s="1"/>
  <c r="H151" i="1"/>
  <c r="V151" i="1" s="1"/>
  <c r="H144" i="1"/>
  <c r="J129" i="1"/>
  <c r="R129" i="1" s="1"/>
  <c r="H134" i="1"/>
  <c r="V134" i="1" s="1"/>
  <c r="H147" i="1"/>
  <c r="V147" i="1" s="1"/>
  <c r="J125" i="1"/>
  <c r="S125" i="1" s="1"/>
  <c r="J127" i="1"/>
  <c r="H123" i="1"/>
  <c r="R123" i="1" s="1"/>
  <c r="H149" i="1"/>
  <c r="V149" i="1" s="1"/>
  <c r="H150" i="1"/>
  <c r="R150" i="1" s="1"/>
  <c r="J131" i="1"/>
  <c r="S131" i="1" s="1"/>
  <c r="H127" i="1"/>
  <c r="H148" i="1"/>
  <c r="J124" i="1"/>
  <c r="S124" i="1" s="1"/>
  <c r="J128" i="1"/>
  <c r="R128" i="1" s="1"/>
  <c r="H126" i="1"/>
  <c r="S126" i="1" s="1"/>
  <c r="J135" i="1"/>
  <c r="S135" i="1" s="1"/>
  <c r="H143" i="1"/>
  <c r="V143" i="1" s="1"/>
  <c r="J132" i="1"/>
  <c r="S132" i="1" s="1"/>
  <c r="S140" i="1"/>
  <c r="V140" i="1"/>
  <c r="R140" i="1"/>
  <c r="C41" i="2"/>
  <c r="V133" i="1" l="1"/>
  <c r="V135" i="1"/>
  <c r="V131" i="1"/>
  <c r="V129" i="1"/>
  <c r="V125" i="1"/>
  <c r="V132" i="1"/>
  <c r="V128" i="1"/>
  <c r="R141" i="1"/>
  <c r="S130" i="1"/>
  <c r="R132" i="1"/>
  <c r="R133" i="1"/>
  <c r="R122" i="1"/>
  <c r="S122" i="1"/>
  <c r="S142" i="1"/>
  <c r="R130" i="1"/>
  <c r="S151" i="1"/>
  <c r="V145" i="1"/>
  <c r="R145" i="1"/>
  <c r="R127" i="1"/>
  <c r="R134" i="1"/>
  <c r="S144" i="1"/>
  <c r="V144" i="1"/>
  <c r="R125" i="1"/>
  <c r="R149" i="1"/>
  <c r="V123" i="1"/>
  <c r="S134" i="1"/>
  <c r="S143" i="1"/>
  <c r="S147" i="1"/>
  <c r="R143" i="1"/>
  <c r="V126" i="1"/>
  <c r="R124" i="1"/>
  <c r="V127" i="1"/>
  <c r="S123" i="1"/>
  <c r="R144" i="1"/>
  <c r="S146" i="1"/>
  <c r="R126" i="1"/>
  <c r="V141" i="1"/>
  <c r="S127" i="1"/>
  <c r="S150" i="1"/>
  <c r="V150" i="1"/>
  <c r="R148" i="1"/>
  <c r="S148" i="1"/>
  <c r="S129" i="1"/>
  <c r="R146" i="1"/>
  <c r="S149" i="1"/>
  <c r="S128" i="1"/>
  <c r="V142" i="1"/>
  <c r="R135" i="1"/>
  <c r="V148" i="1"/>
  <c r="R131" i="1"/>
  <c r="R147" i="1"/>
  <c r="R151" i="1"/>
  <c r="C123" i="2"/>
  <c r="D123" i="2"/>
  <c r="C126" i="2"/>
  <c r="W158" i="1" l="1"/>
  <c r="W157" i="1"/>
  <c r="W156" i="1"/>
  <c r="F158" i="1"/>
  <c r="E158" i="1"/>
  <c r="D158" i="1"/>
  <c r="F157" i="1"/>
  <c r="E157" i="1"/>
  <c r="D157" i="1"/>
  <c r="F156" i="1"/>
  <c r="E156" i="1"/>
  <c r="D156" i="1"/>
  <c r="I157" i="1" l="1"/>
  <c r="J157" i="1" s="1"/>
  <c r="U157" i="1"/>
  <c r="I158" i="1"/>
  <c r="J158" i="1" s="1"/>
  <c r="U158" i="1"/>
  <c r="I156" i="1"/>
  <c r="J156" i="1" s="1"/>
  <c r="U156" i="1"/>
  <c r="G156" i="1"/>
  <c r="H156" i="1" s="1"/>
  <c r="G158" i="1"/>
  <c r="H158" i="1" s="1"/>
  <c r="G157" i="1"/>
  <c r="H157" i="1" s="1"/>
  <c r="R156" i="1" l="1"/>
  <c r="V156" i="1"/>
  <c r="S156" i="1"/>
  <c r="V157" i="1"/>
  <c r="S157" i="1"/>
  <c r="R157" i="1"/>
  <c r="R158" i="1"/>
  <c r="V158" i="1"/>
  <c r="S158" i="1"/>
  <c r="D115" i="2"/>
  <c r="C115" i="2"/>
  <c r="F96" i="2" l="1"/>
  <c r="D160" i="2"/>
  <c r="D158" i="2"/>
  <c r="C156" i="2"/>
  <c r="D155" i="2"/>
  <c r="C155" i="2"/>
  <c r="D152" i="2"/>
  <c r="C140" i="2"/>
  <c r="C139" i="2"/>
  <c r="D135" i="2"/>
  <c r="C135" i="2"/>
  <c r="D117" i="2"/>
  <c r="C117" i="2"/>
  <c r="C105" i="2"/>
  <c r="C104" i="2"/>
  <c r="C101" i="2"/>
  <c r="C100" i="2"/>
  <c r="D96" i="2"/>
  <c r="C94" i="2"/>
  <c r="D57" i="2"/>
  <c r="D56" i="2"/>
  <c r="F27" i="2"/>
  <c r="D27" i="2"/>
  <c r="F26" i="2"/>
  <c r="D26" i="2"/>
  <c r="C26" i="2"/>
  <c r="C27" i="2" s="1"/>
  <c r="E200" i="3" l="1"/>
  <c r="E202" i="3" s="1"/>
  <c r="C202" i="3" l="1"/>
  <c r="W28" i="1" l="1"/>
  <c r="F28" i="1"/>
  <c r="U28" i="1" s="1"/>
  <c r="E28" i="1"/>
  <c r="D28" i="1"/>
  <c r="I28" i="1" l="1"/>
  <c r="J28" i="1" s="1"/>
  <c r="G28" i="1"/>
  <c r="H28" i="1" s="1"/>
  <c r="W160" i="1"/>
  <c r="F160" i="1"/>
  <c r="E160" i="1"/>
  <c r="D160" i="1"/>
  <c r="W159" i="1"/>
  <c r="F159" i="1"/>
  <c r="E159" i="1"/>
  <c r="D159" i="1"/>
  <c r="W155" i="1"/>
  <c r="F155" i="1"/>
  <c r="E155" i="1"/>
  <c r="D155" i="1"/>
  <c r="W154" i="1"/>
  <c r="F154" i="1"/>
  <c r="E154" i="1"/>
  <c r="D154" i="1"/>
  <c r="W153" i="1"/>
  <c r="F153" i="1"/>
  <c r="U153" i="1" s="1"/>
  <c r="E153" i="1"/>
  <c r="D153" i="1"/>
  <c r="W152" i="1"/>
  <c r="F152" i="1"/>
  <c r="E152" i="1"/>
  <c r="D152" i="1"/>
  <c r="I152" i="1" l="1"/>
  <c r="J152" i="1" s="1"/>
  <c r="U152" i="1"/>
  <c r="I154" i="1"/>
  <c r="J154" i="1" s="1"/>
  <c r="U154" i="1"/>
  <c r="G155" i="1"/>
  <c r="H155" i="1" s="1"/>
  <c r="V155" i="1" s="1"/>
  <c r="U155" i="1"/>
  <c r="I159" i="1"/>
  <c r="J159" i="1" s="1"/>
  <c r="U159" i="1"/>
  <c r="G160" i="1"/>
  <c r="H160" i="1" s="1"/>
  <c r="V160" i="1" s="1"/>
  <c r="U160" i="1"/>
  <c r="S28" i="1"/>
  <c r="R28" i="1"/>
  <c r="V28" i="1"/>
  <c r="G154" i="1"/>
  <c r="I155" i="1"/>
  <c r="G153" i="1"/>
  <c r="I153" i="1"/>
  <c r="J153" i="1" s="1"/>
  <c r="G159" i="1"/>
  <c r="I160" i="1"/>
  <c r="G152" i="1"/>
  <c r="H152" i="1" l="1"/>
  <c r="V152" i="1" s="1"/>
  <c r="H153" i="1"/>
  <c r="V153" i="1" s="1"/>
  <c r="J160" i="1"/>
  <c r="S160" i="1" s="1"/>
  <c r="J155" i="1"/>
  <c r="S155" i="1" s="1"/>
  <c r="H159" i="1"/>
  <c r="R159" i="1" s="1"/>
  <c r="H154" i="1"/>
  <c r="S154" i="1" s="1"/>
  <c r="R160" i="1" l="1"/>
  <c r="R152" i="1"/>
  <c r="R153" i="1"/>
  <c r="S153" i="1"/>
  <c r="S152" i="1"/>
  <c r="S159" i="1"/>
  <c r="V159" i="1"/>
  <c r="R154" i="1"/>
  <c r="V154" i="1"/>
  <c r="R155" i="1"/>
  <c r="B1" i="4"/>
  <c r="F173" i="1" l="1"/>
  <c r="E173" i="1"/>
  <c r="D173" i="1"/>
  <c r="F170" i="1"/>
  <c r="E170" i="1"/>
  <c r="D170" i="1"/>
  <c r="I173" i="1" l="1"/>
  <c r="J173" i="1" s="1"/>
  <c r="U173" i="1"/>
  <c r="I170" i="1"/>
  <c r="J170" i="1" s="1"/>
  <c r="U170" i="1"/>
  <c r="G173" i="1"/>
  <c r="H173" i="1" s="1"/>
  <c r="G170" i="1"/>
  <c r="W170" i="1"/>
  <c r="H170" i="1" l="1"/>
  <c r="V170" i="1" s="1"/>
  <c r="S170" i="1" l="1"/>
  <c r="R170" i="1"/>
  <c r="R173" i="1"/>
  <c r="S173" i="1"/>
  <c r="V173" i="1"/>
  <c r="W173" i="1"/>
  <c r="D120" i="1" l="1"/>
  <c r="E120" i="1"/>
  <c r="F120" i="1"/>
  <c r="D121" i="1"/>
  <c r="E121" i="1"/>
  <c r="F121" i="1"/>
  <c r="D136" i="1"/>
  <c r="E136" i="1"/>
  <c r="F136" i="1"/>
  <c r="W120" i="1"/>
  <c r="W121" i="1"/>
  <c r="W136" i="1"/>
  <c r="I120" i="1" l="1"/>
  <c r="J120" i="1" s="1"/>
  <c r="U120" i="1"/>
  <c r="G121" i="1"/>
  <c r="H121" i="1" s="1"/>
  <c r="V121" i="1" s="1"/>
  <c r="U121" i="1"/>
  <c r="G136" i="1"/>
  <c r="H136" i="1" s="1"/>
  <c r="V136" i="1" s="1"/>
  <c r="U136" i="1"/>
  <c r="I136" i="1"/>
  <c r="I121" i="1"/>
  <c r="G120" i="1"/>
  <c r="G1" i="1"/>
  <c r="J136" i="1" l="1"/>
  <c r="R136" i="1" s="1"/>
  <c r="J121" i="1"/>
  <c r="R121" i="1" s="1"/>
  <c r="H120" i="1"/>
  <c r="V120" i="1" s="1"/>
  <c r="S120" i="1" l="1"/>
  <c r="S136" i="1"/>
  <c r="S121" i="1"/>
  <c r="R120" i="1"/>
  <c r="F5" i="4"/>
  <c r="V177" i="1"/>
  <c r="F161" i="1"/>
  <c r="E161" i="1"/>
  <c r="D161" i="1"/>
  <c r="F139" i="1"/>
  <c r="E139" i="1"/>
  <c r="D139" i="1"/>
  <c r="F138" i="1"/>
  <c r="E138" i="1"/>
  <c r="D138" i="1"/>
  <c r="W161" i="1"/>
  <c r="W139" i="1"/>
  <c r="W138" i="1"/>
  <c r="I138" i="1" l="1"/>
  <c r="J138" i="1" s="1"/>
  <c r="U138" i="1"/>
  <c r="I139" i="1"/>
  <c r="J139" i="1" s="1"/>
  <c r="U139" i="1"/>
  <c r="I161" i="1"/>
  <c r="J161" i="1" s="1"/>
  <c r="U161" i="1"/>
  <c r="F4" i="4"/>
  <c r="G138" i="1"/>
  <c r="H138" i="1" s="1"/>
  <c r="G161" i="1"/>
  <c r="H161" i="1" s="1"/>
  <c r="G139" i="1"/>
  <c r="H139" i="1" s="1"/>
  <c r="V161" i="1" l="1"/>
  <c r="S161" i="1"/>
  <c r="R161" i="1"/>
  <c r="R139" i="1"/>
  <c r="V139" i="1"/>
  <c r="S139" i="1"/>
  <c r="V138" i="1"/>
  <c r="S138" i="1"/>
  <c r="R138" i="1"/>
  <c r="W175" i="1" l="1"/>
  <c r="W174" i="1"/>
  <c r="F176" i="1"/>
  <c r="I176" i="1" s="1"/>
  <c r="J176" i="1" s="1"/>
  <c r="E176" i="1"/>
  <c r="D176" i="1"/>
  <c r="G176" i="1" l="1"/>
  <c r="H176" i="1" s="1"/>
  <c r="B179" i="1"/>
  <c r="W172" i="1" l="1"/>
  <c r="W171" i="1"/>
  <c r="W137"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7" i="1"/>
  <c r="W26" i="1"/>
  <c r="W25" i="1"/>
  <c r="W24" i="1"/>
  <c r="W23" i="1"/>
  <c r="W22" i="1"/>
  <c r="W21" i="1"/>
  <c r="W20" i="1"/>
  <c r="W19" i="1"/>
  <c r="W18" i="1"/>
  <c r="W17" i="1"/>
  <c r="W16" i="1"/>
  <c r="W15" i="1"/>
  <c r="W14" i="1"/>
  <c r="W13" i="1"/>
  <c r="W12" i="1"/>
  <c r="W11" i="1"/>
  <c r="W10" i="1"/>
  <c r="W9" i="1"/>
  <c r="F177" i="1" l="1"/>
  <c r="F175" i="1"/>
  <c r="F174" i="1"/>
  <c r="U174" i="1" s="1"/>
  <c r="F172" i="1"/>
  <c r="U172" i="1" s="1"/>
  <c r="F171" i="1"/>
  <c r="U171" i="1" s="1"/>
  <c r="F137" i="1"/>
  <c r="U137" i="1" s="1"/>
  <c r="F119" i="1"/>
  <c r="U119" i="1" s="1"/>
  <c r="F118" i="1"/>
  <c r="U118" i="1" s="1"/>
  <c r="F117" i="1"/>
  <c r="U117" i="1" s="1"/>
  <c r="F116" i="1"/>
  <c r="U116" i="1" s="1"/>
  <c r="F115" i="1"/>
  <c r="U115" i="1" s="1"/>
  <c r="F114" i="1"/>
  <c r="U114" i="1" s="1"/>
  <c r="F113" i="1"/>
  <c r="U113" i="1" s="1"/>
  <c r="F112" i="1"/>
  <c r="U112" i="1" s="1"/>
  <c r="F111" i="1"/>
  <c r="U111" i="1" s="1"/>
  <c r="F110" i="1"/>
  <c r="U110" i="1" s="1"/>
  <c r="F109" i="1"/>
  <c r="U109" i="1" s="1"/>
  <c r="F108" i="1"/>
  <c r="U108" i="1" s="1"/>
  <c r="F107" i="1"/>
  <c r="U107" i="1" s="1"/>
  <c r="F106" i="1"/>
  <c r="U106" i="1" s="1"/>
  <c r="F105" i="1"/>
  <c r="U105" i="1" s="1"/>
  <c r="F104" i="1"/>
  <c r="U104" i="1" s="1"/>
  <c r="F103" i="1"/>
  <c r="U103" i="1" s="1"/>
  <c r="F102" i="1"/>
  <c r="U102" i="1" s="1"/>
  <c r="F101" i="1"/>
  <c r="U101" i="1" s="1"/>
  <c r="F100" i="1"/>
  <c r="U100" i="1" s="1"/>
  <c r="F99" i="1"/>
  <c r="U99" i="1" s="1"/>
  <c r="F98" i="1"/>
  <c r="U98" i="1" s="1"/>
  <c r="F97" i="1"/>
  <c r="U97" i="1" s="1"/>
  <c r="F96" i="1"/>
  <c r="U96" i="1" s="1"/>
  <c r="F95" i="1"/>
  <c r="U95" i="1" s="1"/>
  <c r="F94" i="1"/>
  <c r="U94" i="1" s="1"/>
  <c r="F93" i="1"/>
  <c r="U93" i="1" s="1"/>
  <c r="F92" i="1"/>
  <c r="U92" i="1" s="1"/>
  <c r="F91" i="1"/>
  <c r="U91" i="1" s="1"/>
  <c r="F90" i="1"/>
  <c r="U90" i="1" s="1"/>
  <c r="F89" i="1"/>
  <c r="U89" i="1" s="1"/>
  <c r="F88" i="1"/>
  <c r="U88" i="1" s="1"/>
  <c r="F87" i="1"/>
  <c r="U87" i="1" s="1"/>
  <c r="F86" i="1"/>
  <c r="U86" i="1" s="1"/>
  <c r="F85" i="1"/>
  <c r="U85" i="1" s="1"/>
  <c r="F84" i="1"/>
  <c r="U84" i="1" s="1"/>
  <c r="F83" i="1"/>
  <c r="U83" i="1" s="1"/>
  <c r="F82" i="1"/>
  <c r="U82" i="1" s="1"/>
  <c r="F81" i="1"/>
  <c r="U81" i="1" s="1"/>
  <c r="F80" i="1"/>
  <c r="U80" i="1" s="1"/>
  <c r="F79" i="1"/>
  <c r="U79" i="1" s="1"/>
  <c r="F78" i="1"/>
  <c r="U78" i="1" s="1"/>
  <c r="F77" i="1"/>
  <c r="U77" i="1" s="1"/>
  <c r="F76" i="1"/>
  <c r="U76" i="1" s="1"/>
  <c r="F75" i="1"/>
  <c r="U75" i="1" s="1"/>
  <c r="F74" i="1"/>
  <c r="U74" i="1" s="1"/>
  <c r="F73" i="1"/>
  <c r="U73" i="1" s="1"/>
  <c r="F72" i="1"/>
  <c r="U72" i="1" s="1"/>
  <c r="F71" i="1"/>
  <c r="U71" i="1" s="1"/>
  <c r="F70" i="1"/>
  <c r="U70" i="1" s="1"/>
  <c r="F69" i="1"/>
  <c r="U69" i="1" s="1"/>
  <c r="F68" i="1"/>
  <c r="U68" i="1" s="1"/>
  <c r="F67" i="1"/>
  <c r="U67" i="1" s="1"/>
  <c r="F66" i="1"/>
  <c r="U66" i="1" s="1"/>
  <c r="F65" i="1"/>
  <c r="U65" i="1" s="1"/>
  <c r="F64" i="1"/>
  <c r="U64" i="1" s="1"/>
  <c r="F63" i="1"/>
  <c r="U63" i="1" s="1"/>
  <c r="F62" i="1"/>
  <c r="U62" i="1" s="1"/>
  <c r="F61" i="1"/>
  <c r="U61" i="1" s="1"/>
  <c r="F60" i="1"/>
  <c r="U60" i="1" s="1"/>
  <c r="F59" i="1"/>
  <c r="U59" i="1" s="1"/>
  <c r="F58" i="1"/>
  <c r="U58" i="1" s="1"/>
  <c r="F57" i="1"/>
  <c r="U57" i="1" s="1"/>
  <c r="F56" i="1"/>
  <c r="U56" i="1" s="1"/>
  <c r="F55" i="1"/>
  <c r="U55" i="1" s="1"/>
  <c r="F54" i="1"/>
  <c r="U54" i="1" s="1"/>
  <c r="F53" i="1"/>
  <c r="U53" i="1" s="1"/>
  <c r="F52" i="1"/>
  <c r="U52" i="1" s="1"/>
  <c r="F51" i="1"/>
  <c r="U51" i="1" s="1"/>
  <c r="F50" i="1"/>
  <c r="U50" i="1" s="1"/>
  <c r="F49" i="1"/>
  <c r="U49" i="1" s="1"/>
  <c r="F48" i="1"/>
  <c r="U48" i="1" s="1"/>
  <c r="F47" i="1"/>
  <c r="U47" i="1" s="1"/>
  <c r="F46" i="1"/>
  <c r="U46" i="1" s="1"/>
  <c r="F45" i="1"/>
  <c r="U45" i="1" s="1"/>
  <c r="F44" i="1"/>
  <c r="U44" i="1" s="1"/>
  <c r="F43" i="1"/>
  <c r="U43" i="1" s="1"/>
  <c r="F42" i="1"/>
  <c r="U42" i="1" s="1"/>
  <c r="F41" i="1"/>
  <c r="U41" i="1" s="1"/>
  <c r="F40" i="1"/>
  <c r="U40" i="1" s="1"/>
  <c r="F39" i="1"/>
  <c r="U39" i="1" s="1"/>
  <c r="F38" i="1"/>
  <c r="U38" i="1" s="1"/>
  <c r="F37" i="1"/>
  <c r="U37" i="1" s="1"/>
  <c r="F36" i="1"/>
  <c r="U36" i="1" s="1"/>
  <c r="F35" i="1"/>
  <c r="U35" i="1" s="1"/>
  <c r="F34" i="1"/>
  <c r="U34" i="1" s="1"/>
  <c r="F33" i="1"/>
  <c r="U33" i="1" s="1"/>
  <c r="F32" i="1"/>
  <c r="U32" i="1" s="1"/>
  <c r="F31" i="1"/>
  <c r="U31" i="1" s="1"/>
  <c r="F30" i="1"/>
  <c r="U30" i="1" s="1"/>
  <c r="F29" i="1"/>
  <c r="U29" i="1" s="1"/>
  <c r="F27" i="1"/>
  <c r="U27" i="1" s="1"/>
  <c r="F26" i="1"/>
  <c r="U26" i="1" s="1"/>
  <c r="F25" i="1"/>
  <c r="U25" i="1" s="1"/>
  <c r="F24" i="1"/>
  <c r="U24" i="1" s="1"/>
  <c r="F23" i="1"/>
  <c r="U23" i="1" s="1"/>
  <c r="F22" i="1"/>
  <c r="U22" i="1" s="1"/>
  <c r="F21" i="1"/>
  <c r="U21" i="1" s="1"/>
  <c r="F20" i="1"/>
  <c r="U20" i="1" s="1"/>
  <c r="F19" i="1"/>
  <c r="U19" i="1" s="1"/>
  <c r="F18" i="1"/>
  <c r="U18" i="1" s="1"/>
  <c r="F17" i="1"/>
  <c r="U17" i="1" s="1"/>
  <c r="F16" i="1"/>
  <c r="U16" i="1" s="1"/>
  <c r="F15" i="1"/>
  <c r="U15" i="1" s="1"/>
  <c r="F14" i="1"/>
  <c r="U14" i="1" s="1"/>
  <c r="F13" i="1"/>
  <c r="U13" i="1" s="1"/>
  <c r="F12" i="1"/>
  <c r="U12" i="1" s="1"/>
  <c r="F11" i="1"/>
  <c r="U11" i="1" s="1"/>
  <c r="F10" i="1"/>
  <c r="U10" i="1" s="1"/>
  <c r="F9" i="1"/>
  <c r="U9" i="1" s="1"/>
  <c r="U175" i="1" l="1"/>
  <c r="I175" i="1"/>
  <c r="J175" i="1" s="1"/>
  <c r="E175" i="1"/>
  <c r="D175" i="1"/>
  <c r="I174" i="1"/>
  <c r="J174" i="1" s="1"/>
  <c r="E174" i="1"/>
  <c r="D174" i="1"/>
  <c r="G175" i="1" l="1"/>
  <c r="H175" i="1" s="1"/>
  <c r="G174" i="1"/>
  <c r="H174" i="1" s="1"/>
  <c r="B2" i="4"/>
  <c r="C2" i="4"/>
  <c r="K2" i="4"/>
  <c r="C3" i="4"/>
  <c r="J3" i="4"/>
  <c r="C4" i="4"/>
  <c r="B5" i="4"/>
  <c r="G3" i="1"/>
  <c r="D9" i="1"/>
  <c r="E9" i="1"/>
  <c r="G9" i="1"/>
  <c r="H9" i="1" s="1"/>
  <c r="D10" i="1"/>
  <c r="E10" i="1"/>
  <c r="G10" i="1"/>
  <c r="D11" i="1"/>
  <c r="E11" i="1"/>
  <c r="G11" i="1"/>
  <c r="D12" i="1"/>
  <c r="E12" i="1"/>
  <c r="G12" i="1"/>
  <c r="D13" i="1"/>
  <c r="E13" i="1"/>
  <c r="G13" i="1"/>
  <c r="D14" i="1"/>
  <c r="E14" i="1"/>
  <c r="G14" i="1"/>
  <c r="D15" i="1"/>
  <c r="E15" i="1"/>
  <c r="G15" i="1"/>
  <c r="D16" i="1"/>
  <c r="E16" i="1"/>
  <c r="G16" i="1"/>
  <c r="D17" i="1"/>
  <c r="E17" i="1"/>
  <c r="G17" i="1"/>
  <c r="D18" i="1"/>
  <c r="E18" i="1"/>
  <c r="G18" i="1"/>
  <c r="D19" i="1"/>
  <c r="E19" i="1"/>
  <c r="G19" i="1"/>
  <c r="D20" i="1"/>
  <c r="E20" i="1"/>
  <c r="G20" i="1"/>
  <c r="D21" i="1"/>
  <c r="E21" i="1"/>
  <c r="G21" i="1"/>
  <c r="D22" i="1"/>
  <c r="E22" i="1"/>
  <c r="G22" i="1"/>
  <c r="D23" i="1"/>
  <c r="E23" i="1"/>
  <c r="G23" i="1"/>
  <c r="D24" i="1"/>
  <c r="E24" i="1"/>
  <c r="G24" i="1"/>
  <c r="D25" i="1"/>
  <c r="E25" i="1"/>
  <c r="G25" i="1"/>
  <c r="D26" i="1"/>
  <c r="E26" i="1"/>
  <c r="G26" i="1"/>
  <c r="D27" i="1"/>
  <c r="E27" i="1"/>
  <c r="D29" i="1"/>
  <c r="E29" i="1"/>
  <c r="G29" i="1"/>
  <c r="D30" i="1"/>
  <c r="E30" i="1"/>
  <c r="D31" i="1"/>
  <c r="E31" i="1"/>
  <c r="G31" i="1"/>
  <c r="D32" i="1"/>
  <c r="E32" i="1"/>
  <c r="G32" i="1"/>
  <c r="D33" i="1"/>
  <c r="E33" i="1"/>
  <c r="G33" i="1"/>
  <c r="D34" i="1"/>
  <c r="E34" i="1"/>
  <c r="G34" i="1"/>
  <c r="D35" i="1"/>
  <c r="E35" i="1"/>
  <c r="G35" i="1"/>
  <c r="D36" i="1"/>
  <c r="E36" i="1"/>
  <c r="G36" i="1"/>
  <c r="D37" i="1"/>
  <c r="E37" i="1"/>
  <c r="G37" i="1"/>
  <c r="D38" i="1"/>
  <c r="E38" i="1"/>
  <c r="G38" i="1"/>
  <c r="D39" i="1"/>
  <c r="E39" i="1"/>
  <c r="G39" i="1"/>
  <c r="D40" i="1"/>
  <c r="E40" i="1"/>
  <c r="G40" i="1"/>
  <c r="D41" i="1"/>
  <c r="E41" i="1"/>
  <c r="G41" i="1"/>
  <c r="D42" i="1"/>
  <c r="E42" i="1"/>
  <c r="G42" i="1"/>
  <c r="D43" i="1"/>
  <c r="E43" i="1"/>
  <c r="G43" i="1"/>
  <c r="D44" i="1"/>
  <c r="E44" i="1"/>
  <c r="G44" i="1"/>
  <c r="D45" i="1"/>
  <c r="E45" i="1"/>
  <c r="G45" i="1"/>
  <c r="D46" i="1"/>
  <c r="E46" i="1"/>
  <c r="G46" i="1"/>
  <c r="D47" i="1"/>
  <c r="E47" i="1"/>
  <c r="G47" i="1"/>
  <c r="D48" i="1"/>
  <c r="E48" i="1"/>
  <c r="G48" i="1"/>
  <c r="D49" i="1"/>
  <c r="E49" i="1"/>
  <c r="G49" i="1"/>
  <c r="D50" i="1"/>
  <c r="E50" i="1"/>
  <c r="G50" i="1"/>
  <c r="D51" i="1"/>
  <c r="E51" i="1"/>
  <c r="G51" i="1"/>
  <c r="D52" i="1"/>
  <c r="E52" i="1"/>
  <c r="G52" i="1"/>
  <c r="D53" i="1"/>
  <c r="E53" i="1"/>
  <c r="G53" i="1"/>
  <c r="D54" i="1"/>
  <c r="E54" i="1"/>
  <c r="G54" i="1"/>
  <c r="D55" i="1"/>
  <c r="E55" i="1"/>
  <c r="G55" i="1"/>
  <c r="D56" i="1"/>
  <c r="E56" i="1"/>
  <c r="G56" i="1"/>
  <c r="D57" i="1"/>
  <c r="E57" i="1"/>
  <c r="G57" i="1"/>
  <c r="D58" i="1"/>
  <c r="E58" i="1"/>
  <c r="G58" i="1"/>
  <c r="D59" i="1"/>
  <c r="E59" i="1"/>
  <c r="G59" i="1"/>
  <c r="D60" i="1"/>
  <c r="E60" i="1"/>
  <c r="G60" i="1"/>
  <c r="D61" i="1"/>
  <c r="E61" i="1"/>
  <c r="G61" i="1"/>
  <c r="D62" i="1"/>
  <c r="E62" i="1"/>
  <c r="G62" i="1"/>
  <c r="D63" i="1"/>
  <c r="E63" i="1"/>
  <c r="D64" i="1"/>
  <c r="E64" i="1"/>
  <c r="I64" i="1"/>
  <c r="J64" i="1" s="1"/>
  <c r="D65" i="1"/>
  <c r="E65" i="1"/>
  <c r="D66" i="1"/>
  <c r="E66" i="1"/>
  <c r="G66" i="1"/>
  <c r="D67" i="1"/>
  <c r="E67" i="1"/>
  <c r="D68" i="1"/>
  <c r="E68" i="1"/>
  <c r="I68" i="1"/>
  <c r="J68" i="1" s="1"/>
  <c r="D69" i="1"/>
  <c r="E69" i="1"/>
  <c r="D70" i="1"/>
  <c r="E70" i="1"/>
  <c r="G70" i="1"/>
  <c r="D71" i="1"/>
  <c r="E71" i="1"/>
  <c r="D72" i="1"/>
  <c r="E72" i="1"/>
  <c r="I72" i="1"/>
  <c r="J72" i="1" s="1"/>
  <c r="D73" i="1"/>
  <c r="E73" i="1"/>
  <c r="I73" i="1"/>
  <c r="J73" i="1" s="1"/>
  <c r="D74" i="1"/>
  <c r="E74" i="1"/>
  <c r="G74" i="1"/>
  <c r="D75" i="1"/>
  <c r="E75" i="1"/>
  <c r="G75" i="1"/>
  <c r="D76" i="1"/>
  <c r="E76" i="1"/>
  <c r="G76" i="1"/>
  <c r="D77" i="1"/>
  <c r="E77" i="1"/>
  <c r="G77" i="1"/>
  <c r="D78" i="1"/>
  <c r="E78" i="1"/>
  <c r="G78" i="1"/>
  <c r="D79" i="1"/>
  <c r="E79" i="1"/>
  <c r="I79" i="1"/>
  <c r="J79" i="1" s="1"/>
  <c r="D80" i="1"/>
  <c r="E80" i="1"/>
  <c r="G80" i="1"/>
  <c r="D81" i="1"/>
  <c r="E81" i="1"/>
  <c r="D82" i="1"/>
  <c r="E82" i="1"/>
  <c r="G82" i="1"/>
  <c r="D83" i="1"/>
  <c r="E83" i="1"/>
  <c r="G83" i="1"/>
  <c r="D84" i="1"/>
  <c r="E84" i="1"/>
  <c r="G84" i="1"/>
  <c r="D85" i="1"/>
  <c r="E85" i="1"/>
  <c r="D86" i="1"/>
  <c r="E86" i="1"/>
  <c r="G86" i="1"/>
  <c r="D87" i="1"/>
  <c r="E87" i="1"/>
  <c r="G87" i="1"/>
  <c r="D88" i="1"/>
  <c r="E88" i="1"/>
  <c r="G88" i="1"/>
  <c r="D89" i="1"/>
  <c r="E89" i="1"/>
  <c r="G89" i="1"/>
  <c r="D90" i="1"/>
  <c r="E90" i="1"/>
  <c r="G90" i="1"/>
  <c r="D91" i="1"/>
  <c r="E91" i="1"/>
  <c r="G91" i="1"/>
  <c r="D92" i="1"/>
  <c r="E92" i="1"/>
  <c r="G92" i="1"/>
  <c r="D93" i="1"/>
  <c r="E93" i="1"/>
  <c r="G93" i="1"/>
  <c r="D94" i="1"/>
  <c r="E94" i="1"/>
  <c r="G94" i="1"/>
  <c r="D95" i="1"/>
  <c r="E95" i="1"/>
  <c r="G95" i="1"/>
  <c r="D96" i="1"/>
  <c r="E96" i="1"/>
  <c r="G96" i="1"/>
  <c r="D97" i="1"/>
  <c r="E97" i="1"/>
  <c r="G97" i="1"/>
  <c r="D98" i="1"/>
  <c r="E98" i="1"/>
  <c r="G98" i="1"/>
  <c r="D99" i="1"/>
  <c r="E99" i="1"/>
  <c r="G99" i="1"/>
  <c r="D100" i="1"/>
  <c r="E100" i="1"/>
  <c r="G100" i="1"/>
  <c r="D101" i="1"/>
  <c r="E101" i="1"/>
  <c r="G101" i="1"/>
  <c r="D102" i="1"/>
  <c r="E102" i="1"/>
  <c r="I102" i="1"/>
  <c r="J102" i="1" s="1"/>
  <c r="D103" i="1"/>
  <c r="E103" i="1"/>
  <c r="G103" i="1"/>
  <c r="D104" i="1"/>
  <c r="E104" i="1"/>
  <c r="I104" i="1"/>
  <c r="J104" i="1" s="1"/>
  <c r="D105" i="1"/>
  <c r="E105" i="1"/>
  <c r="G105" i="1"/>
  <c r="D106" i="1"/>
  <c r="E106" i="1"/>
  <c r="G106" i="1"/>
  <c r="D107" i="1"/>
  <c r="E107" i="1"/>
  <c r="G107" i="1"/>
  <c r="D108" i="1"/>
  <c r="E108" i="1"/>
  <c r="G108" i="1"/>
  <c r="D109" i="1"/>
  <c r="E109" i="1"/>
  <c r="G109" i="1"/>
  <c r="D110" i="1"/>
  <c r="E110" i="1"/>
  <c r="G110" i="1"/>
  <c r="D111" i="1"/>
  <c r="E111" i="1"/>
  <c r="G111" i="1"/>
  <c r="D112" i="1"/>
  <c r="E112" i="1"/>
  <c r="G112" i="1"/>
  <c r="D113" i="1"/>
  <c r="E113" i="1"/>
  <c r="G113" i="1"/>
  <c r="D114" i="1"/>
  <c r="E114" i="1"/>
  <c r="G114" i="1"/>
  <c r="D115" i="1"/>
  <c r="E115" i="1"/>
  <c r="G115" i="1"/>
  <c r="D116" i="1"/>
  <c r="E116" i="1"/>
  <c r="G116" i="1"/>
  <c r="D117" i="1"/>
  <c r="E117" i="1"/>
  <c r="G117" i="1"/>
  <c r="D118" i="1"/>
  <c r="E118" i="1"/>
  <c r="G118" i="1"/>
  <c r="D119" i="1"/>
  <c r="E119" i="1"/>
  <c r="G119" i="1"/>
  <c r="D137" i="1"/>
  <c r="E137" i="1"/>
  <c r="G137" i="1"/>
  <c r="D171" i="1"/>
  <c r="E171" i="1"/>
  <c r="G171" i="1"/>
  <c r="D172" i="1"/>
  <c r="E172" i="1"/>
  <c r="G172" i="1"/>
  <c r="D177" i="1"/>
  <c r="E177" i="1"/>
  <c r="G177" i="1"/>
  <c r="H177" i="1" s="1"/>
  <c r="I96" i="1"/>
  <c r="J96" i="1" s="1"/>
  <c r="I92" i="1"/>
  <c r="J92" i="1" s="1"/>
  <c r="I90" i="1"/>
  <c r="J90" i="1" s="1"/>
  <c r="I88" i="1"/>
  <c r="J88" i="1" s="1"/>
  <c r="I86" i="1"/>
  <c r="J86" i="1" s="1"/>
  <c r="I84" i="1"/>
  <c r="J84" i="1" s="1"/>
  <c r="I82" i="1"/>
  <c r="J82" i="1" s="1"/>
  <c r="I80" i="1"/>
  <c r="J80" i="1" s="1"/>
  <c r="I78" i="1"/>
  <c r="J78" i="1" s="1"/>
  <c r="I76" i="1"/>
  <c r="J76" i="1" s="1"/>
  <c r="I74" i="1"/>
  <c r="J74" i="1" s="1"/>
  <c r="G71" i="1"/>
  <c r="I71" i="1"/>
  <c r="J71" i="1" s="1"/>
  <c r="G69" i="1"/>
  <c r="I69" i="1"/>
  <c r="J69" i="1" s="1"/>
  <c r="G67" i="1"/>
  <c r="I67" i="1"/>
  <c r="J67" i="1" s="1"/>
  <c r="G65" i="1"/>
  <c r="H65" i="1" s="1"/>
  <c r="I65" i="1"/>
  <c r="J65" i="1" s="1"/>
  <c r="G63" i="1"/>
  <c r="I63" i="1"/>
  <c r="J63" i="1" s="1"/>
  <c r="I61" i="1"/>
  <c r="J61" i="1" s="1"/>
  <c r="I59" i="1"/>
  <c r="J59" i="1" s="1"/>
  <c r="I57" i="1"/>
  <c r="J57" i="1" s="1"/>
  <c r="I55" i="1"/>
  <c r="J55" i="1" s="1"/>
  <c r="I53" i="1"/>
  <c r="J53" i="1" s="1"/>
  <c r="I51" i="1"/>
  <c r="I49" i="1"/>
  <c r="J49" i="1" s="1"/>
  <c r="I47" i="1"/>
  <c r="J47" i="1" s="1"/>
  <c r="I45" i="1"/>
  <c r="J45" i="1" s="1"/>
  <c r="I43" i="1"/>
  <c r="J43" i="1" s="1"/>
  <c r="I41" i="1"/>
  <c r="J41" i="1" s="1"/>
  <c r="I39" i="1"/>
  <c r="J39" i="1" s="1"/>
  <c r="I37" i="1"/>
  <c r="J37" i="1" s="1"/>
  <c r="I35" i="1"/>
  <c r="J35" i="1" s="1"/>
  <c r="I33" i="1"/>
  <c r="J33" i="1" s="1"/>
  <c r="G30" i="1"/>
  <c r="I30" i="1"/>
  <c r="J30" i="1" s="1"/>
  <c r="G27" i="1"/>
  <c r="H27" i="1" s="1"/>
  <c r="I27" i="1"/>
  <c r="J27" i="1" s="1"/>
  <c r="I25" i="1"/>
  <c r="J25" i="1" s="1"/>
  <c r="I23" i="1"/>
  <c r="J23" i="1" s="1"/>
  <c r="I21" i="1"/>
  <c r="J21" i="1" s="1"/>
  <c r="I19" i="1"/>
  <c r="J19" i="1" s="1"/>
  <c r="I17" i="1"/>
  <c r="J17" i="1" s="1"/>
  <c r="I15" i="1"/>
  <c r="J15" i="1" s="1"/>
  <c r="I13" i="1"/>
  <c r="J13" i="1" s="1"/>
  <c r="I11" i="1"/>
  <c r="J11" i="1" s="1"/>
  <c r="I9" i="1"/>
  <c r="J9" i="1" s="1"/>
  <c r="I114" i="1"/>
  <c r="J114" i="1" s="1"/>
  <c r="I116" i="1"/>
  <c r="J116" i="1" s="1"/>
  <c r="G102" i="1"/>
  <c r="H102" i="1" s="1"/>
  <c r="I83" i="1"/>
  <c r="J83" i="1" s="1"/>
  <c r="I87" i="1"/>
  <c r="J87" i="1" s="1"/>
  <c r="I40" i="1"/>
  <c r="J40" i="1" s="1"/>
  <c r="I16" i="1"/>
  <c r="J16" i="1" s="1"/>
  <c r="I14" i="1"/>
  <c r="J14" i="1" s="1"/>
  <c r="I12" i="1"/>
  <c r="J12" i="1" s="1"/>
  <c r="I10" i="1"/>
  <c r="J10" i="1" s="1"/>
  <c r="I99" i="1"/>
  <c r="J99" i="1" s="1"/>
  <c r="I115" i="1"/>
  <c r="J115" i="1" s="1"/>
  <c r="I66" i="1"/>
  <c r="J66" i="1" s="1"/>
  <c r="I26" i="1"/>
  <c r="J26" i="1" s="1"/>
  <c r="I24" i="1"/>
  <c r="J24" i="1" s="1"/>
  <c r="I103" i="1"/>
  <c r="J103" i="1" s="1"/>
  <c r="I97" i="1"/>
  <c r="J97" i="1" s="1"/>
  <c r="I54" i="1"/>
  <c r="J54" i="1" s="1"/>
  <c r="I50" i="1"/>
  <c r="I109" i="1"/>
  <c r="J109" i="1" s="1"/>
  <c r="I75" i="1"/>
  <c r="J75" i="1" s="1"/>
  <c r="I70" i="1"/>
  <c r="J70" i="1" s="1"/>
  <c r="I62" i="1"/>
  <c r="J62" i="1" s="1"/>
  <c r="I44" i="1"/>
  <c r="J44" i="1" s="1"/>
  <c r="I22" i="1"/>
  <c r="J22" i="1" s="1"/>
  <c r="I172" i="1"/>
  <c r="J172" i="1" s="1"/>
  <c r="I177" i="1"/>
  <c r="J177" i="1" s="1"/>
  <c r="I119" i="1"/>
  <c r="J119" i="1" s="1"/>
  <c r="I111" i="1"/>
  <c r="J111" i="1" s="1"/>
  <c r="I105" i="1"/>
  <c r="J105" i="1" s="1"/>
  <c r="I101" i="1"/>
  <c r="J101" i="1" s="1"/>
  <c r="I91" i="1"/>
  <c r="J91" i="1" s="1"/>
  <c r="I77" i="1"/>
  <c r="J77" i="1" s="1"/>
  <c r="I56" i="1"/>
  <c r="J56" i="1" s="1"/>
  <c r="I48" i="1"/>
  <c r="J48" i="1" s="1"/>
  <c r="I42" i="1"/>
  <c r="J42" i="1" s="1"/>
  <c r="I36" i="1"/>
  <c r="J36" i="1" s="1"/>
  <c r="I29" i="1"/>
  <c r="J29" i="1" s="1"/>
  <c r="I110" i="1"/>
  <c r="J110" i="1" s="1"/>
  <c r="I112" i="1"/>
  <c r="J112" i="1" s="1"/>
  <c r="I137" i="1"/>
  <c r="J137" i="1" s="1"/>
  <c r="I171" i="1"/>
  <c r="J171" i="1" s="1"/>
  <c r="I117" i="1"/>
  <c r="J117" i="1" s="1"/>
  <c r="I113" i="1"/>
  <c r="J113" i="1" s="1"/>
  <c r="I93" i="1"/>
  <c r="I58" i="1"/>
  <c r="J58" i="1" s="1"/>
  <c r="I18" i="1"/>
  <c r="J18" i="1" s="1"/>
  <c r="I32" i="1"/>
  <c r="J32" i="1" s="1"/>
  <c r="I31" i="1"/>
  <c r="J31" i="1" s="1"/>
  <c r="I118" i="1"/>
  <c r="J118" i="1" s="1"/>
  <c r="I107" i="1"/>
  <c r="J107" i="1" s="1"/>
  <c r="I95" i="1"/>
  <c r="J95" i="1" s="1"/>
  <c r="I89" i="1"/>
  <c r="J89" i="1" s="1"/>
  <c r="G81" i="1"/>
  <c r="I81" i="1"/>
  <c r="J81" i="1" s="1"/>
  <c r="G85" i="1"/>
  <c r="I85" i="1"/>
  <c r="J85" i="1" s="1"/>
  <c r="G79" i="1"/>
  <c r="H79" i="1" s="1"/>
  <c r="G73" i="1"/>
  <c r="G72" i="1"/>
  <c r="G68" i="1"/>
  <c r="G64" i="1"/>
  <c r="I60" i="1"/>
  <c r="J60" i="1" s="1"/>
  <c r="I52" i="1"/>
  <c r="J52" i="1" s="1"/>
  <c r="I46" i="1"/>
  <c r="J46" i="1" s="1"/>
  <c r="I38" i="1"/>
  <c r="J38" i="1" s="1"/>
  <c r="I34" i="1"/>
  <c r="I20" i="1"/>
  <c r="J20" i="1" s="1"/>
  <c r="I94" i="1"/>
  <c r="J94" i="1" s="1"/>
  <c r="I98" i="1"/>
  <c r="J98" i="1" s="1"/>
  <c r="I106" i="1"/>
  <c r="J106" i="1" s="1"/>
  <c r="I100" i="1"/>
  <c r="J100" i="1" s="1"/>
  <c r="G104" i="1"/>
  <c r="I108" i="1"/>
  <c r="J108" i="1" s="1"/>
  <c r="J34" i="1" l="1"/>
  <c r="H73" i="1"/>
  <c r="V73" i="1" s="1"/>
  <c r="J50" i="1"/>
  <c r="H63" i="1"/>
  <c r="V63" i="1" s="1"/>
  <c r="H67" i="1"/>
  <c r="V67" i="1" s="1"/>
  <c r="H71" i="1"/>
  <c r="V71" i="1" s="1"/>
  <c r="H119" i="1"/>
  <c r="V119" i="1" s="1"/>
  <c r="H115" i="1"/>
  <c r="V115" i="1" s="1"/>
  <c r="H111" i="1"/>
  <c r="V111" i="1" s="1"/>
  <c r="H107" i="1"/>
  <c r="V107" i="1" s="1"/>
  <c r="H103" i="1"/>
  <c r="V103" i="1" s="1"/>
  <c r="H99" i="1"/>
  <c r="V99" i="1" s="1"/>
  <c r="H95" i="1"/>
  <c r="V95" i="1" s="1"/>
  <c r="H91" i="1"/>
  <c r="V91" i="1" s="1"/>
  <c r="H87" i="1"/>
  <c r="V87" i="1" s="1"/>
  <c r="H84" i="1"/>
  <c r="V84" i="1" s="1"/>
  <c r="H77" i="1"/>
  <c r="V77" i="1" s="1"/>
  <c r="H70" i="1"/>
  <c r="V70" i="1" s="1"/>
  <c r="H62" i="1"/>
  <c r="V62" i="1" s="1"/>
  <c r="H58" i="1"/>
  <c r="V58" i="1" s="1"/>
  <c r="H54" i="1"/>
  <c r="V54" i="1" s="1"/>
  <c r="H50" i="1"/>
  <c r="H46" i="1"/>
  <c r="V46" i="1" s="1"/>
  <c r="H42" i="1"/>
  <c r="V42" i="1" s="1"/>
  <c r="H38" i="1"/>
  <c r="V38" i="1" s="1"/>
  <c r="H34" i="1"/>
  <c r="H23" i="1"/>
  <c r="V23" i="1" s="1"/>
  <c r="H19" i="1"/>
  <c r="V19" i="1" s="1"/>
  <c r="H15" i="1"/>
  <c r="V15" i="1" s="1"/>
  <c r="H11" i="1"/>
  <c r="V11" i="1" s="1"/>
  <c r="H64" i="1"/>
  <c r="V64" i="1" s="1"/>
  <c r="H81" i="1"/>
  <c r="V81" i="1" s="1"/>
  <c r="J51" i="1"/>
  <c r="H137" i="1"/>
  <c r="V137" i="1" s="1"/>
  <c r="H116" i="1"/>
  <c r="V116" i="1" s="1"/>
  <c r="H112" i="1"/>
  <c r="V112" i="1" s="1"/>
  <c r="H108" i="1"/>
  <c r="V108" i="1" s="1"/>
  <c r="H100" i="1"/>
  <c r="V100" i="1" s="1"/>
  <c r="H96" i="1"/>
  <c r="V96" i="1" s="1"/>
  <c r="H92" i="1"/>
  <c r="V92" i="1" s="1"/>
  <c r="H88" i="1"/>
  <c r="V88" i="1" s="1"/>
  <c r="H78" i="1"/>
  <c r="V78" i="1" s="1"/>
  <c r="H74" i="1"/>
  <c r="V74" i="1" s="1"/>
  <c r="H59" i="1"/>
  <c r="V59" i="1" s="1"/>
  <c r="H55" i="1"/>
  <c r="V55" i="1" s="1"/>
  <c r="H51" i="1"/>
  <c r="H47" i="1"/>
  <c r="V47" i="1" s="1"/>
  <c r="H43" i="1"/>
  <c r="V43" i="1" s="1"/>
  <c r="H39" i="1"/>
  <c r="V39" i="1" s="1"/>
  <c r="H35" i="1"/>
  <c r="V35" i="1" s="1"/>
  <c r="H31" i="1"/>
  <c r="V31" i="1" s="1"/>
  <c r="H24" i="1"/>
  <c r="V24" i="1" s="1"/>
  <c r="H20" i="1"/>
  <c r="V20" i="1" s="1"/>
  <c r="H16" i="1"/>
  <c r="V16" i="1" s="1"/>
  <c r="H12" i="1"/>
  <c r="V12" i="1" s="1"/>
  <c r="H104" i="1"/>
  <c r="V104" i="1" s="1"/>
  <c r="H68" i="1"/>
  <c r="V68" i="1" s="1"/>
  <c r="J93" i="1"/>
  <c r="H69" i="1"/>
  <c r="V69" i="1" s="1"/>
  <c r="H171" i="1"/>
  <c r="V171" i="1" s="1"/>
  <c r="H117" i="1"/>
  <c r="V117" i="1" s="1"/>
  <c r="H113" i="1"/>
  <c r="V113" i="1" s="1"/>
  <c r="H109" i="1"/>
  <c r="V109" i="1" s="1"/>
  <c r="H105" i="1"/>
  <c r="V105" i="1" s="1"/>
  <c r="H101" i="1"/>
  <c r="V101" i="1" s="1"/>
  <c r="H97" i="1"/>
  <c r="S97" i="1" s="1"/>
  <c r="H93" i="1"/>
  <c r="V93" i="1" s="1"/>
  <c r="H89" i="1"/>
  <c r="V89" i="1" s="1"/>
  <c r="H82" i="1"/>
  <c r="V82" i="1" s="1"/>
  <c r="H75" i="1"/>
  <c r="V75" i="1" s="1"/>
  <c r="H66" i="1"/>
  <c r="V66" i="1" s="1"/>
  <c r="H60" i="1"/>
  <c r="H56" i="1"/>
  <c r="V56" i="1" s="1"/>
  <c r="H52" i="1"/>
  <c r="V52" i="1" s="1"/>
  <c r="H48" i="1"/>
  <c r="R48" i="1" s="1"/>
  <c r="H44" i="1"/>
  <c r="V44" i="1" s="1"/>
  <c r="H40" i="1"/>
  <c r="R40" i="1" s="1"/>
  <c r="H36" i="1"/>
  <c r="V36" i="1" s="1"/>
  <c r="H32" i="1"/>
  <c r="V32" i="1" s="1"/>
  <c r="H29" i="1"/>
  <c r="V29" i="1" s="1"/>
  <c r="H25" i="1"/>
  <c r="S25" i="1" s="1"/>
  <c r="H21" i="1"/>
  <c r="V21" i="1" s="1"/>
  <c r="H17" i="1"/>
  <c r="S17" i="1" s="1"/>
  <c r="H13" i="1"/>
  <c r="R13" i="1" s="1"/>
  <c r="H72" i="1"/>
  <c r="S72" i="1" s="1"/>
  <c r="H85" i="1"/>
  <c r="R85" i="1" s="1"/>
  <c r="H30" i="1"/>
  <c r="V30" i="1" s="1"/>
  <c r="H172" i="1"/>
  <c r="S172" i="1" s="1"/>
  <c r="H118" i="1"/>
  <c r="R118" i="1" s="1"/>
  <c r="H114" i="1"/>
  <c r="R114" i="1" s="1"/>
  <c r="H110" i="1"/>
  <c r="R110" i="1" s="1"/>
  <c r="H106" i="1"/>
  <c r="H98" i="1"/>
  <c r="S98" i="1" s="1"/>
  <c r="H94" i="1"/>
  <c r="H90" i="1"/>
  <c r="R90" i="1" s="1"/>
  <c r="H86" i="1"/>
  <c r="R86" i="1" s="1"/>
  <c r="H83" i="1"/>
  <c r="R83" i="1" s="1"/>
  <c r="H80" i="1"/>
  <c r="H76" i="1"/>
  <c r="R76" i="1" s="1"/>
  <c r="H61" i="1"/>
  <c r="V61" i="1" s="1"/>
  <c r="H57" i="1"/>
  <c r="R57" i="1" s="1"/>
  <c r="H53" i="1"/>
  <c r="R53" i="1" s="1"/>
  <c r="H49" i="1"/>
  <c r="R49" i="1" s="1"/>
  <c r="H45" i="1"/>
  <c r="R45" i="1" s="1"/>
  <c r="H41" i="1"/>
  <c r="R41" i="1" s="1"/>
  <c r="H37" i="1"/>
  <c r="V37" i="1" s="1"/>
  <c r="H33" i="1"/>
  <c r="R33" i="1" s="1"/>
  <c r="H26" i="1"/>
  <c r="S26" i="1" s="1"/>
  <c r="H22" i="1"/>
  <c r="V22" i="1" s="1"/>
  <c r="H18" i="1"/>
  <c r="R18" i="1" s="1"/>
  <c r="H14" i="1"/>
  <c r="R14" i="1" s="1"/>
  <c r="H10" i="1"/>
  <c r="R77" i="1"/>
  <c r="V174" i="1"/>
  <c r="S174" i="1"/>
  <c r="R174" i="1"/>
  <c r="R102" i="1"/>
  <c r="S102" i="1"/>
  <c r="V102" i="1"/>
  <c r="R79" i="1"/>
  <c r="V79" i="1"/>
  <c r="R27" i="1"/>
  <c r="V27" i="1"/>
  <c r="S65" i="1"/>
  <c r="V65" i="1"/>
  <c r="V9" i="1"/>
  <c r="R9" i="1"/>
  <c r="S9" i="1"/>
  <c r="S27" i="1"/>
  <c r="S79" i="1"/>
  <c r="R65" i="1"/>
  <c r="S82" i="1" l="1"/>
  <c r="R88" i="1"/>
  <c r="S34" i="1"/>
  <c r="R119" i="1"/>
  <c r="R23" i="1"/>
  <c r="S23" i="1"/>
  <c r="R67" i="1"/>
  <c r="S96" i="1"/>
  <c r="R116" i="1"/>
  <c r="S21" i="1"/>
  <c r="S111" i="1"/>
  <c r="R55" i="1"/>
  <c r="S95" i="1"/>
  <c r="S29" i="1"/>
  <c r="R59" i="1"/>
  <c r="S81" i="1"/>
  <c r="R42" i="1"/>
  <c r="R44" i="1"/>
  <c r="R43" i="1"/>
  <c r="R105" i="1"/>
  <c r="S84" i="1"/>
  <c r="S58" i="1"/>
  <c r="S115" i="1"/>
  <c r="R34" i="1"/>
  <c r="S16" i="1"/>
  <c r="S107" i="1"/>
  <c r="S20" i="1"/>
  <c r="R68" i="1"/>
  <c r="S113" i="1"/>
  <c r="S67" i="1"/>
  <c r="S77" i="1"/>
  <c r="R20" i="1"/>
  <c r="R81" i="1"/>
  <c r="S88" i="1"/>
  <c r="S78" i="1"/>
  <c r="S22" i="1"/>
  <c r="S54" i="1"/>
  <c r="R108" i="1"/>
  <c r="R115" i="1"/>
  <c r="R61" i="1"/>
  <c r="S59" i="1"/>
  <c r="S105" i="1"/>
  <c r="S104" i="1"/>
  <c r="S89" i="1"/>
  <c r="S44" i="1"/>
  <c r="R50" i="1"/>
  <c r="S19" i="1"/>
  <c r="R104" i="1"/>
  <c r="S63" i="1"/>
  <c r="S112" i="1"/>
  <c r="S61" i="1"/>
  <c r="R92" i="1"/>
  <c r="R58" i="1"/>
  <c r="R112" i="1"/>
  <c r="R29" i="1"/>
  <c r="S92" i="1"/>
  <c r="R19" i="1"/>
  <c r="S43" i="1"/>
  <c r="R63" i="1"/>
  <c r="R84" i="1"/>
  <c r="S42" i="1"/>
  <c r="R99" i="1"/>
  <c r="S99" i="1"/>
  <c r="R171" i="1"/>
  <c r="R103" i="1"/>
  <c r="R64" i="1"/>
  <c r="R87" i="1"/>
  <c r="R107" i="1"/>
  <c r="R69" i="1"/>
  <c r="R70" i="1"/>
  <c r="R117" i="1"/>
  <c r="R95" i="1"/>
  <c r="S68" i="1"/>
  <c r="S70" i="1"/>
  <c r="S108" i="1"/>
  <c r="S38" i="1"/>
  <c r="S35" i="1"/>
  <c r="R56" i="1"/>
  <c r="S137" i="1"/>
  <c r="R101" i="1"/>
  <c r="S119" i="1"/>
  <c r="R37" i="1"/>
  <c r="S31" i="1"/>
  <c r="R30" i="1"/>
  <c r="S87" i="1"/>
  <c r="S69" i="1"/>
  <c r="S64" i="1"/>
  <c r="R96" i="1"/>
  <c r="S32" i="1"/>
  <c r="S62" i="1"/>
  <c r="R62" i="1"/>
  <c r="R12" i="1"/>
  <c r="S50" i="1"/>
  <c r="R11" i="1"/>
  <c r="R93" i="1"/>
  <c r="R71" i="1"/>
  <c r="S73" i="1"/>
  <c r="R97" i="1"/>
  <c r="R109" i="1"/>
  <c r="S52" i="1"/>
  <c r="R91" i="1"/>
  <c r="R32" i="1"/>
  <c r="S74" i="1"/>
  <c r="S75" i="1"/>
  <c r="S46" i="1"/>
  <c r="S36" i="1"/>
  <c r="S37" i="1"/>
  <c r="R66" i="1"/>
  <c r="R100" i="1"/>
  <c r="S91" i="1"/>
  <c r="S30" i="1"/>
  <c r="S47" i="1"/>
  <c r="R46" i="1"/>
  <c r="S11" i="1"/>
  <c r="S103" i="1"/>
  <c r="S71" i="1"/>
  <c r="R73" i="1"/>
  <c r="S100" i="1"/>
  <c r="S109" i="1"/>
  <c r="R82" i="1"/>
  <c r="R52" i="1"/>
  <c r="R47" i="1"/>
  <c r="R16" i="1"/>
  <c r="R21" i="1"/>
  <c r="R74" i="1"/>
  <c r="R38" i="1"/>
  <c r="R78" i="1"/>
  <c r="S116" i="1"/>
  <c r="R35" i="1"/>
  <c r="R111" i="1"/>
  <c r="R137" i="1"/>
  <c r="R36" i="1"/>
  <c r="R15" i="1"/>
  <c r="R54" i="1"/>
  <c r="R113" i="1"/>
  <c r="S12" i="1"/>
  <c r="R22" i="1"/>
  <c r="S51" i="1"/>
  <c r="V10" i="1"/>
  <c r="R10" i="1"/>
  <c r="S10" i="1"/>
  <c r="R26" i="1"/>
  <c r="V26" i="1"/>
  <c r="S45" i="1"/>
  <c r="V45" i="1"/>
  <c r="S86" i="1"/>
  <c r="V86" i="1"/>
  <c r="R106" i="1"/>
  <c r="V106" i="1"/>
  <c r="S106" i="1"/>
  <c r="R172" i="1"/>
  <c r="V172" i="1"/>
  <c r="V13" i="1"/>
  <c r="S13" i="1"/>
  <c r="S60" i="1"/>
  <c r="V60" i="1"/>
  <c r="R60" i="1"/>
  <c r="V14" i="1"/>
  <c r="S14" i="1"/>
  <c r="V33" i="1"/>
  <c r="S33" i="1"/>
  <c r="V49" i="1"/>
  <c r="S49" i="1"/>
  <c r="V76" i="1"/>
  <c r="S76" i="1"/>
  <c r="V90" i="1"/>
  <c r="S90" i="1"/>
  <c r="V110" i="1"/>
  <c r="S110" i="1"/>
  <c r="V17" i="1"/>
  <c r="R17" i="1"/>
  <c r="V48" i="1"/>
  <c r="S48" i="1"/>
  <c r="V18" i="1"/>
  <c r="S18" i="1"/>
  <c r="S53" i="1"/>
  <c r="V53" i="1"/>
  <c r="R80" i="1"/>
  <c r="V80" i="1"/>
  <c r="S80" i="1"/>
  <c r="S94" i="1"/>
  <c r="R94" i="1"/>
  <c r="V94" i="1"/>
  <c r="V114" i="1"/>
  <c r="S114" i="1"/>
  <c r="S85" i="1"/>
  <c r="V85" i="1"/>
  <c r="V41" i="1"/>
  <c r="S41" i="1"/>
  <c r="V57" i="1"/>
  <c r="S57" i="1"/>
  <c r="V83" i="1"/>
  <c r="S83" i="1"/>
  <c r="V98" i="1"/>
  <c r="R98" i="1"/>
  <c r="V118" i="1"/>
  <c r="S118" i="1"/>
  <c r="V72" i="1"/>
  <c r="R72" i="1"/>
  <c r="V25" i="1"/>
  <c r="R25" i="1"/>
  <c r="V40" i="1"/>
  <c r="S40" i="1"/>
  <c r="R75" i="1"/>
  <c r="R89" i="1"/>
  <c r="S101" i="1"/>
  <c r="R24" i="1"/>
  <c r="S171" i="1"/>
  <c r="S24" i="1"/>
  <c r="S39" i="1"/>
  <c r="V97" i="1"/>
  <c r="S93" i="1"/>
  <c r="V51" i="1"/>
  <c r="V34" i="1"/>
  <c r="V50" i="1"/>
  <c r="S56" i="1"/>
  <c r="S117" i="1"/>
  <c r="R51" i="1"/>
  <c r="S66" i="1"/>
  <c r="R39" i="1"/>
  <c r="R31" i="1"/>
  <c r="S55" i="1"/>
  <c r="S15" i="1"/>
  <c r="V175" i="1" l="1"/>
  <c r="V176" i="1" s="1"/>
  <c r="G4" i="1" l="1"/>
  <c r="G2" i="4"/>
  <c r="G5" i="4" s="1"/>
</calcChain>
</file>

<file path=xl/comments1.xml><?xml version="1.0" encoding="utf-8"?>
<comments xmlns="http://schemas.openxmlformats.org/spreadsheetml/2006/main">
  <authors>
    <author>PGJ1</author>
    <author>Peter Johnson</author>
  </authors>
  <commentList>
    <comment ref="C41" authorId="0" shapeId="0">
      <text>
        <r>
          <rPr>
            <b/>
            <sz val="8"/>
            <color indexed="81"/>
            <rFont val="Tahoma"/>
            <family val="2"/>
          </rPr>
          <t>PGJ1:</t>
        </r>
        <r>
          <rPr>
            <sz val="8"/>
            <color indexed="81"/>
            <rFont val="Tahoma"/>
            <family val="2"/>
          </rPr>
          <t xml:space="preserve">
If HP Grant is NONE and PSE is AT, min is 0
Otherwise min is 1
</t>
        </r>
      </text>
    </comment>
    <comment ref="D41" authorId="0" shapeId="0">
      <text>
        <r>
          <rPr>
            <b/>
            <sz val="8"/>
            <color indexed="81"/>
            <rFont val="Tahoma"/>
            <family val="2"/>
          </rPr>
          <t>PGJ1:</t>
        </r>
        <r>
          <rPr>
            <sz val="8"/>
            <color indexed="81"/>
            <rFont val="Tahoma"/>
            <family val="2"/>
          </rPr>
          <t xml:space="preserve">
If HP Grant is PHY or PHY+LLDP and PSE is AT, max is 2
Otherwise max is 1</t>
        </r>
      </text>
    </comment>
    <comment ref="C42" authorId="0" shapeId="0">
      <text>
        <r>
          <rPr>
            <b/>
            <sz val="8"/>
            <color indexed="81"/>
            <rFont val="Tahoma"/>
            <family val="2"/>
          </rPr>
          <t>PGJ1:</t>
        </r>
        <r>
          <rPr>
            <sz val="8"/>
            <color indexed="81"/>
            <rFont val="Tahoma"/>
            <family val="2"/>
          </rPr>
          <t xml:space="preserve">
If HP Grant is NONE and PSE is AT, min is 0
If HP Grant is NONE and PSE is BT, min is 1
If PSE is BT or Grant is PHY or PHY+LLDP, min is 2
Otherwise min is 1 (PSE is AT with HP Grant = LLDP)
</t>
        </r>
      </text>
    </comment>
    <comment ref="D42" authorId="0" shapeId="0">
      <text>
        <r>
          <rPr>
            <b/>
            <sz val="8"/>
            <color indexed="81"/>
            <rFont val="Tahoma"/>
            <family val="2"/>
          </rPr>
          <t>PGJ1:</t>
        </r>
        <r>
          <rPr>
            <sz val="8"/>
            <color indexed="81"/>
            <rFont val="Tahoma"/>
            <family val="2"/>
          </rPr>
          <t xml:space="preserve">
If HP Grant is NONE, max is 1
If HP Grant is LLDP, max is 1
If HP Grant is PHY or PHY+LLDP and PSE is AT, max is 2
If HP Grant is PHY or PHY+LLDP and PSE is BT, max is 3</t>
        </r>
      </text>
    </comment>
    <comment ref="K43" authorId="0" shapeId="0">
      <text>
        <r>
          <rPr>
            <b/>
            <sz val="8"/>
            <color indexed="81"/>
            <rFont val="Tahoma"/>
            <family val="2"/>
          </rPr>
          <t>PGJ1:</t>
        </r>
        <r>
          <rPr>
            <sz val="8"/>
            <color indexed="81"/>
            <rFont val="Tahoma"/>
            <family val="2"/>
          </rPr>
          <t xml:space="preserve">
Allow 0.4 msec for measurement uncertainty</t>
        </r>
      </text>
    </comment>
    <comment ref="M43" authorId="0" shapeId="0">
      <text>
        <r>
          <rPr>
            <b/>
            <sz val="8"/>
            <color indexed="81"/>
            <rFont val="Tahoma"/>
            <family val="2"/>
          </rPr>
          <t>PGJ1:</t>
        </r>
        <r>
          <rPr>
            <sz val="8"/>
            <color indexed="81"/>
            <rFont val="Tahoma"/>
            <family val="2"/>
          </rPr>
          <t xml:space="preserve">
Allow 0.4 msec for measurement uncertainty</t>
        </r>
      </text>
    </comment>
    <comment ref="K45" authorId="0" shapeId="0">
      <text>
        <r>
          <rPr>
            <b/>
            <sz val="8"/>
            <color indexed="81"/>
            <rFont val="Tahoma"/>
            <family val="2"/>
          </rPr>
          <t>PGJ1:</t>
        </r>
        <r>
          <rPr>
            <sz val="8"/>
            <color indexed="81"/>
            <rFont val="Tahoma"/>
            <family val="2"/>
          </rPr>
          <t xml:space="preserve">
Allow 0.4 msec for measurement uncertainty</t>
        </r>
      </text>
    </comment>
    <comment ref="M45" authorId="0" shapeId="0">
      <text>
        <r>
          <rPr>
            <b/>
            <sz val="8"/>
            <color indexed="81"/>
            <rFont val="Tahoma"/>
            <family val="2"/>
          </rPr>
          <t>PGJ1:</t>
        </r>
        <r>
          <rPr>
            <sz val="8"/>
            <color indexed="81"/>
            <rFont val="Tahoma"/>
            <family val="2"/>
          </rPr>
          <t xml:space="preserve">
Allow 0.4 msec for measurement uncertainty</t>
        </r>
      </text>
    </comment>
    <comment ref="C107" authorId="0" shapeId="0">
      <text>
        <r>
          <rPr>
            <sz val="8"/>
            <color indexed="81"/>
            <rFont val="Tahoma"/>
            <family val="2"/>
          </rPr>
          <t>Assumes PSE with max 57 Volt output at full load. Use Icon_% for PSE Power Conformance.</t>
        </r>
      </text>
    </comment>
    <comment ref="C108" authorId="1" shapeId="0">
      <text>
        <r>
          <rPr>
            <sz val="9"/>
            <color indexed="81"/>
            <rFont val="Tahoma"/>
            <family val="2"/>
          </rPr>
          <t>% Iport(capacity) / Icon(0)</t>
        </r>
      </text>
    </comment>
    <comment ref="C109" authorId="0" shapeId="0">
      <text>
        <r>
          <rPr>
            <sz val="8"/>
            <color indexed="81"/>
            <rFont val="Tahoma"/>
            <family val="2"/>
          </rPr>
          <t>Assumes PSE with max 57 Volt output at full load. Use Icon_% for PSE Power Conformance.</t>
        </r>
      </text>
    </comment>
    <comment ref="C110" authorId="1" shapeId="0">
      <text>
        <r>
          <rPr>
            <sz val="9"/>
            <color indexed="81"/>
            <rFont val="Tahoma"/>
            <family val="2"/>
          </rPr>
          <t>% Iport(capacity) / Icon(0)</t>
        </r>
      </text>
    </comment>
    <comment ref="C111" authorId="0" shapeId="0">
      <text>
        <r>
          <rPr>
            <sz val="8"/>
            <color indexed="81"/>
            <rFont val="Tahoma"/>
            <family val="2"/>
          </rPr>
          <t>Assumes PSE with max 57 Volt output at full load. Use Icon_% for PSE Power Conformance.</t>
        </r>
      </text>
    </comment>
    <comment ref="C112" authorId="1" shapeId="0">
      <text>
        <r>
          <rPr>
            <sz val="9"/>
            <color indexed="81"/>
            <rFont val="Tahoma"/>
            <family val="2"/>
          </rPr>
          <t>% Iport(capacity) / Icon(0)</t>
        </r>
      </text>
    </comment>
    <comment ref="C113" authorId="0" shapeId="0">
      <text>
        <r>
          <rPr>
            <sz val="8"/>
            <color indexed="81"/>
            <rFont val="Tahoma"/>
            <family val="2"/>
          </rPr>
          <t>Assumes PSE with max 57 Volt output at full load. Use Icon_% for PSE Power Conformance.</t>
        </r>
      </text>
    </comment>
    <comment ref="C114" authorId="1" shapeId="0">
      <text>
        <r>
          <rPr>
            <sz val="9"/>
            <color indexed="81"/>
            <rFont val="Tahoma"/>
            <family val="2"/>
          </rPr>
          <t>% Iport(capacity) / Icon(0)</t>
        </r>
      </text>
    </comment>
    <comment ref="C115" authorId="0" shapeId="0">
      <text>
        <r>
          <rPr>
            <sz val="8"/>
            <color indexed="81"/>
            <rFont val="Tahoma"/>
            <family val="2"/>
          </rPr>
          <t>Assumes PSE with max 57 Volt output at full load. Use Icon_% for PSE Power Conformance.</t>
        </r>
      </text>
    </comment>
    <comment ref="C116" authorId="1" shapeId="0">
      <text>
        <r>
          <rPr>
            <sz val="9"/>
            <color indexed="81"/>
            <rFont val="Tahoma"/>
            <family val="2"/>
          </rPr>
          <t>% Iport(capacity) / Icon(0)</t>
        </r>
      </text>
    </comment>
  </commentList>
</comments>
</file>

<file path=xl/sharedStrings.xml><?xml version="1.0" encoding="utf-8"?>
<sst xmlns="http://schemas.openxmlformats.org/spreadsheetml/2006/main" count="1412" uniqueCount="711">
  <si>
    <t>Peak Current Flow During Detection Below 2.8 Volts</t>
  </si>
  <si>
    <t>Maximum Valid Detection Signature Resistance</t>
  </si>
  <si>
    <t>Minimum Valid Detection Signature Resistance</t>
  </si>
  <si>
    <t>Maximum Valid Detection Signature Capacitance</t>
  </si>
  <si>
    <t>Backoff Time Between Detection Pulses</t>
  </si>
  <si>
    <t>Total Duration of Detection Pulse</t>
  </si>
  <si>
    <t>Classification Time Duration</t>
  </si>
  <si>
    <t>Rise Time of Power-Up Edge</t>
  </si>
  <si>
    <t>Time Duration from End of Detection Until Power-Up</t>
  </si>
  <si>
    <t>Time Duration from PD Disconnect Until Power-Down Initiated (AC MPS)</t>
  </si>
  <si>
    <t>DC Load Current Required To Enable AC MPS Power-Down</t>
  </si>
  <si>
    <t>Pk-Pk AC Voltage Following PD Disconnect</t>
  </si>
  <si>
    <t>AC MPS Signal Frequency</t>
  </si>
  <si>
    <t>Peak AC MPS Signal Slew Rate</t>
  </si>
  <si>
    <t>Approximate Current Compliance (Limit) Associated with AC MPS Signal</t>
  </si>
  <si>
    <t>Peak Absolute Voltage Measured Following PD Disconnect</t>
  </si>
  <si>
    <t>Peak Port Voltage Measured Following PSE Shut-Down</t>
  </si>
  <si>
    <t>Time Duration from PD Disconnect Until Power-Down Initiated (DC MPS)</t>
  </si>
  <si>
    <t>Low Current Threshold Required to Force PSE Shut-Down</t>
  </si>
  <si>
    <t>Turn-Off Time  (Assuming Effective 320 Kohm PD Load)</t>
  </si>
  <si>
    <t>Effective PSE Port Output Capacitance During Power-Down</t>
  </si>
  <si>
    <t>Average IDLE State Voltage Following Power-Down</t>
  </si>
  <si>
    <t xml:space="preserve">             Inrush_Voltage=</t>
  </si>
  <si>
    <t xml:space="preserve">             Duty_Cycle_tol=</t>
  </si>
  <si>
    <t xml:space="preserve">           Min_Valid_I_hold=</t>
  </si>
  <si>
    <t>Rp approximates PSE resistive discharge load during PSE port power-down.  It is very possible, but not certain, that this could equate to Rrev which is specified to be &gt; 45Kohm.  The measurement is accurate to approximately 3 Kohms.</t>
  </si>
  <si>
    <t>Cout measurement is accurate to approximately .1 uF.</t>
  </si>
  <si>
    <t>Eff_Backoff_Tdbo_eff=</t>
  </si>
  <si>
    <t xml:space="preserve">       Eff_Backoff_Tdbo_eff=</t>
  </si>
  <si>
    <t xml:space="preserve">             AC_MPS_V_open%=</t>
  </si>
  <si>
    <t>%Vport</t>
  </si>
  <si>
    <t>Effective Backoff Time Following Invalid Signature Measurement - measures time from invalid detection until valid detection producing a power-up.</t>
  </si>
  <si>
    <t>Upper limit is 450 mA.  Lower limit of 0 since this parameter is only compared to an upper limit.</t>
  </si>
  <si>
    <t>Average Output Voltage from 5 to 45 msec During 400 mA In-Rush Load.   In the event of power foldback, Vinrush is measured over a 5 msec period coincident with 65mA load immediately following the current limiting overload removal.  Minimum voltage allowed is 10V.</t>
  </si>
  <si>
    <t>Time from onset of inrush current-limiting overload until port shut-down by the PSE.</t>
  </si>
  <si>
    <t>Minimum In-Rush Load Current Supported During First 45 msec.</t>
  </si>
  <si>
    <t>Weight</t>
  </si>
  <si>
    <t>Info Low</t>
  </si>
  <si>
    <t>Info High</t>
  </si>
  <si>
    <t>Interop</t>
  </si>
  <si>
    <t>Score</t>
  </si>
  <si>
    <t>Port Count………………………………</t>
  </si>
  <si>
    <t>Loop Count……………………………..</t>
  </si>
  <si>
    <t>If dVtest step size measures under 1 Volt, then it may be that the PSE is using alternate steps to make the resistance measurement.   If "Info" appears with this parameter, then Good_Sig_Det_Pulse must be 2 or more steps, or this is a "FAIL".</t>
  </si>
  <si>
    <t>Intop Wt.</t>
  </si>
  <si>
    <t>Most PD's are insensitive to this parameter</t>
  </si>
  <si>
    <t>Parameter has no impact to PD's</t>
  </si>
  <si>
    <t>Deduct</t>
  </si>
  <si>
    <t>Interoperability Test Items</t>
  </si>
  <si>
    <t>Points</t>
  </si>
  <si>
    <t xml:space="preserve">Sifos PSE Interop Index*:  </t>
  </si>
  <si>
    <t>Sifos PSE Interop Index Defined</t>
  </si>
  <si>
    <r>
      <t xml:space="preserve">With ALT B PSE's, strict requirement is minimum 2 seconds.  With ALT A PSE's, IEEE recommended requirement is that a second detection cycle </t>
    </r>
    <r>
      <rPr>
        <i/>
        <u/>
        <sz val="10"/>
        <rFont val="Arial"/>
        <family val="2"/>
      </rPr>
      <t>complete</t>
    </r>
    <r>
      <rPr>
        <i/>
        <sz val="10"/>
        <rFont val="Arial"/>
        <family val="2"/>
      </rPr>
      <t xml:space="preserve"> within 2 seconds of the first detection cycle completing, however this is not a strict requirement.  Report will "Info" ALT A PSE's with longer than 1.5 second backoff, allowing 500msec for detection time.</t>
    </r>
  </si>
  <si>
    <t>PSE Conformance Test parameters are individually weighted with values of 5, 3, 1, or 0 depending upon impact to PD interoperation.   Many Conformance Test parameters have no impact on PD Interoperation meaning those parameters will not affect the Interop Index.  Conversely, parameters such as port power capacity, output voltage, and signaling levels all weigh heavily into the Interop Index.  The weightings by parameter are included with the Limits section of this document.</t>
  </si>
  <si>
    <t>Verify that Class 4 Power is available 80 msec following a PHY (or 2-Event) power grant.  1= "AVAILABLE", 0= "NOT AVAILABLE"</t>
  </si>
  <si>
    <t>Only tested given 30W PSE's.  PSE must make 30W available within 80 msec of power-up if 30W Grant is "PHY" and should not allow 30W power within 80msec if 30W Grant is "LLDP".</t>
  </si>
  <si>
    <t>Measured from the final complete detection prior to the power-up event.</t>
  </si>
  <si>
    <t>Measured over exactly one cycle of detection.</t>
  </si>
  <si>
    <t>Pk-Pk AC Voltage reported as a % of Vport</t>
  </si>
  <si>
    <t>Error Log:</t>
  </si>
  <si>
    <t xml:space="preserve">            Detect_Strategy=</t>
  </si>
  <si>
    <t>****</t>
  </si>
  <si>
    <t xml:space="preserve">            Non_802_Discr_?=</t>
  </si>
  <si>
    <t>Backoff_Type=</t>
  </si>
  <si>
    <t xml:space="preserve">               Backoff_Type=</t>
  </si>
  <si>
    <t>Number of Valid Detection Transitions (i.e. between valid step levels)</t>
  </si>
  <si>
    <t>Non_802_Discr_?=</t>
  </si>
  <si>
    <t>Detect_Strategy=</t>
  </si>
  <si>
    <t>Type 2:  Zero-Backoff Type PSE Port Determined</t>
  </si>
  <si>
    <t>Type 3:  Open Circuit Signaling Includes 50V Legacy Detection Pulses</t>
  </si>
  <si>
    <t xml:space="preserve">               Event1_Tcle1=</t>
  </si>
  <si>
    <t xml:space="preserve">               Event2_Tcle2=</t>
  </si>
  <si>
    <t xml:space="preserve">                  Mark_Tme1=</t>
  </si>
  <si>
    <t xml:space="preserve">                  Mark_Tme2=</t>
  </si>
  <si>
    <t xml:space="preserve">         Mark_Voltage_Vmark=</t>
  </si>
  <si>
    <t>Average Classification Step Voltage Level</t>
  </si>
  <si>
    <t>Average Mark Region Voltage Level for 2-Event, Type 2 PSE's only</t>
  </si>
  <si>
    <t>PSE ALT TYPE Dependence</t>
  </si>
  <si>
    <t xml:space="preserve">Type 1:  Proprietary Pre-Detection Observed with Open Circuit          </t>
  </si>
  <si>
    <t>Type 5:  Zero-Backoff Type PSE Determined - Open Circuit Voltage outside PD Detection Voltage Band</t>
  </si>
  <si>
    <t>Type 4:  Proprietary Pre-Detection Observed with Open Circuit  - Open Circuit Voltage outside PD Detection Voltage Band</t>
  </si>
  <si>
    <t>PSA:</t>
  </si>
  <si>
    <t xml:space="preserve"> HighPwrGrant:</t>
  </si>
  <si>
    <t>NONE</t>
  </si>
  <si>
    <t>PHY</t>
  </si>
  <si>
    <t>LLDP</t>
  </si>
  <si>
    <t>Configuration Options:</t>
  </si>
  <si>
    <t>Type-1</t>
  </si>
  <si>
    <t>Type-2</t>
  </si>
  <si>
    <t xml:space="preserve">Test Mode:  </t>
  </si>
  <si>
    <t xml:space="preserve">Sifos Interop Index*:  </t>
  </si>
  <si>
    <t xml:space="preserve">                   Rmid_det=</t>
  </si>
  <si>
    <t xml:space="preserve">            Backoff_Voltage=</t>
  </si>
  <si>
    <t xml:space="preserve">                 Vclass_Min=</t>
  </si>
  <si>
    <t xml:space="preserve">           Mark_Voltage_Min=</t>
  </si>
  <si>
    <t xml:space="preserve">Test: class_err             </t>
  </si>
  <si>
    <t xml:space="preserve">                  Class_lim=</t>
  </si>
  <si>
    <t xml:space="preserve">                   Mark_Lim=</t>
  </si>
  <si>
    <t xml:space="preserve">                     Treset=</t>
  </si>
  <si>
    <t xml:space="preserve">                    Tinrush=</t>
  </si>
  <si>
    <t xml:space="preserve">                 Inrush_45m=</t>
  </si>
  <si>
    <t>Test: pwron_pwrcap</t>
  </si>
  <si>
    <t xml:space="preserve">                    Pcon_c0=</t>
  </si>
  <si>
    <t>Assesses PSE maintain power status (Vport) with a multi-cycling DC MPS valid/non-valid load with 20% "on" duty-cycle using 25mA valid load and Tmps_Min "on" times.</t>
  </si>
  <si>
    <t>PSE should maintain power continuously - 5 off/on cycles sequenced.  Use "Show Traces" to witness the duty cycle.</t>
  </si>
  <si>
    <t>The description in the 802.3at standard is vague and requires careful inspection to intepret properly.  Tmps is presented as a "MINIMUM" limit which makes sense from the PD point of view but is not as clear from the PSE point of view.  Use "Show Traces" to witness the minimum required "on" time.</t>
  </si>
  <si>
    <t xml:space="preserve">                    Pcon_c1=</t>
  </si>
  <si>
    <t xml:space="preserve">                    Pcon_c2=</t>
  </si>
  <si>
    <t xml:space="preserve">                    Pcon_c3=</t>
  </si>
  <si>
    <t xml:space="preserve">                    Pcon_c4=</t>
  </si>
  <si>
    <t xml:space="preserve">              Type-2_Enable=</t>
  </si>
  <si>
    <t xml:space="preserve">             Max_Iinrush_c0=</t>
  </si>
  <si>
    <t xml:space="preserve">             Max_Iinrush_c4=</t>
  </si>
  <si>
    <t>IDLE State voltage during detection backoff</t>
  </si>
  <si>
    <t>Maximum (or Minimum) Detection Signature producing a power-up given connections with various time alignments to the detection measurement.</t>
  </si>
  <si>
    <t>Assess if detection measurement is sensitive to when the detection signature is connected.</t>
  </si>
  <si>
    <t>PSE Effective Output Impedance During PD Detection given a current-sourcing detection scheme</t>
  </si>
  <si>
    <t>Minimum Class Voltage given Maximum Valid Class Signature</t>
  </si>
  <si>
    <t>Minimum Mark Region Voltage with Maximum Valid Mark Load Current</t>
  </si>
  <si>
    <t>Mark Region is only tested when High Power Grant Type is PHY and Type-2 (or 30W) Power Mode is tested.   The PSA-3000 simulates true Mark Loads while the PSA-1200 does not meaning test limits are only enforceable with the PSA-3000.</t>
  </si>
  <si>
    <t xml:space="preserve">Test: class_err                    </t>
  </si>
  <si>
    <t>Maximum Class Current PSE will support before current limiting</t>
  </si>
  <si>
    <t>PSE Power-Up Response to Current-Limited Class Current</t>
  </si>
  <si>
    <t>PSE Power-Up Response to 55mA (non-valid) Class Signature</t>
  </si>
  <si>
    <t>Maximum Mark Current supported during a 2-event Mark Region</t>
  </si>
  <si>
    <t>Duration of IDLE Region following Unequal Class Current Signature</t>
  </si>
  <si>
    <t>PSE Power-Up Response to Unequal Class Currents in 2 Event Signature</t>
  </si>
  <si>
    <t>Type-2 PSE's should not apply power</t>
  </si>
  <si>
    <t>PSE should IDLE for at least 15 msec</t>
  </si>
  <si>
    <t>Peak Inrush Current between 1 and 3 msec of current-limiting inrush overload.</t>
  </si>
  <si>
    <t>Power-Up Response to a current-limiting Inrush overload of duration 45 msec, or less than Tinrush (MIN).</t>
  </si>
  <si>
    <t>Inrush overloads less than duration Tinrush(MIN), or 50 msec, should not prohibit port power-ups.</t>
  </si>
  <si>
    <t xml:space="preserve">Test: pwron_pwrcap                  </t>
  </si>
  <si>
    <t>PSE Power Capacity to a Class 0 PD</t>
  </si>
  <si>
    <t>PSE Power Capacity to a Class 1 PD</t>
  </si>
  <si>
    <t>Tinrush=</t>
  </si>
  <si>
    <t>Tinrush is capped at 100msec, the duration of the inrush load transient applied.</t>
  </si>
  <si>
    <t>PSE Power Capacity to a Class 2 PD</t>
  </si>
  <si>
    <t>PSE Power Capacity to a Class 3 PD</t>
  </si>
  <si>
    <t>PSE Power Capacity to a Class 4 PD</t>
  </si>
  <si>
    <t>Test: class_lldp</t>
  </si>
  <si>
    <t>sec</t>
  </si>
  <si>
    <t xml:space="preserve">        PSE_Source_Priority=</t>
  </si>
  <si>
    <t xml:space="preserve">            PSE_MDI_Pwr_Sup=</t>
  </si>
  <si>
    <t xml:space="preserve">            PSE_LLDP_Time_2=</t>
  </si>
  <si>
    <t xml:space="preserve">            PSE_LLDP_Type_2=</t>
  </si>
  <si>
    <t xml:space="preserve">            PSE_Alloc_Pwr_2=</t>
  </si>
  <si>
    <t xml:space="preserve">           PSE_Alloc_Time_2=</t>
  </si>
  <si>
    <t xml:space="preserve">          PD_Power_Adjust_2=</t>
  </si>
  <si>
    <t xml:space="preserve">          PSE_Adjust_Time_2=</t>
  </si>
  <si>
    <t xml:space="preserve">            PSE_LLDP_Time_1=</t>
  </si>
  <si>
    <t xml:space="preserve">            PSE_LLDP_Type_1=</t>
  </si>
  <si>
    <t xml:space="preserve">            PSE_Alloc_Pwr_1=</t>
  </si>
  <si>
    <t xml:space="preserve">           PSE_Alloc_Time_1=</t>
  </si>
  <si>
    <t xml:space="preserve">          PD_Power_Adjust_1=</t>
  </si>
  <si>
    <t xml:space="preserve">          PSE_Adjust_Time_1=</t>
  </si>
  <si>
    <t xml:space="preserve">            PSE_Echo_Time_1=</t>
  </si>
  <si>
    <t xml:space="preserve">            PSE_Echo_Time_2=</t>
  </si>
  <si>
    <t xml:space="preserve">            PSE_LLDP_Time_n=</t>
  </si>
  <si>
    <t xml:space="preserve">            PSE_LLDP_Type_n=</t>
  </si>
  <si>
    <t xml:space="preserve">            PSE_Echo_Time_n=</t>
  </si>
  <si>
    <t xml:space="preserve">            PSE_Alloc_Pwr_n=</t>
  </si>
  <si>
    <t xml:space="preserve">           PSE_Alloc_Time_n=</t>
  </si>
  <si>
    <t xml:space="preserve">          PD_Power_Adjust_n=</t>
  </si>
  <si>
    <t xml:space="preserve">          PSE_Adjust_Time_n=</t>
  </si>
  <si>
    <t>Binary indication of Valid (=0) or Invalid (=1) PoE+ Source/Priority Field</t>
  </si>
  <si>
    <t>Binary indication of Valid (=0) or Invalid (=1) MDI Capabilities Field</t>
  </si>
  <si>
    <t>Type 2 PSE's must provide packet within 10 seconds of entering the Power-On state</t>
  </si>
  <si>
    <t>Time for PSE to Echo PD Power Request given Type "n" (1 or 2) mode PD Emulation.</t>
  </si>
  <si>
    <t>PSE Type Communicated in PoE+ Source/Priority Field given Type "n" (1 or 2) mode PD Emulation.</t>
  </si>
  <si>
    <t>Time from Power-Up until Receipt of First PoE LLDP Packet from PSE given Type "n" (1 or 2) mode PD Emulation</t>
  </si>
  <si>
    <t>Must be 1 or 2</t>
  </si>
  <si>
    <t>Requirement is in 10 seconds or less</t>
  </si>
  <si>
    <t>Time for PSE to Allocate PD Power Request given Type "n" (1 or 2) mode PD Emulation.</t>
  </si>
  <si>
    <t>Soft limit of 30 seconds used - this is not strictly specified in 802.3at.</t>
  </si>
  <si>
    <t>Should be &gt;= to PD Request (8.1 W for Type-1, 20.3W for Type-2)</t>
  </si>
  <si>
    <t>Power Allocated to PD at Startup given Type "n" (1 or 2) mode PD Emulation.</t>
  </si>
  <si>
    <t>Power Allocated to PD following a Power Adjustment Request to Maximum Power Allowed given Type "n" (1 or 2) mode PD Emulation.</t>
  </si>
  <si>
    <t>Should be = to PD Request (13 W for Type-1, 25.5W for Type-2)</t>
  </si>
  <si>
    <t>Time for PSE to Echo PD Power (Adjustment) Request given Type "n" (1 or 2) mode PD Emulation.</t>
  </si>
  <si>
    <t>Proper values are 0x07 or 0x0F according to Clause 79</t>
  </si>
  <si>
    <t>Should report "PSE", Type 1 or Type 2, "0" in Reserved Fields</t>
  </si>
  <si>
    <t xml:space="preserve">             Rbad_Cbad_Stat=</t>
  </si>
  <si>
    <t>Test: pwron_v</t>
  </si>
  <si>
    <t xml:space="preserve">                     Icut_1=</t>
  </si>
  <si>
    <t xml:space="preserve">                     Tcut_1=</t>
  </si>
  <si>
    <t xml:space="preserve">                    Isoft_1=</t>
  </si>
  <si>
    <t xml:space="preserve">                    Tsoft_1=</t>
  </si>
  <si>
    <t xml:space="preserve">                     Icut_2=</t>
  </si>
  <si>
    <t xml:space="preserve">                     Tcut_2=</t>
  </si>
  <si>
    <t xml:space="preserve">                    Isoft_2=</t>
  </si>
  <si>
    <t xml:space="preserve">                    Tsoft_2=</t>
  </si>
  <si>
    <t>Test: pwron_maxi</t>
  </si>
  <si>
    <t xml:space="preserve">                 Ilim_Min_1=</t>
  </si>
  <si>
    <t xml:space="preserve">                     Tlim_1=</t>
  </si>
  <si>
    <t xml:space="preserve">                     Vlim_1=</t>
  </si>
  <si>
    <t xml:space="preserve">                 Ilim_Max_1=</t>
  </si>
  <si>
    <t xml:space="preserve">                 Ilim_Min_2=</t>
  </si>
  <si>
    <t xml:space="preserve">                     Tlim_2=</t>
  </si>
  <si>
    <t xml:space="preserve">                     Vlim_2=</t>
  </si>
  <si>
    <t xml:space="preserve">                 Ilim_Max_2=</t>
  </si>
  <si>
    <t>%</t>
  </si>
  <si>
    <t>Test: pwron_overld</t>
  </si>
  <si>
    <t xml:space="preserve">                   %Ipeak_1=</t>
  </si>
  <si>
    <t xml:space="preserve">              Vport_Ipeak_1=</t>
  </si>
  <si>
    <t xml:space="preserve">               Vport_5%DC_1=</t>
  </si>
  <si>
    <t xml:space="preserve">                   %Ipeak_2=</t>
  </si>
  <si>
    <t xml:space="preserve">              Vport_Ipeak_2=</t>
  </si>
  <si>
    <t xml:space="preserve">               Vport_5%DC_2=</t>
  </si>
  <si>
    <t>Limit Logic Color Key</t>
  </si>
  <si>
    <t xml:space="preserve">1) All possible 802.3at compliant PD's </t>
  </si>
  <si>
    <t>2) Non-Compliant 802.3at PD's that that would successfully inter-operate 802.3at PSE's that fully meet all PSE specifications.</t>
  </si>
  <si>
    <t>PSE response to marginally invalid Rdet + lowest rejected Cdet value</t>
  </si>
  <si>
    <t>Determine if adding capacitance causes a high detection signature to become valid to PSE.</t>
  </si>
  <si>
    <t xml:space="preserve">Test: pwron_maxi                    </t>
  </si>
  <si>
    <t xml:space="preserve">Test: pwron_v                       </t>
  </si>
  <si>
    <t xml:space="preserve">                Vport_min_n=</t>
  </si>
  <si>
    <t xml:space="preserve">                Vport_max_n=</t>
  </si>
  <si>
    <t xml:space="preserve">             Vport_ripple_n=</t>
  </si>
  <si>
    <t xml:space="preserve">              Vport_noise_n=</t>
  </si>
  <si>
    <t xml:space="preserve">               Vtrans_min_n=</t>
  </si>
  <si>
    <t xml:space="preserve">               Vtrans_max_n=</t>
  </si>
  <si>
    <t>Minimum DC Port Voltage measured with minimum and maximum Port Loading for Type "n" PD emulation</t>
  </si>
  <si>
    <t>Maximum DC Port Voltage measured with minimum and maximum Port Loading for Type "n" PD emulation</t>
  </si>
  <si>
    <t>Maximum AC Ripple (20Hz - 500Hz) Vpp measured with minimum and maximum Port Loading for Type "n" PD emulation</t>
  </si>
  <si>
    <t>Maximum AC Noise (10KHz - 350KHz) Vpp measured with minimum and maximum Port Loading for Type "n" PD emulation</t>
  </si>
  <si>
    <t>Maximum output current over 8-75msec from PSE given a 1.95A load pulse with foldback suppression applied.  PSE must limit to &lt; 1.75A.</t>
  </si>
  <si>
    <t xml:space="preserve">                 Ilim_Min_n=</t>
  </si>
  <si>
    <t xml:space="preserve">                     Vlim_n=</t>
  </si>
  <si>
    <t xml:space="preserve">                 Ilim_Max_n=</t>
  </si>
  <si>
    <t>Minimum load current available given 50msec, (Ilim_Min+2mA) load pulse with foldback suppression applied given Type "n" PD.</t>
  </si>
  <si>
    <t>Port Voltage measured during Ilim_Min load pulse (no foldback suppression)</t>
  </si>
  <si>
    <t xml:space="preserve">                   %Ipeak_n=</t>
  </si>
  <si>
    <t xml:space="preserve">              Vport_Ipeak_n=</t>
  </si>
  <si>
    <t xml:space="preserve">               Vport_5%DC_n=</t>
  </si>
  <si>
    <t xml:space="preserve">                     Icut_n=</t>
  </si>
  <si>
    <t xml:space="preserve">                     Tcut_n=</t>
  </si>
  <si>
    <t xml:space="preserve">                    Isoft_n=</t>
  </si>
  <si>
    <t>Must be 0 mA in 4.x.x Test Suite, up to 10mA allowed in 3.x.x Test Suite</t>
  </si>
  <si>
    <t xml:space="preserve">                    Tsoft_n=</t>
  </si>
  <si>
    <t>The % relative to Ipeak current that the PSE will support in a load transient of at least 50msec duration (Tovld_min) given Type-"n" PD emulation.</t>
  </si>
  <si>
    <t>Minimum port voltage measured during the I= Ipeak transient load pulse given Type-"n" PD emulation.</t>
  </si>
  <si>
    <t>Minimum port voltage measured with 50msec Ipeak transient loads applied once per second over a 10 second interval given Type-"n" PD emulation.</t>
  </si>
  <si>
    <t>Min</t>
  </si>
  <si>
    <t>Max</t>
  </si>
  <si>
    <t>Average</t>
  </si>
  <si>
    <t>UNITS</t>
  </si>
  <si>
    <t>Low</t>
  </si>
  <si>
    <t>Limit</t>
  </si>
  <si>
    <t>High</t>
  </si>
  <si>
    <t xml:space="preserve">Test: det_v                         </t>
  </si>
  <si>
    <t xml:space="preserve">Test: det_i                         </t>
  </si>
  <si>
    <t xml:space="preserve">Test: det_range                     </t>
  </si>
  <si>
    <t xml:space="preserve">Test: det_time                      </t>
  </si>
  <si>
    <t xml:space="preserve">Test: det_rsource                   </t>
  </si>
  <si>
    <t xml:space="preserve">Test: class_v                       </t>
  </si>
  <si>
    <t xml:space="preserve">Test: class_time                    </t>
  </si>
  <si>
    <t xml:space="preserve">Test: pwrup_time                    </t>
  </si>
  <si>
    <t xml:space="preserve">Test: pwrup_inrush                  </t>
  </si>
  <si>
    <t xml:space="preserve">Test: mps_ac_pwrdn                  </t>
  </si>
  <si>
    <t xml:space="preserve">Test: mps_ac_vf                     </t>
  </si>
  <si>
    <t xml:space="preserve">Test: mps_ac_voff                   </t>
  </si>
  <si>
    <t xml:space="preserve">Test: pwrdn_overld                  </t>
  </si>
  <si>
    <t xml:space="preserve">Test: pwrdn_time                    </t>
  </si>
  <si>
    <t xml:space="preserve">Test: pwrdn_v                       </t>
  </si>
  <si>
    <t>Low Limit</t>
  </si>
  <si>
    <t>High Limit</t>
  </si>
  <si>
    <t xml:space="preserve">Test: mps_dc_valid                  </t>
  </si>
  <si>
    <t xml:space="preserve">Test: mps_dc_pwrdn                  </t>
  </si>
  <si>
    <t>Parameter</t>
  </si>
  <si>
    <t>P/F</t>
  </si>
  <si>
    <t>Units</t>
  </si>
  <si>
    <r>
      <t>V/</t>
    </r>
    <r>
      <rPr>
        <sz val="10"/>
        <rFont val="Symbol"/>
        <family val="1"/>
        <charset val="2"/>
      </rPr>
      <t>m</t>
    </r>
    <r>
      <rPr>
        <sz val="10"/>
        <rFont val="Arial"/>
        <family val="2"/>
      </rPr>
      <t>sec</t>
    </r>
  </si>
  <si>
    <t>mA</t>
  </si>
  <si>
    <r>
      <t>K</t>
    </r>
    <r>
      <rPr>
        <sz val="10"/>
        <rFont val="Symbol"/>
        <family val="1"/>
        <charset val="2"/>
      </rPr>
      <t>W</t>
    </r>
  </si>
  <si>
    <r>
      <t>m</t>
    </r>
    <r>
      <rPr>
        <sz val="10"/>
        <rFont val="Arial"/>
        <family val="2"/>
      </rPr>
      <t>F</t>
    </r>
  </si>
  <si>
    <t>msec</t>
  </si>
  <si>
    <r>
      <t>m</t>
    </r>
    <r>
      <rPr>
        <sz val="10"/>
        <rFont val="Arial"/>
        <family val="2"/>
      </rPr>
      <t>sec</t>
    </r>
  </si>
  <si>
    <t>Hz</t>
  </si>
  <si>
    <t xml:space="preserve">       Open_Circuit_Det_Voc=</t>
  </si>
  <si>
    <t xml:space="preserve">            Peak_Det_Vvalid=</t>
  </si>
  <si>
    <t xml:space="preserve">             Min_Det_Vvalid=</t>
  </si>
  <si>
    <t xml:space="preserve">       Det_Volt_Step_dVtest=</t>
  </si>
  <si>
    <t xml:space="preserve">             Detection_Slew=</t>
  </si>
  <si>
    <t xml:space="preserve">         Good_Sig_Det_Pulse=</t>
  </si>
  <si>
    <t xml:space="preserve">            Det_Current_Isc=</t>
  </si>
  <si>
    <t xml:space="preserve">                  Rgood_Max=</t>
  </si>
  <si>
    <t xml:space="preserve">                  Rgood_Min=</t>
  </si>
  <si>
    <t xml:space="preserve">                  Cgood_Max=</t>
  </si>
  <si>
    <t xml:space="preserve">          Backoff_Time_Tdbo=</t>
  </si>
  <si>
    <t xml:space="preserve">        Detection_Time_Tdet=</t>
  </si>
  <si>
    <t xml:space="preserve">             Total_Det_Time=</t>
  </si>
  <si>
    <t xml:space="preserve">      Output_Impedance_Zout=</t>
  </si>
  <si>
    <t xml:space="preserve">            Class_Time_Tpdc=</t>
  </si>
  <si>
    <t xml:space="preserve">               Init_Iinrush=</t>
  </si>
  <si>
    <t xml:space="preserve">      Power_Down_Time_Tmpdo=</t>
  </si>
  <si>
    <t xml:space="preserve">              AC_MPS_V_open=</t>
  </si>
  <si>
    <t xml:space="preserve">           AC_MPS_Frequency=</t>
  </si>
  <si>
    <t xml:space="preserve">                  Slew_Rate=</t>
  </si>
  <si>
    <t xml:space="preserve">        Peak_AC_MPS_V_open1=</t>
  </si>
  <si>
    <t xml:space="preserve">         Turn-Off_Time_Toff=</t>
  </si>
  <si>
    <t xml:space="preserve">        Min_Valid_Time_Tmps=</t>
  </si>
  <si>
    <t xml:space="preserve">     Time-to-Shutdown_Tmpdo=</t>
  </si>
  <si>
    <t xml:space="preserve">           Init_Current_Isc=</t>
  </si>
  <si>
    <t xml:space="preserve">          DC_Max_Load_Imin1=</t>
  </si>
  <si>
    <t>Vpk</t>
  </si>
  <si>
    <t xml:space="preserve">      Peak_Disconnect_Vport=</t>
  </si>
  <si>
    <t xml:space="preserve">        Source_Current_Isac=</t>
  </si>
  <si>
    <t xml:space="preserve">                Min_Iinrush=</t>
  </si>
  <si>
    <t xml:space="preserve">            Error_Delay_Ted=</t>
  </si>
  <si>
    <t xml:space="preserve">              Avg_Idle_Voff=</t>
  </si>
  <si>
    <t xml:space="preserve">       Peak_Error_Delay_Ved=</t>
  </si>
  <si>
    <t xml:space="preserve">            Output_Cap_Cout=</t>
  </si>
  <si>
    <t xml:space="preserve">             Output_Load_Rp=</t>
  </si>
  <si>
    <t xml:space="preserve"> version</t>
  </si>
  <si>
    <t>Type</t>
  </si>
  <si>
    <t>PF</t>
  </si>
  <si>
    <t>Warn</t>
  </si>
  <si>
    <t>Description</t>
  </si>
  <si>
    <t>Peak Open Circuit Detection Voltage</t>
  </si>
  <si>
    <t>Minimum Valid Step Voltage with Valid Detection Signature</t>
  </si>
  <si>
    <t>Maximum Step Slew Rate</t>
  </si>
  <si>
    <t>Maximum Detection Voltage with Valid Detection Signature</t>
  </si>
  <si>
    <t>Peak Current Flow During Detection Above 2.8 Volts</t>
  </si>
  <si>
    <t>Time from an overload shutdown until the next power-up is enabled.</t>
  </si>
  <si>
    <t>Peak PSE Port Voltage during Error Delay time interval preceding final detection leading to the next power-up.   Acts as indicator of a PSE that does detection and classification during Ted.</t>
  </si>
  <si>
    <t>Sampled at ~ 40 usec periodicity.  When testing Type-2 PSE's, transient voltage samples following a 250 usec "Ktran_lo" duration are evaluated for Vport_min (50V) criteria.</t>
  </si>
  <si>
    <t>Type-2 PSE should regulate voltage to stay above 92.4% of Vpse_min, or 46.2V given described transient.</t>
  </si>
  <si>
    <t>Minimum Port Voltage measured during a rapid (&lt; 5 msec) load excursion between ~ .5W to Pclass and back</t>
  </si>
  <si>
    <t>Maximum Port Voltage measured during a rapid (&lt; 5 msec) load excursion between ~ .5W to Pclass and back</t>
  </si>
  <si>
    <t>Vital Parameter to many 802.3at PD's</t>
  </si>
  <si>
    <t>Parameter could be significant to certain 802.3at PD's</t>
  </si>
  <si>
    <t xml:space="preserve">                 Ktran_lo_1=</t>
  </si>
  <si>
    <t xml:space="preserve">                 Ktran_lo_2=</t>
  </si>
  <si>
    <t>For the most part, none of these are problems.  The 50V Legacy Detection pulse will place 50V common mode on the PD connection if an invalid PD signature is measured on the first attempt by the PSE port.  Non-802.3 signaling usually indicates proprietary detection assessments.  PoH Double Detection causes detection back-off to become ambiguous.</t>
  </si>
  <si>
    <r>
      <t xml:space="preserve">Goal is to detect line voltage ripple and AC MPS signaling components below 400 Hz.  </t>
    </r>
    <r>
      <rPr>
        <i/>
        <sz val="10"/>
        <color indexed="10"/>
        <rFont val="Arial"/>
        <family val="2"/>
      </rPr>
      <t>NOTE: A "-1" reading indicates a possible hardware failure and should be reported to Sifos Technologies.</t>
    </r>
  </si>
  <si>
    <r>
      <t xml:space="preserve">Goal is to assess noise from DC-DC power conversion components in the 2KHz - 400KHz band.  </t>
    </r>
    <r>
      <rPr>
        <i/>
        <sz val="10"/>
        <color indexed="10"/>
        <rFont val="Arial"/>
        <family val="2"/>
      </rPr>
      <t>NOTE: A "-1" reading indicates a possible hardware failure and should be reported to Sifos Technologies.</t>
    </r>
  </si>
  <si>
    <t xml:space="preserve">                  Icon_%_c0=</t>
  </si>
  <si>
    <t xml:space="preserve">                  Icon_%_c1=</t>
  </si>
  <si>
    <t xml:space="preserve">                  Icon_%_c2=</t>
  </si>
  <si>
    <t xml:space="preserve">                  Icon_%_c3=</t>
  </si>
  <si>
    <t xml:space="preserve">                  Icon_%_c4=</t>
  </si>
  <si>
    <t>Load Current Capacity Ratio to Icon = Pclass / Vport_pse to Class 0 PD</t>
  </si>
  <si>
    <t>Load Current Capacity Ratio to Icon = Pclass / Vport_pse to Class 1 PD</t>
  </si>
  <si>
    <t>Load Current Capacity Ratio to Icon = Pclass / Vport_pse to Class 2 PD</t>
  </si>
  <si>
    <t>Load Current Capacity Ratio to Icon = Pclass / Vport_pse to Class 3 PD</t>
  </si>
  <si>
    <t>Load Current Capacity Ratio to Icon = Pclass / Vport_pse to Class 4 PD</t>
  </si>
  <si>
    <t>Parameter Color Key</t>
  </si>
  <si>
    <t xml:space="preserve">             Max_Iinrush_cN=</t>
  </si>
  <si>
    <r>
      <t>Minumum sub-</t>
    </r>
    <r>
      <rPr>
        <b/>
        <sz val="10"/>
        <rFont val="Arial"/>
        <family val="2"/>
      </rPr>
      <t>Ilim(n)</t>
    </r>
    <r>
      <rPr>
        <sz val="10"/>
        <rFont val="Arial"/>
        <family val="2"/>
      </rPr>
      <t xml:space="preserve"> load current causing power-down for Type-"n" PD Emulation given a 75 msec transient pulse and Type-"n" PD emulation.</t>
    </r>
  </si>
  <si>
    <r>
      <t xml:space="preserve">Time from start of </t>
    </r>
    <r>
      <rPr>
        <b/>
        <sz val="10"/>
        <rFont val="Arial"/>
        <family val="2"/>
      </rPr>
      <t>Icut_n</t>
    </r>
    <r>
      <rPr>
        <sz val="10"/>
        <rFont val="Arial"/>
        <family val="2"/>
      </rPr>
      <t xml:space="preserve"> load transient until port shutdown - will be capped at duration of the </t>
    </r>
    <r>
      <rPr>
        <b/>
        <sz val="10"/>
        <rFont val="Arial"/>
        <family val="2"/>
      </rPr>
      <t>Icut_n</t>
    </r>
    <r>
      <rPr>
        <sz val="10"/>
        <rFont val="Arial"/>
        <family val="2"/>
      </rPr>
      <t xml:space="preserve"> load transient even if the shutdown occurs up to 2 seconds following the start of transient.</t>
    </r>
  </si>
  <si>
    <r>
      <t xml:space="preserve">Time from start of </t>
    </r>
    <r>
      <rPr>
        <b/>
        <sz val="10"/>
        <rFont val="Arial"/>
        <family val="2"/>
      </rPr>
      <t>Isoft_n</t>
    </r>
    <r>
      <rPr>
        <sz val="10"/>
        <rFont val="Arial"/>
        <family val="2"/>
      </rPr>
      <t xml:space="preserve"> load transient until port shutdown - will be capped at duration of the </t>
    </r>
    <r>
      <rPr>
        <b/>
        <sz val="10"/>
        <rFont val="Arial"/>
        <family val="2"/>
      </rPr>
      <t>Isoft_n</t>
    </r>
    <r>
      <rPr>
        <sz val="10"/>
        <rFont val="Arial"/>
        <family val="2"/>
      </rPr>
      <t xml:space="preserve"> load transient even if the shutdown occurs up to 2 seconds following the start of transient.</t>
    </r>
  </si>
  <si>
    <r>
      <t xml:space="preserve">This measurement determines if PSE is likely invoking a firmware managed overload shutdown decision process.  Underpowered PSE's will report a NEGATIVE </t>
    </r>
    <r>
      <rPr>
        <b/>
        <i/>
        <sz val="10"/>
        <rFont val="Arial"/>
        <family val="2"/>
      </rPr>
      <t>Isoft_n</t>
    </r>
    <r>
      <rPr>
        <i/>
        <sz val="10"/>
        <rFont val="Arial"/>
        <family val="2"/>
      </rPr>
      <t xml:space="preserve"> value.  </t>
    </r>
    <r>
      <rPr>
        <b/>
        <i/>
        <sz val="10"/>
        <rFont val="Arial"/>
        <family val="2"/>
      </rPr>
      <t>Tsoft_n</t>
    </r>
    <r>
      <rPr>
        <i/>
        <sz val="10"/>
        <rFont val="Arial"/>
        <family val="2"/>
      </rPr>
      <t xml:space="preserve"> can range up to 4 seconds.  Reports -1 for </t>
    </r>
    <r>
      <rPr>
        <b/>
        <i/>
        <sz val="10"/>
        <rFont val="Arial"/>
        <family val="2"/>
      </rPr>
      <t>Isoft</t>
    </r>
    <r>
      <rPr>
        <i/>
        <sz val="10"/>
        <rFont val="Arial"/>
        <family val="2"/>
      </rPr>
      <t xml:space="preserve"> and </t>
    </r>
    <r>
      <rPr>
        <b/>
        <i/>
        <sz val="10"/>
        <rFont val="Arial"/>
        <family val="2"/>
      </rPr>
      <t>Tsoft</t>
    </r>
    <r>
      <rPr>
        <i/>
        <sz val="10"/>
        <rFont val="Arial"/>
        <family val="2"/>
      </rPr>
      <t xml:space="preserve"> if </t>
    </r>
    <r>
      <rPr>
        <b/>
        <i/>
        <sz val="10"/>
        <rFont val="Arial"/>
        <family val="2"/>
      </rPr>
      <t>Isoft</t>
    </r>
    <r>
      <rPr>
        <i/>
        <sz val="10"/>
        <rFont val="Arial"/>
        <family val="2"/>
      </rPr>
      <t xml:space="preserve"> is not found.</t>
    </r>
  </si>
  <si>
    <r>
      <t xml:space="preserve">Minumum load current up to or marginally exceeding </t>
    </r>
    <r>
      <rPr>
        <b/>
        <sz val="10"/>
        <rFont val="Arial"/>
        <family val="2"/>
      </rPr>
      <t>Ilim_min</t>
    </r>
    <r>
      <rPr>
        <sz val="10"/>
        <rFont val="Arial"/>
        <family val="2"/>
      </rPr>
      <t xml:space="preserve"> that causes a shutdown for Type-"n" PD Emulation given a 2 second transient pulse and Type-"n" PD emulation.</t>
    </r>
  </si>
  <si>
    <r>
      <t xml:space="preserve">Qualifying shutdowns must occur during or shortly after 75msec transient duration.   Under-powered PSE's will report a NEGATIVE </t>
    </r>
    <r>
      <rPr>
        <b/>
        <i/>
        <sz val="10"/>
        <rFont val="Arial"/>
        <family val="2"/>
      </rPr>
      <t>Icut_n</t>
    </r>
    <r>
      <rPr>
        <i/>
        <sz val="10"/>
        <rFont val="Arial"/>
        <family val="2"/>
      </rPr>
      <t xml:space="preserve"> value.  Report '-1' if </t>
    </r>
    <r>
      <rPr>
        <b/>
        <i/>
        <sz val="10"/>
        <rFont val="Arial"/>
        <family val="2"/>
      </rPr>
      <t>Icut_n</t>
    </r>
    <r>
      <rPr>
        <i/>
        <sz val="10"/>
        <rFont val="Arial"/>
        <family val="2"/>
      </rPr>
      <t xml:space="preserve"> not found below </t>
    </r>
    <r>
      <rPr>
        <b/>
        <i/>
        <sz val="10"/>
        <rFont val="Arial"/>
        <family val="2"/>
      </rPr>
      <t xml:space="preserve">Ilim_Min </t>
    </r>
    <r>
      <rPr>
        <i/>
        <sz val="10"/>
        <rFont val="Arial"/>
        <family val="2"/>
      </rPr>
      <t xml:space="preserve">for Type </t>
    </r>
    <r>
      <rPr>
        <b/>
        <i/>
        <sz val="10"/>
        <rFont val="Arial"/>
        <family val="2"/>
      </rPr>
      <t>n</t>
    </r>
    <r>
      <rPr>
        <i/>
        <sz val="10"/>
        <rFont val="Arial"/>
        <family val="2"/>
      </rPr>
      <t>.</t>
    </r>
  </si>
  <si>
    <r>
      <t xml:space="preserve">Given an </t>
    </r>
    <r>
      <rPr>
        <b/>
        <i/>
        <sz val="10"/>
        <rFont val="Arial"/>
        <family val="2"/>
      </rPr>
      <t xml:space="preserve">Icut </t>
    </r>
    <r>
      <rPr>
        <i/>
        <sz val="10"/>
        <rFont val="Arial"/>
        <family val="2"/>
      </rPr>
      <t xml:space="preserve">shutdown, </t>
    </r>
    <r>
      <rPr>
        <b/>
        <i/>
        <sz val="10"/>
        <rFont val="Arial"/>
        <family val="2"/>
      </rPr>
      <t>Tcut</t>
    </r>
    <r>
      <rPr>
        <i/>
        <sz val="10"/>
        <rFont val="Arial"/>
        <family val="2"/>
      </rPr>
      <t xml:space="preserve"> will always fall between 0 and 75 msec.   Reports 9999 no </t>
    </r>
    <r>
      <rPr>
        <b/>
        <i/>
        <sz val="10"/>
        <rFont val="Arial"/>
        <family val="2"/>
      </rPr>
      <t>Icut</t>
    </r>
    <r>
      <rPr>
        <i/>
        <sz val="10"/>
        <rFont val="Arial"/>
        <family val="2"/>
      </rPr>
      <t xml:space="preserve"> shutdown produced.   Allows for PSE's that measure elapsed time </t>
    </r>
    <r>
      <rPr>
        <b/>
        <i/>
        <sz val="10"/>
        <rFont val="Arial"/>
        <family val="2"/>
      </rPr>
      <t>Tcut</t>
    </r>
    <r>
      <rPr>
        <i/>
        <sz val="10"/>
        <rFont val="Arial"/>
        <family val="2"/>
      </rPr>
      <t xml:space="preserve"> over a longer time window.</t>
    </r>
  </si>
  <si>
    <t xml:space="preserve">         Inrush_Strategy_c0=</t>
  </si>
  <si>
    <t xml:space="preserve">         Inrush_Strategy_c4=</t>
  </si>
  <si>
    <t xml:space="preserve">         Inrush_Strategy_cN=</t>
  </si>
  <si>
    <t>Maximum In-Rush Load Current Supplied During After 1 msec given Class N power-up.</t>
  </si>
  <si>
    <t>This binary indicator is set to "1" when a PSE is determined to be using means other than normal 802.3at detection measurements to resolve the valid detection range.</t>
  </si>
  <si>
    <t>While not required by the standard, one would expect to see normal 802.3at detection pulses when PD signatures are somewhat out of the valid band.   Some PSE's withold 802.3at detection measurements until the signature is virtually inside the valid detection band.</t>
  </si>
  <si>
    <t xml:space="preserve">Type 0:  Normal 802.3at Detection Methods </t>
  </si>
  <si>
    <t>This parameter categorizes PSE port detection strategy into one of 6 categories.   Pre-Detection Only indicates PSE does not form full 802.3at detection pulses until a near valid detection signature is present.   Zero-Backoff means the PSE does not have distinct backoffs during open circuit detection.   50V Pulses refers to existance of legacy detection pulses prior to any PD connection.  Type 4 and 5 indicate that the open circuit detection signaling is entirely above the required PD signature band and thus PSE is relying on PD Detection Signature to be visible outside the minimum specified valid signature band.</t>
  </si>
  <si>
    <t>Type 0:  Normal 802.3at Detection Backoffs                                              Type 1:  Non-802.3 Signaling Detected                                                  Type 2:  50 Volt Legacy Detection Pulses Detected                                            Type 3: PoH Double-Detection Scheme</t>
  </si>
  <si>
    <t>Duration of 802.3at Detection Measurements</t>
  </si>
  <si>
    <t>Measured only over 802.3at Min to Max detection levels.</t>
  </si>
  <si>
    <t>A PSE must support 400 mA of inrush current during power-up so long as port voltage (Inrush_Voltage) remains above 30VDC.</t>
  </si>
  <si>
    <t>Effective PSE Shunt Port Resistance During Power-Down. This will generally be the same as Rrev in the 802.3at specification.</t>
  </si>
  <si>
    <t>PSE Conformance Test Suite</t>
  </si>
  <si>
    <t>30W_Grant:</t>
  </si>
  <si>
    <t>Alt-A</t>
  </si>
  <si>
    <t>Alt-B</t>
  </si>
  <si>
    <t>30W Grant (PSE Type) Dependence</t>
  </si>
  <si>
    <r>
      <t xml:space="preserve">The Interop Index should </t>
    </r>
    <r>
      <rPr>
        <b/>
        <sz val="10"/>
        <color theme="3"/>
        <rFont val="Arial"/>
        <family val="2"/>
      </rPr>
      <t xml:space="preserve">not </t>
    </r>
    <r>
      <rPr>
        <sz val="10"/>
        <color theme="3"/>
        <rFont val="Arial"/>
        <family val="2"/>
      </rPr>
      <t>be interpreted as a probability or percentage of PD's that will operate with this PSE.  Instead, it is simply an aggregate score of performance developed from the test data collected on the Loop1 page of this report.  It will be influenced therefore by what tests are run and by how many ports are tested.</t>
    </r>
  </si>
  <si>
    <t>test port version info</t>
  </si>
  <si>
    <t>Sig. Dig.</t>
  </si>
  <si>
    <t>MinFW Ver:</t>
  </si>
  <si>
    <t>Minumum 802.3at Voltage Step Magnitude</t>
  </si>
  <si>
    <r>
      <t xml:space="preserve">Determines if Port Voltage or </t>
    </r>
    <r>
      <rPr>
        <b/>
        <sz val="10"/>
        <rFont val="Arial"/>
        <family val="2"/>
      </rPr>
      <t>Tinrush</t>
    </r>
    <r>
      <rPr>
        <sz val="10"/>
        <rFont val="Arial"/>
        <family val="2"/>
      </rPr>
      <t xml:space="preserve"> Time is used to mark the end of the Power Up (Inrush) processing state.  If Voltage is used, characterizes subsequent current limiting behavior given Class N power-up.                                           0 = Time (802.3at  recommended)
1= Voltage, current limited @ </t>
    </r>
    <r>
      <rPr>
        <b/>
        <sz val="10"/>
        <rFont val="Arial"/>
        <family val="2"/>
      </rPr>
      <t>Ilim_1</t>
    </r>
    <r>
      <rPr>
        <sz val="10"/>
        <rFont val="Arial"/>
        <family val="2"/>
      </rPr>
      <t xml:space="preserve"> (&lt; 450mA) for </t>
    </r>
    <r>
      <rPr>
        <b/>
        <sz val="10"/>
        <rFont val="Arial"/>
        <family val="2"/>
      </rPr>
      <t>Tlim_1</t>
    </r>
    <r>
      <rPr>
        <sz val="10"/>
        <rFont val="Arial"/>
        <family val="2"/>
      </rPr>
      <t xml:space="preserve"> (50-75 msec)
2= Voltage, current limited @ </t>
    </r>
    <r>
      <rPr>
        <b/>
        <sz val="10"/>
        <rFont val="Arial"/>
        <family val="2"/>
      </rPr>
      <t>Ilim_1</t>
    </r>
    <r>
      <rPr>
        <sz val="10"/>
        <rFont val="Arial"/>
        <family val="2"/>
      </rPr>
      <t xml:space="preserve"> (&lt; 450mA) for &gt; </t>
    </r>
    <r>
      <rPr>
        <b/>
        <sz val="10"/>
        <rFont val="Arial"/>
        <family val="2"/>
      </rPr>
      <t xml:space="preserve">Tlim_1(max)
</t>
    </r>
    <r>
      <rPr>
        <sz val="10"/>
        <rFont val="Arial"/>
        <family val="2"/>
      </rPr>
      <t xml:space="preserve">3= Voltage, current not limited @ </t>
    </r>
    <r>
      <rPr>
        <b/>
        <sz val="10"/>
        <rFont val="Arial"/>
        <family val="2"/>
      </rPr>
      <t>Ilim_1</t>
    </r>
    <r>
      <rPr>
        <sz val="10"/>
        <rFont val="Arial"/>
        <family val="2"/>
      </rPr>
      <t xml:space="preserve"> (&lt; 450mA) and/or no inrush shutdown
4= Voltage, current limited @ </t>
    </r>
    <r>
      <rPr>
        <b/>
        <sz val="10"/>
        <rFont val="Arial"/>
        <family val="2"/>
      </rPr>
      <t xml:space="preserve">Ilim_1 </t>
    </r>
    <r>
      <rPr>
        <sz val="10"/>
        <rFont val="Arial"/>
        <family val="2"/>
      </rPr>
      <t xml:space="preserve">(&lt; 450mA) + low voltage shutdown </t>
    </r>
  </si>
  <si>
    <t xml:space="preserve">           Pclass_LLDP_22.7=</t>
  </si>
  <si>
    <t xml:space="preserve">           Pclass_LLDP_24.5=</t>
  </si>
  <si>
    <t xml:space="preserve">Indicator as to whether the PSE supported a Pclass_pse power level following a 22.7 watt LLDP power allocation.  0= FAIL, 1= PASS.  </t>
  </si>
  <si>
    <t xml:space="preserve">Indicator as to whether the PSE supported a Pclass_pse power level following a 24.5 watt LLDP power allocation.  0= FAIL, 1= PASS.  </t>
  </si>
  <si>
    <t>Purpose is to search for flaws in LLDP power allocation algorithms.  Value will be -1 for non-LLDP granting PSE's, when testing with Type-1 PD emulation, and if PSE fails to allocate requested power.</t>
  </si>
  <si>
    <t xml:space="preserve">              Pwr_Cl_Uneven=</t>
  </si>
  <si>
    <t xml:space="preserve">                  Pwr_Cl_55=</t>
  </si>
  <si>
    <t xml:space="preserve">                 Pwr_Cl_lim=</t>
  </si>
  <si>
    <t xml:space="preserve">       Link_Down_Shutdown_?=</t>
  </si>
  <si>
    <t>Sig.Digs.</t>
  </si>
  <si>
    <t>Indicator of PSE response when LAN link drops after powering and negotiating with a PD.  0= POWERED, 1= POWER_REMOVED.</t>
  </si>
  <si>
    <t>Test evaluates power status 12 seconds after LAN Link Drop.   PSE's that drop power are at risk interoperating with PD's that deliberately shut down PHY's.</t>
  </si>
  <si>
    <t>PD TYPE:</t>
  </si>
  <si>
    <t>Pwr'd Prs:</t>
  </si>
  <si>
    <t>Test Count</t>
  </si>
  <si>
    <t>Parameter Count</t>
  </si>
  <si>
    <t>Last 3 rows are</t>
  </si>
  <si>
    <t>Tests Run:</t>
  </si>
  <si>
    <t>Total Parameters:</t>
  </si>
  <si>
    <t xml:space="preserve">           Class_Reset_Time=</t>
  </si>
  <si>
    <t xml:space="preserve">         Class_Probe_Events=</t>
  </si>
  <si>
    <t xml:space="preserve">              Class_Reset_V=</t>
  </si>
  <si>
    <t>BT:</t>
  </si>
  <si>
    <t xml:space="preserve">     PSE_Alloc_Pwr_bt_tlv_1=</t>
  </si>
  <si>
    <t xml:space="preserve">   PD_Power_Adjust_bt_tlv_1=</t>
  </si>
  <si>
    <t xml:space="preserve">   PD_Power_Adjust_bt_tlv_2=</t>
  </si>
  <si>
    <t xml:space="preserve">     PSE_Alloc_Pwr_bt_tlv_2=</t>
  </si>
  <si>
    <t xml:space="preserve">     PSE_Alloc_Pwr_bt_tlv_n=</t>
  </si>
  <si>
    <t xml:space="preserve">   PD_Power_Adjust_bt_tlv_n=</t>
  </si>
  <si>
    <t>For Type-3 BT 2-pair PSEs. Maximum value of the Class Reset Voltage after a Class Probe and prior to Classification</t>
  </si>
  <si>
    <t>For Type-3 BT 2-Pair PSEs.  Number of Class Events in the Class Probe</t>
  </si>
  <si>
    <t>For Type-3 BT 2-Pair PSEs.  Time duration of a Class Reset after a Class Probe and Prior to Classification</t>
  </si>
  <si>
    <t>802.3at</t>
  </si>
  <si>
    <t>802.3bt</t>
  </si>
  <si>
    <t>802.3at vs 802.3bt Dependence</t>
  </si>
  <si>
    <t>PD Pwr Type + 30W Grant Dependence</t>
  </si>
  <si>
    <t>Conformance Test Suite for 802.3at, 802.3bt</t>
  </si>
  <si>
    <t xml:space="preserve">PSA-3000 Conformance Suite for 802.3bt </t>
  </si>
  <si>
    <t>PHY,PHY+</t>
  </si>
  <si>
    <t>All</t>
  </si>
  <si>
    <t>30W Grnt=</t>
  </si>
  <si>
    <t>SEE</t>
  </si>
  <si>
    <t>BELOW</t>
  </si>
  <si>
    <t>BT vs AT + 30W Grant + PD TYPE Dependence</t>
  </si>
  <si>
    <t>BT vs AT+ 30W Grant Dependence</t>
  </si>
  <si>
    <t>PHY+LLDP</t>
  </si>
  <si>
    <t xml:space="preserve"> Pwr'd Prs:</t>
  </si>
  <si>
    <t xml:space="preserve"> PD TYPE:</t>
  </si>
  <si>
    <t>YES</t>
  </si>
  <si>
    <t>NO</t>
  </si>
  <si>
    <t xml:space="preserve"> BT:</t>
  </si>
  <si>
    <r>
      <t>EVENT COUNT LIMITS</t>
    </r>
    <r>
      <rPr>
        <sz val="10"/>
        <rFont val="Arial"/>
        <family val="2"/>
      </rPr>
      <t xml:space="preserve"> (</t>
    </r>
    <r>
      <rPr>
        <i/>
        <sz val="10"/>
        <rFont val="Arial"/>
        <family val="2"/>
      </rPr>
      <t>hardcoded into formula</t>
    </r>
    <r>
      <rPr>
        <sz val="10"/>
        <rFont val="Arial"/>
        <family val="2"/>
      </rPr>
      <t>)</t>
    </r>
  </si>
  <si>
    <t xml:space="preserve">                Event1_Tlce=</t>
  </si>
  <si>
    <t>Duration of the LCE Event for Type 3 PSEs</t>
  </si>
  <si>
    <t xml:space="preserve">                 Tlim_Min_1=</t>
  </si>
  <si>
    <t xml:space="preserve">                 Tlim_Min_2=</t>
  </si>
  <si>
    <t xml:space="preserve">                 Tlim_Max_1=</t>
  </si>
  <si>
    <t xml:space="preserve">                 Tlim_Max_2=</t>
  </si>
  <si>
    <r>
      <t xml:space="preserve">Fastest rise time that can be measured is 6usec.  If -99, then rise time measurement likely false triggered on a large voltage transient most likely at start or end of classification pulse.
As of report version </t>
    </r>
    <r>
      <rPr>
        <b/>
        <i/>
        <sz val="10"/>
        <rFont val="Arial"/>
        <family val="2"/>
      </rPr>
      <t>5.1.04</t>
    </r>
    <r>
      <rPr>
        <i/>
        <sz val="10"/>
        <rFont val="Arial"/>
        <family val="2"/>
      </rPr>
      <t>, this parameter is PASS/</t>
    </r>
    <r>
      <rPr>
        <b/>
        <i/>
        <sz val="10"/>
        <rFont val="Arial"/>
        <family val="2"/>
      </rPr>
      <t>INFO</t>
    </r>
    <r>
      <rPr>
        <i/>
        <sz val="10"/>
        <rFont val="Arial"/>
        <family val="2"/>
      </rPr>
      <t xml:space="preserve"> and not PASS/</t>
    </r>
    <r>
      <rPr>
        <b/>
        <i/>
        <sz val="10"/>
        <rFont val="Arial"/>
        <family val="2"/>
      </rPr>
      <t xml:space="preserve">FAIL </t>
    </r>
    <r>
      <rPr>
        <i/>
        <sz val="10"/>
        <rFont val="Arial"/>
        <family val="2"/>
      </rPr>
      <t xml:space="preserve">because technically speaking, the explicit measurement of 10% to 90% of </t>
    </r>
    <r>
      <rPr>
        <b/>
        <i/>
        <sz val="10"/>
        <rFont val="Arial"/>
        <family val="2"/>
      </rPr>
      <t>Vpse</t>
    </r>
    <r>
      <rPr>
        <i/>
        <sz val="10"/>
        <rFont val="Arial"/>
        <family val="2"/>
      </rPr>
      <t xml:space="preserve"> is not possible with the PSA time interval measurement and would not be feasible using any method if the PSE powers up from Vmark (2-Event classification).   A rise time measurement with an </t>
    </r>
    <r>
      <rPr>
        <b/>
        <i/>
        <sz val="10"/>
        <rFont val="Arial"/>
        <family val="2"/>
      </rPr>
      <t>INFO</t>
    </r>
    <r>
      <rPr>
        <i/>
        <sz val="10"/>
        <rFont val="Arial"/>
        <family val="2"/>
      </rPr>
      <t xml:space="preserve"> mark indicates a power-up slew rate that exceeds the 'intent' of the 802.3 standard.</t>
    </r>
  </si>
  <si>
    <t>Interoperability Weight Scale</t>
  </si>
  <si>
    <r>
      <t xml:space="preserve">PSE Conformance Test Suite </t>
    </r>
    <r>
      <rPr>
        <b/>
        <sz val="14"/>
        <color theme="4" tint="0.79998168889431442"/>
        <rFont val="Arial"/>
        <family val="2"/>
      </rPr>
      <t>5.x.x</t>
    </r>
    <r>
      <rPr>
        <b/>
        <sz val="14"/>
        <color rgb="FFFFFFFF"/>
        <rFont val="Arial"/>
        <family val="2"/>
      </rPr>
      <t xml:space="preserve"> (</t>
    </r>
    <r>
      <rPr>
        <b/>
        <sz val="14"/>
        <color theme="4" tint="0.79998168889431442"/>
        <rFont val="Arial"/>
        <family val="2"/>
      </rPr>
      <t>PSA-3000</t>
    </r>
    <r>
      <rPr>
        <b/>
        <sz val="14"/>
        <color rgb="FFFFFFFF"/>
        <rFont val="Arial"/>
        <family val="2"/>
      </rPr>
      <t>) Tests and Parameters</t>
    </r>
  </si>
  <si>
    <r>
      <t xml:space="preserve">802.3at / 802.3bt Test Limits            </t>
    </r>
    <r>
      <rPr>
        <i/>
        <sz val="10"/>
        <color theme="2"/>
        <rFont val="Arial"/>
        <family val="2"/>
      </rPr>
      <t/>
    </r>
  </si>
  <si>
    <t>Tlim_max_n=</t>
  </si>
  <si>
    <t xml:space="preserve">                     Tlim_n=
or      Tlim_min_n=</t>
  </si>
  <si>
    <t>TYPE-3 PSE Only:  Time until power removal given an 850mA load pulse with foldback suppression.</t>
  </si>
  <si>
    <r>
      <t xml:space="preserve">Time until power removal given an Ilim_Min load pulse (no foldback suppression).  </t>
    </r>
    <r>
      <rPr>
        <b/>
        <sz val="10"/>
        <rFont val="Arial"/>
        <family val="2"/>
      </rPr>
      <t>Tlim_min_n</t>
    </r>
    <r>
      <rPr>
        <sz val="10"/>
        <rFont val="Arial"/>
        <family val="2"/>
      </rPr>
      <t xml:space="preserve"> reported with TYPE-3 PSE's.</t>
    </r>
  </si>
  <si>
    <t>Test: pwron_autoclass</t>
  </si>
  <si>
    <t xml:space="preserve">         Autoclass_Shutdown=</t>
  </si>
  <si>
    <t xml:space="preserve">          Pac_margin_C3_low=</t>
  </si>
  <si>
    <t xml:space="preserve">         Pac_margin_C3_high=</t>
  </si>
  <si>
    <t xml:space="preserve">Test: pwron_autoclass              </t>
  </si>
  <si>
    <t>Set PSE power to 95% of Pclass and determine if PSE removes power</t>
  </si>
  <si>
    <t>PSE powers 3W in Class 3 and determines that PSE maintains power at Pautoclass + Pac_margin.  Pac_margin for Class 1-4 is 0.5 W.</t>
  </si>
  <si>
    <t>PSE powers 9W in Class 3 and determines that PSE maintains power at Pautoclass + Pac_margin.  Pac_margin for Class 1-4 is 0.5 W.</t>
  </si>
  <si>
    <t>This is an INFO only paramter.  If PSE removes power set to 1 otherwise set to 0.  A value of 0 implies that the PSE does not support Autoclass.  The remaining parameters will not be tested and values will be set to 99.</t>
  </si>
  <si>
    <t>If PSE remains powered set to 1 otherwise set to 0.  If PSE determined to not support Autoclass then set to 99.</t>
  </si>
  <si>
    <t>PSE powers 3W in Class 4 and determines that PSE maintains power at Pautoclass + Pac_margin.  Pac_margin for Class 1-4 is 0.5 W.</t>
  </si>
  <si>
    <t>PSE powers 16W in Class 4 and determines that PSE maintains power at Pautoclass + Pac_margin.  Pac_margin for Class 1-4 is 0.5 W.</t>
  </si>
  <si>
    <t xml:space="preserve">          Pac_margin_C4_low=</t>
  </si>
  <si>
    <t xml:space="preserve">         Pac_margin_C4_high=</t>
  </si>
  <si>
    <t xml:space="preserve">               Autoclass_4W=</t>
  </si>
  <si>
    <t>Powers PSE with Pautoclass &lt; 4W then applys 95% of Pclass.  Verifies that PSE remains powered.</t>
  </si>
  <si>
    <t>Parameter from Supplemental Spec 802.3cv.  Returns 1 if PSE remains powered otherwise set to 0.  If PSE does not support Autoclass then value is set to 99.</t>
  </si>
  <si>
    <t>Additional Information</t>
  </si>
  <si>
    <t>PSE12</t>
  </si>
  <si>
    <t>PSE13</t>
  </si>
  <si>
    <t>33.2.5.1</t>
  </si>
  <si>
    <t xml:space="preserve">PSE5
PSE11
PSE13
PSE16
PSE17
PSE18
</t>
  </si>
  <si>
    <t xml:space="preserve">33.2.4.1
33.2.5.1
33.2.5.2
33.2.5.2
</t>
  </si>
  <si>
    <t>PSE9
PSE10
PSE19
PSE20</t>
  </si>
  <si>
    <t>33.2.5
33.2.5.3</t>
  </si>
  <si>
    <t>33.2.6.1
33.2.6.2</t>
  </si>
  <si>
    <t>33.2.4.4
33.2.4.6
33.2.6
33.2.6.1
33.2.6.2</t>
  </si>
  <si>
    <t>33.2.6
33.2.6.1
33.2.6.2</t>
  </si>
  <si>
    <t>PSE25
PSE26
PSE33
PSE36
PSE44
PSE45</t>
  </si>
  <si>
    <t>PSE23
PSE24
PSE31
PSE32
PSE40
PSE41
PSE42
PSE46</t>
  </si>
  <si>
    <t>PSE47</t>
  </si>
  <si>
    <t>33.2.7</t>
  </si>
  <si>
    <t>PSE47
PSE54
PSE55</t>
  </si>
  <si>
    <t>33.2.7
33.2.7.5</t>
  </si>
  <si>
    <t>PSE47
PSE50
PSE56
PSE57
PSE58</t>
  </si>
  <si>
    <t>33.2.7
33.2.7.2
33.2.7.7</t>
  </si>
  <si>
    <t>PSE12
PSE15
PSE59</t>
  </si>
  <si>
    <t>33.2.5.1
33.2.7.8</t>
  </si>
  <si>
    <t>PSE60</t>
  </si>
  <si>
    <t>33.2.7.9</t>
  </si>
  <si>
    <t>PSE64</t>
  </si>
  <si>
    <t>33.2.9.1.1</t>
  </si>
  <si>
    <t>PSE65
PSE66
PSE67</t>
  </si>
  <si>
    <t>PSE47
PSE69
PSE70</t>
  </si>
  <si>
    <t>33.2.7
33.2.9.1.2</t>
  </si>
  <si>
    <t>PSE47
PSE68
PSE71</t>
  </si>
  <si>
    <t>33.2.4.4
33.2.4.6
33.2.6
33.6
33.6.1
33.6.2
33.6.3</t>
  </si>
  <si>
    <t>PSE8
PSE47
PSE48
PSE52</t>
  </si>
  <si>
    <t>33.2.4.6
33.2.7
33.2.7.1
33.2.7.3</t>
  </si>
  <si>
    <t>PSE6
PSE7
PSE21
PSE27
PSE29
PSE34
PSE37
PSE38
PSE39
PSE43</t>
  </si>
  <si>
    <t>PSE8
PSE22
PSE28
PSE29
PSE30
PSE35
PSE43
PSE47
PSE63</t>
  </si>
  <si>
    <t>33.2.4.6
33.2.6
33.2.6.1
33.2.6.2
33.2.7
3.2.8</t>
  </si>
  <si>
    <t>PSE22
PSE51
PSE53
PSE63</t>
  </si>
  <si>
    <t>33.2.6
33.2.7.2
33.2.7.4
33.2.8</t>
  </si>
  <si>
    <t>802.3at PICS Tested Implicitly or Reduntantly</t>
  </si>
  <si>
    <t>802.3at Summary</t>
  </si>
  <si>
    <t>802.3at PICS Not Tested</t>
  </si>
  <si>
    <t>802.3bt PICS Not Tested</t>
  </si>
  <si>
    <t>Total Tested</t>
  </si>
  <si>
    <t>% Covered</t>
  </si>
  <si>
    <t>802.3bt Summary</t>
  </si>
  <si>
    <t>Clause</t>
  </si>
  <si>
    <t>PICS</t>
  </si>
  <si>
    <t>145.2.5.1
145.2.6.1
145.2.6.2
145.2.7
145.2.10.11</t>
  </si>
  <si>
    <t>PSE6
PSE10
PSE12
PSE15
PSE16
PSE17
PSE21
PSD75</t>
  </si>
  <si>
    <t>PSE76:  Applies to Dual Signature PD powering</t>
  </si>
  <si>
    <t xml:space="preserve">PSE12
</t>
  </si>
  <si>
    <t xml:space="preserve">145.2.6.2
</t>
  </si>
  <si>
    <t>PSE21:  Applies to 4-Pair PSE's that do connection check</t>
  </si>
  <si>
    <t>802.3bt PICS Tested Implicitly or Only Relevant to 4-Pair PSE's</t>
  </si>
  <si>
    <t xml:space="preserve">PSE9
PSE18
PSE19
</t>
  </si>
  <si>
    <t>PSE56:  Pertains to 4-Pair ID</t>
  </si>
  <si>
    <t>145.2.6
145.2.6.3
145.2.6.4</t>
  </si>
  <si>
    <t>PSE4
PSE5
PSE57</t>
  </si>
  <si>
    <t>145.2.5
145.2.5.1
145.2.10</t>
  </si>
  <si>
    <t>PSE7:  Applies to 4-Pair PSE's performing detection/connection check</t>
  </si>
  <si>
    <t>PSE11</t>
  </si>
  <si>
    <t>145.2.6.1</t>
  </si>
  <si>
    <t>PSE2:  Test won't operate unless PSE is valid Alt-A or Alt-B</t>
  </si>
  <si>
    <t>PSE3:  Test won't operate unless PSE is valid Alt-A or Alt-B</t>
  </si>
  <si>
    <t>PSE20:  Applies to 4-Pair PSE's that do connection check</t>
  </si>
  <si>
    <t>PSE22:  Applies to 4-Pair PSE's that do connection check</t>
  </si>
  <si>
    <t>145.2.8
145.2.8.1</t>
  </si>
  <si>
    <t>PSE1:  Type-4 Polarity Configuration with Limit Check in Test Report Header</t>
  </si>
  <si>
    <t>PSE14:  No capability to drive current into PSE port - this would risk damage to PSE port</t>
  </si>
  <si>
    <t>PSE61:  No ability to measure individual conductor currents nor to create ideal external balance</t>
  </si>
  <si>
    <t>PSE62:  No abilit to measure LAN Differential pulse characteristics (droop)</t>
  </si>
  <si>
    <t>PSE1:  Test Suite tests Endspans and Midspans</t>
  </si>
  <si>
    <t>PSE2:  Test won't operate unless Alt-A or Alt-B implemented</t>
  </si>
  <si>
    <t>PSE3:  Tests are organized by State Machine functions</t>
  </si>
  <si>
    <t>PSE4:  Redundant with other PICS (e.g. PSE27, PSE29, PSE47)</t>
  </si>
  <si>
    <t>PSE38
PSE40
PSE42
PSE44
PSE49
PSE50
PSE52
PSE53</t>
  </si>
  <si>
    <t>PSE28: Applies to Dual Signature PD detection</t>
  </si>
  <si>
    <t>PSE33: Applies to Dual Signature PD classification</t>
  </si>
  <si>
    <t>PSE31: Applies to Dual Signature PD classification</t>
  </si>
  <si>
    <t>PSE34:  Applies to Type-4 PSE's</t>
  </si>
  <si>
    <t>PSE35:  Applies to Type-4 PSE's</t>
  </si>
  <si>
    <t>PSE53:  Applies to Dual Signature PD classification</t>
  </si>
  <si>
    <t xml:space="preserve">145.2.8
145.2.8.1
</t>
  </si>
  <si>
    <t>PSE8:  This is primarily applicable to 4-Pair PSE's</t>
  </si>
  <si>
    <t>PSE27
PSE29
PSE30
PSE32
PSA36
PSE38
PSE40
PSE41
PSE43
PSE45
PSE50
PSE51
PSE52</t>
  </si>
  <si>
    <t>PSE37:  Applies to Dual Signature PD classification</t>
  </si>
  <si>
    <t>145.2.5
145.2.8.1</t>
  </si>
  <si>
    <t>PSE4
PSE30
PSE46
PSE47
PSE48</t>
  </si>
  <si>
    <t>PSE6
PSE7
PSE21
DLL1
DLL2
DLL3
DLL4
DLL5
DLL9</t>
  </si>
  <si>
    <t>DLL1
DLL2
DLL8
DLL9
PVT3
PVT18
PVT19</t>
  </si>
  <si>
    <t>145.5.1
145.5.2
145.5.3
79.3.2
79.3.2.5
79.3.2.6</t>
  </si>
  <si>
    <t>PSE60:  Applies to 4-Pair Powering</t>
  </si>
  <si>
    <t>PSE4
PSE57
PSE80</t>
  </si>
  <si>
    <t>PSE81:  Applies to Dual Signature PD powering</t>
  </si>
  <si>
    <t>145.2.5
145.2.10
145.2.10.14</t>
  </si>
  <si>
    <t>PSE4
PSE57
PSE68
PSE69</t>
  </si>
  <si>
    <t>145.2.5
145.2.10.7</t>
  </si>
  <si>
    <t>PSE57
PSE58
PSE61
PSE64</t>
  </si>
  <si>
    <t>145.2.10
145.2.10.1
145.2.10.3
145.2.10.5</t>
  </si>
  <si>
    <t>PSE29
PSE65
PSE68
PSE82</t>
  </si>
  <si>
    <t>145.2.8
145.2.10.6
145.2.10.7
145.2.11</t>
  </si>
  <si>
    <t>PSE57
PSE61
PSE71
PSE72
PSE73</t>
  </si>
  <si>
    <t>PSE79:  Applies to 4-Pair Type-4 PSE powering</t>
  </si>
  <si>
    <t>145.2.10.3
145.2.10.9</t>
  </si>
  <si>
    <t xml:space="preserve">PSE24a
PSE39
PSE54
PSE55
</t>
  </si>
  <si>
    <t>145.2.8.1
145.2.8.2</t>
  </si>
  <si>
    <t>PSE57
PSE62
PSE66
PSE82</t>
  </si>
  <si>
    <t>145.2.10.3
145.2.10.6
145.2.11</t>
  </si>
  <si>
    <t>145.2.10
145.2.12</t>
  </si>
  <si>
    <t>PSE57
PSE83
PSE84
PSE85
PSE87</t>
  </si>
  <si>
    <t>PSE88 - PSE96:  All apply to 4-Pair Powering</t>
  </si>
  <si>
    <t>PSE57
PSE83
PSE85
PSE86</t>
  </si>
  <si>
    <t>PSE14
PSE57
PSE74</t>
  </si>
  <si>
    <t>145.2.6.1
145.2.10.10</t>
  </si>
  <si>
    <t>PSE4
PSE57
PSE75
PSE76</t>
  </si>
  <si>
    <t>145.2.5
145.2.10
145.2.10.11</t>
  </si>
  <si>
    <r>
      <rPr>
        <b/>
        <i/>
        <sz val="10"/>
        <rFont val="Arial"/>
        <family val="2"/>
      </rPr>
      <t>Ilim_min</t>
    </r>
    <r>
      <rPr>
        <i/>
        <sz val="10"/>
        <rFont val="Arial"/>
        <family val="2"/>
      </rPr>
      <t xml:space="preserve"> is completely redefined in 802.3at and 802.3bt to represent a MINIMUM transient current level that a PSE port must support for a minimum duration of </t>
    </r>
    <r>
      <rPr>
        <b/>
        <i/>
        <sz val="10"/>
        <rFont val="Arial"/>
        <family val="2"/>
      </rPr>
      <t>Tlim_Min</t>
    </r>
    <r>
      <rPr>
        <i/>
        <sz val="10"/>
        <rFont val="Arial"/>
        <family val="2"/>
      </rPr>
      <t xml:space="preserve">.  For Type-1 and 15W Type-3 PSE's (Type-1 PD emulation), the PSE must support 400mA for 50 msec.   For Type-2 and 30W Type-3 PSE's, the PSE must support 684 mA for 10 msec assuming port voltage does not drop below </t>
    </r>
    <r>
      <rPr>
        <b/>
        <i/>
        <sz val="10"/>
        <rFont val="Arial"/>
        <family val="2"/>
      </rPr>
      <t>Vpse_min</t>
    </r>
    <r>
      <rPr>
        <i/>
        <sz val="10"/>
        <rFont val="Arial"/>
        <family val="2"/>
      </rPr>
      <t xml:space="preserve">.   Given these loads, the PSE should support a port voltage of </t>
    </r>
    <r>
      <rPr>
        <b/>
        <i/>
        <sz val="10"/>
        <rFont val="Arial"/>
        <family val="2"/>
      </rPr>
      <t>Vpse_min</t>
    </r>
    <r>
      <rPr>
        <i/>
        <sz val="10"/>
        <rFont val="Arial"/>
        <family val="2"/>
      </rPr>
      <t xml:space="preserve"> or higher.
</t>
    </r>
    <r>
      <rPr>
        <b/>
        <i/>
        <sz val="10"/>
        <rFont val="Arial"/>
        <family val="2"/>
      </rPr>
      <t>Tlim_max</t>
    </r>
    <r>
      <rPr>
        <i/>
        <sz val="10"/>
        <rFont val="Arial"/>
        <family val="2"/>
      </rPr>
      <t xml:space="preserve"> with Type-3 PSE's is tested using an 850mA load rather than </t>
    </r>
    <r>
      <rPr>
        <b/>
        <i/>
        <sz val="10"/>
        <rFont val="Arial"/>
        <family val="2"/>
      </rPr>
      <t>Ilim_min</t>
    </r>
    <r>
      <rPr>
        <i/>
        <sz val="10"/>
        <rFont val="Arial"/>
        <family val="2"/>
      </rPr>
      <t xml:space="preserve"> in accordance with the Type-3 current template in clause 145.</t>
    </r>
  </si>
  <si>
    <t>Reported with 802.3at PSE's.</t>
  </si>
  <si>
    <t>Reported with 802.3bt Type-3 PSE's</t>
  </si>
  <si>
    <r>
      <t xml:space="preserve">A PSE using the voltage method (legacy_powerup exception in 802.3at) will not necessarily limit inrush current to a PD that delays its inrush load by even just one millisecond.   This could damage a PD that is expecting inrush PSE-based limiting.   If </t>
    </r>
    <r>
      <rPr>
        <b/>
        <i/>
        <sz val="10"/>
        <rFont val="Arial"/>
        <family val="2"/>
      </rPr>
      <t>Inrush_Strategy_cN</t>
    </r>
    <r>
      <rPr>
        <i/>
        <sz val="10"/>
        <rFont val="Arial"/>
        <family val="2"/>
      </rPr>
      <t xml:space="preserve"> is 1, the PSE is using Type-1 </t>
    </r>
    <r>
      <rPr>
        <b/>
        <i/>
        <sz val="10"/>
        <rFont val="Arial"/>
        <family val="2"/>
      </rPr>
      <t>Ilim</t>
    </r>
    <r>
      <rPr>
        <i/>
        <sz val="10"/>
        <rFont val="Arial"/>
        <family val="2"/>
      </rPr>
      <t xml:space="preserve"> and </t>
    </r>
    <r>
      <rPr>
        <b/>
        <i/>
        <sz val="10"/>
        <rFont val="Arial"/>
        <family val="2"/>
      </rPr>
      <t>Tlim</t>
    </r>
    <r>
      <rPr>
        <i/>
        <sz val="10"/>
        <rFont val="Arial"/>
        <family val="2"/>
      </rPr>
      <t xml:space="preserve"> to produce a shutdown after 50 msec and before 75 msec while limiting to 450mA or less, so this is almost as good as the recommended </t>
    </r>
    <r>
      <rPr>
        <b/>
        <i/>
        <sz val="10"/>
        <rFont val="Arial"/>
        <family val="2"/>
      </rPr>
      <t>Tinrush</t>
    </r>
    <r>
      <rPr>
        <i/>
        <sz val="10"/>
        <rFont val="Arial"/>
        <family val="2"/>
      </rPr>
      <t xml:space="preserve"> processing.  Values 2 and 3 produce INFO warnings as they risk damage to a PD.   Value 4 produces INFO warning as it may prohibit PD powering.  With Type-3 (802.3bt) PSE's, </t>
    </r>
    <r>
      <rPr>
        <b/>
        <i/>
        <sz val="10"/>
        <rFont val="Arial"/>
        <family val="2"/>
      </rPr>
      <t>Inrush_Strategy</t>
    </r>
    <r>
      <rPr>
        <i/>
        <sz val="10"/>
        <rFont val="Arial"/>
        <family val="2"/>
      </rPr>
      <t xml:space="preserve"> must report 0 or test will FAIL.</t>
    </r>
  </si>
  <si>
    <r>
      <t xml:space="preserve">Excursion below 50V given a 250usec, 686mA load pulse when testing Type-2 PSE's.   In 802.3bt (clause 145), this parameter is named </t>
    </r>
    <r>
      <rPr>
        <b/>
        <sz val="10"/>
        <rFont val="Arial"/>
        <family val="2"/>
      </rPr>
      <t>Vtrans_2p</t>
    </r>
    <r>
      <rPr>
        <sz val="10"/>
        <rFont val="Arial"/>
        <family val="2"/>
      </rPr>
      <t>.</t>
    </r>
  </si>
  <si>
    <r>
      <t xml:space="preserve">Must support at least 100% of Ipeak for 50 msec. </t>
    </r>
    <r>
      <rPr>
        <b/>
        <i/>
        <sz val="10"/>
        <rFont val="Arial"/>
        <family val="2"/>
      </rPr>
      <t xml:space="preserve"> Ipeak</t>
    </r>
    <r>
      <rPr>
        <i/>
        <sz val="10"/>
        <rFont val="Arial"/>
        <family val="2"/>
      </rPr>
      <t xml:space="preserve"> computed from formula 33-4.</t>
    </r>
  </si>
  <si>
    <r>
      <t xml:space="preserve">Port voltage must be </t>
    </r>
    <r>
      <rPr>
        <i/>
        <u/>
        <sz val="10"/>
        <rFont val="Arial"/>
        <family val="2"/>
      </rPr>
      <t>&gt;</t>
    </r>
    <r>
      <rPr>
        <i/>
        <sz val="10"/>
        <rFont val="Arial"/>
        <family val="2"/>
      </rPr>
      <t xml:space="preserve"> </t>
    </r>
    <r>
      <rPr>
        <b/>
        <i/>
        <sz val="10"/>
        <rFont val="Arial"/>
        <family val="2"/>
      </rPr>
      <t>Vpse_min</t>
    </r>
  </si>
  <si>
    <r>
      <t xml:space="preserve">Maximum time over which a PSE can decide to reset it's </t>
    </r>
    <r>
      <rPr>
        <b/>
        <sz val="10"/>
        <rFont val="Arial"/>
        <family val="2"/>
      </rPr>
      <t>Tmpdo</t>
    </r>
    <r>
      <rPr>
        <sz val="10"/>
        <rFont val="Arial"/>
        <family val="2"/>
      </rPr>
      <t xml:space="preserve"> timer given a VALID DC MPS load level.    
802.3at (clause 33) PSE's should reset Tmpdo timer with 60msec or less of valid MPS current.
802.3bt (clause 145) PSE's should reset Tmpdo timer with 6msec or less of valid MPS current.</t>
    </r>
  </si>
  <si>
    <t>802.3at (clause 33) and 802.3bt (clause 145) have different requirements for I_hold.  Valid values are 5-10 mA for 802.3at and 4-9 mA for 802.3bt PSE's.</t>
  </si>
  <si>
    <t>802.3at (clause 33) and 802.3bt (clause 145) have different requirements for Tmpdo.  Valid values are 300 msec-400msec for 802.3at and 320-400msec for 802.3bt PSE's.</t>
  </si>
  <si>
    <t>802.3af Maintenance Request 1117 redfined error delay processing to allow detection and classification during the error delay interval so long as power-up is inhibited.  The 802.3at and 802.3bt PSE state machines include this optional PSE behavior.</t>
  </si>
  <si>
    <t>PSE13:  See 802.3at PSE14</t>
  </si>
  <si>
    <t>PSE23:  Applies to 4-Pair PSE's that do connection check</t>
  </si>
  <si>
    <t>PSE25:  Applies to pairset power removal from 4-Pair powering</t>
  </si>
  <si>
    <t>PSE24:  Applies to pairset power removal from 4-Pair powering</t>
  </si>
  <si>
    <t>PSE26:  Applies to pairset power removal from 4-Pair powering</t>
  </si>
  <si>
    <t>PSE63:  Applies to 4-Pair Powering</t>
  </si>
  <si>
    <t>PSE67:  Applies to 4-Pair Powering</t>
  </si>
  <si>
    <t>PSE70:  No ability to measure inrush current with PSE voltage between 5 and 30V</t>
  </si>
  <si>
    <t>PSE77:  See 802.3at PSE61</t>
  </si>
  <si>
    <t>PSE59:  See 802.3at PSE49</t>
  </si>
  <si>
    <t>PSE78:  See 802.3at PSE62</t>
  </si>
  <si>
    <t>PSE49:  No ability to adjust current at 35mA/usec and no assurance that a measurable slew rate would occur</t>
  </si>
  <si>
    <t>Total PSE  / Applicable DLL PICS</t>
  </si>
  <si>
    <t xml:space="preserve">For Type-3 BT 2-pair PSEs. 2 &gt; at_tlv value, 1 = at_tlv value, 0 &lt; at_tlv value.  -1 if PSE did not transmit BT TLVs </t>
  </si>
  <si>
    <t>If PD Emulation is done using a PSA-3102 test blade, then BT TLVs are not supported.  This will result in a -1 result that will FAIL.   PSA-3202 test blades should be used for Testing Type-3 PSE's that utilize LLDP.</t>
  </si>
  <si>
    <t xml:space="preserve">Peak output current from 1 to 75 msec given a current limiting (&gt; Ilim_Min) load pulse with foldback suppression.  </t>
  </si>
  <si>
    <r>
      <t xml:space="preserve">Informational only.   If it reports lower than </t>
    </r>
    <r>
      <rPr>
        <b/>
        <i/>
        <sz val="10"/>
        <rFont val="Arial"/>
        <family val="2"/>
      </rPr>
      <t>Ilim_min_n</t>
    </r>
    <r>
      <rPr>
        <i/>
        <sz val="10"/>
        <rFont val="Arial"/>
        <family val="2"/>
      </rPr>
      <t>, then the PSE is either shutting down or folding back to a lower current limit very rapidly (&lt;&lt; 1 msec).</t>
    </r>
  </si>
  <si>
    <t xml:space="preserve">          PSE_Detect_Source=</t>
  </si>
  <si>
    <t xml:space="preserve">              Class_0_Count=</t>
  </si>
  <si>
    <t xml:space="preserve">              Class_4_Count=</t>
  </si>
  <si>
    <t xml:space="preserve">          Power-On_Trise_c0=</t>
  </si>
  <si>
    <t xml:space="preserve">           Power-On_Tpon_c0=</t>
  </si>
  <si>
    <t xml:space="preserve">           Power-On_Tpon_c4=</t>
  </si>
  <si>
    <t xml:space="preserve">          Power-On_Trise_c4=</t>
  </si>
  <si>
    <t xml:space="preserve">                  Vport_max=</t>
  </si>
  <si>
    <t xml:space="preserve">                  Vport_min=</t>
  </si>
  <si>
    <t xml:space="preserve">               Vport_ripple=</t>
  </si>
  <si>
    <t xml:space="preserve">                Vport_noise=</t>
  </si>
  <si>
    <t xml:space="preserve">                 Vtrans_min=</t>
  </si>
  <si>
    <t xml:space="preserve">                 Vtrans_max=</t>
  </si>
  <si>
    <t xml:space="preserve">                Ilim_Peak_1=</t>
  </si>
  <si>
    <t xml:space="preserve">                Ilim_Peak_2=</t>
  </si>
  <si>
    <t>Indicate if Detection is a Current Source or Voltage Source</t>
  </si>
  <si>
    <t>set to 0 if Voltage Source, 1 if Current Source</t>
  </si>
  <si>
    <r>
      <t>det_rsource cannot determine if PSE output is diode protected or if reverse input resistance = Zout.  Rp (pwrdn_time) MAY be a more accurate indication of Rrev.  Maximum value reported will be 450K</t>
    </r>
    <r>
      <rPr>
        <i/>
        <sz val="10"/>
        <rFont val="Symbol"/>
        <family val="1"/>
        <charset val="2"/>
      </rPr>
      <t>W</t>
    </r>
    <r>
      <rPr>
        <i/>
        <sz val="10"/>
        <rFont val="Arial"/>
        <family val="2"/>
      </rPr>
      <t xml:space="preserve"> as this is highest Zout that can be resolved by the measurement technique.  If PSE_Detect_Source is 0 (Voltage) then this parameter is set to 0.</t>
    </r>
  </si>
  <si>
    <t>Classification Pulse (Or Event) Count for Class 0</t>
  </si>
  <si>
    <t>Classification Pulse (Or Event) Count for Class 4</t>
  </si>
  <si>
    <t>Class_0_Count must be 0 or 1 for Type 1 PSEs, 1 for Type 2 PSEs using LLDP, 1 or 2 for Type 2 PSEs using PHY and 1 for Type 3 PSEs.</t>
  </si>
  <si>
    <t>Class_4_Count must be 0 or 1 for Type 1 PSEs, 1 for Type 2 PSEs using LLDP, 2 for Type 2 PSEs using PHY and 2 or 3 for Type 3 PSEs.</t>
  </si>
  <si>
    <t xml:space="preserve">          Power-On_Trise_cN=</t>
  </si>
  <si>
    <t xml:space="preserve">           Power-On_Tpon_cN=</t>
  </si>
  <si>
    <t>Unscored</t>
  </si>
  <si>
    <t>Accept</t>
  </si>
  <si>
    <t>Type-1 and Type-2 PSEs are tested at all 5 PD Classes.  Type-1 PSE's expect to meet Class 3 specs when tested with Class 4 signature.  The power output, Pclass, required from a PSE port is calculated as as function of PSE port voltage at full load capacity using IEEE 802.3at equation 33-3.  The load current at full capacity is then ratio'd to Pclass / Vport_pse to produce Icon_%.</t>
  </si>
  <si>
    <t xml:space="preserve">                Ilim_Peak_n=</t>
  </si>
  <si>
    <t>Pertains to all PSE's that do PHY classification.  43 mA is used for all PSEs to calculate Vclass_Min.</t>
  </si>
  <si>
    <t>Ktran_lo_n=</t>
  </si>
  <si>
    <t xml:space="preserve">                 Vclass_Max=</t>
  </si>
  <si>
    <t>V</t>
  </si>
  <si>
    <t>edges</t>
  </si>
  <si>
    <t>W</t>
  </si>
  <si>
    <t>mVpp</t>
  </si>
  <si>
    <r>
      <rPr>
        <b/>
        <sz val="10"/>
        <color theme="4"/>
        <rFont val="Arial"/>
        <family val="2"/>
      </rPr>
      <t>Important!</t>
    </r>
    <r>
      <rPr>
        <sz val="10"/>
        <color theme="3"/>
        <rFont val="Arial"/>
        <family val="2"/>
      </rPr>
      <t xml:space="preserve">  The Sifos Interop  Index is </t>
    </r>
    <r>
      <rPr>
        <b/>
        <sz val="10"/>
        <color theme="3"/>
        <rFont val="Arial"/>
        <family val="2"/>
      </rPr>
      <t>NOT</t>
    </r>
    <r>
      <rPr>
        <sz val="10"/>
        <color theme="3"/>
        <rFont val="Arial"/>
        <family val="2"/>
      </rPr>
      <t xml:space="preserve"> an indication of PSE Conformance.   PSE conformance to 802.3 specifications is established when:
1.  All available tests applicable to PSE attributes are sequenced AND
2.  No </t>
    </r>
    <r>
      <rPr>
        <b/>
        <sz val="10"/>
        <color rgb="FFFF0000"/>
        <rFont val="Arial"/>
        <family val="2"/>
      </rPr>
      <t>FAIL</t>
    </r>
    <r>
      <rPr>
        <sz val="10"/>
        <color theme="3"/>
        <rFont val="Arial"/>
        <family val="2"/>
      </rPr>
      <t xml:space="preserve"> marks appear in the test report.
The Sifos Interop Index is a aggregate summary derived from PSE Conformance Testing Results.   The index only considers those PSE characteristics that </t>
    </r>
    <r>
      <rPr>
        <b/>
        <sz val="10"/>
        <color theme="3"/>
        <rFont val="Arial"/>
        <family val="2"/>
      </rPr>
      <t>may</t>
    </r>
    <r>
      <rPr>
        <sz val="10"/>
        <color theme="3"/>
        <rFont val="Arial"/>
        <family val="2"/>
      </rPr>
      <t xml:space="preserve"> affect PSE inter-operation with: </t>
    </r>
  </si>
  <si>
    <r>
      <rPr>
        <b/>
        <sz val="10"/>
        <rFont val="Arial"/>
        <family val="2"/>
      </rPr>
      <t>*</t>
    </r>
    <r>
      <rPr>
        <sz val="10"/>
        <rFont val="Arial"/>
        <family val="2"/>
      </rPr>
      <t xml:space="preserve"> </t>
    </r>
    <r>
      <rPr>
        <i/>
        <sz val="10"/>
        <rFont val="Arial"/>
        <family val="2"/>
      </rPr>
      <t xml:space="preserve">See footnote on </t>
    </r>
    <r>
      <rPr>
        <b/>
        <i/>
        <sz val="10"/>
        <rFont val="Arial"/>
        <family val="2"/>
      </rPr>
      <t>Interop</t>
    </r>
    <r>
      <rPr>
        <i/>
        <sz val="10"/>
        <rFont val="Arial"/>
        <family val="2"/>
      </rPr>
      <t xml:space="preserve"> tab</t>
    </r>
  </si>
  <si>
    <t xml:space="preserve">             Mark_Tme1_LowI=</t>
  </si>
  <si>
    <t xml:space="preserve">Duration of first Mark Event with 0.5mA Mark Load </t>
  </si>
  <si>
    <t>These are tested using 3.5mA mark load current.  Limits are expanded to account for trace meter sample timing resolutions.</t>
  </si>
  <si>
    <t>This parameter is to assure that mark voltage will appear even with very low mark load current from a PD.</t>
  </si>
  <si>
    <t xml:space="preserve">Applies to single event 802.3at classification and also utilized for 802.3bt single event classification to a Class 0-3 PD. </t>
  </si>
  <si>
    <t>Inrush Current must be ≥ 400mA if Vport ≥ 30VDC.  Foldback suppression in a PSA-3x02 test port assures that Vport will be ≥ 30V for PSE's that furnish ≥ 400mA of inrush current.</t>
  </si>
  <si>
    <t xml:space="preserve">                4Pair_Pwr_?=</t>
  </si>
  <si>
    <t>4Pair_Pwr_?</t>
  </si>
  <si>
    <t>802.3at PSE's are forbidden to provide power on more than one pairset so '1' is a failure if PSE is 802.3at.   A 4-Pair 802.3bt PSE might support 2-Pair PD connections and powering on either pairset, so '1' is allowed to all 802.3bt PSE's.</t>
  </si>
  <si>
    <t>Determine if this 2-Pair PSE can actually power both pairsets with the same polarity indicating that PSE controller output is fanned out to both pairsets.  0 = No 4-Pair Power, 1 = Both Pairsets Can Power.</t>
  </si>
  <si>
    <t>Reported with both 802.3at and 802.3bt Type-3 PSEs</t>
  </si>
  <si>
    <t xml:space="preserve">               Event3_Tcle3=</t>
  </si>
  <si>
    <t xml:space="preserve">              Mark_Tme_Last=</t>
  </si>
  <si>
    <t>Duration of third Class Event for 3-Event Type 3 PSEs</t>
  </si>
  <si>
    <t>Duration of first Class Event for 2-Event Type 2 PSEs</t>
  </si>
  <si>
    <t>Duration of second Class Event for Multi-Event Type 2 and Type 3 PSEs</t>
  </si>
  <si>
    <t>Duration of first Mark Event for Mulit-Event Type 2 and Type 3 PSEs</t>
  </si>
  <si>
    <t>Duration of second Class Event for Mult-Event Type 3 PSEs</t>
  </si>
  <si>
    <t>Duration of final Mark Event for 2-Event Type 2 
and Multi-Event Type 3 PSEs</t>
  </si>
  <si>
    <t xml:space="preserve">                LowV_Inrush=</t>
  </si>
  <si>
    <t>LowV_Inrush</t>
  </si>
  <si>
    <t>Minimum inrush current when port voltage drops to between 15V and 18V (typically 16V).</t>
  </si>
  <si>
    <t>Given PSE current limiting and foldback behavior, this current should exceed 60mA to enable PD input capacitance charging.</t>
  </si>
  <si>
    <t xml:space="preserve"> report ver. 5.4.02</t>
  </si>
  <si>
    <t>January 20 2025</t>
    <phoneticPr fontId="0" type="noConversion"/>
  </si>
  <si>
    <t>30002003A</t>
  </si>
  <si>
    <t>4.17</t>
  </si>
  <si>
    <t>Chassis ID: 192.168.221.105</t>
    <phoneticPr fontId="0" type="noConversion"/>
  </si>
  <si>
    <t>5.4.08</t>
    <phoneticPr fontId="0" type="noConversion"/>
  </si>
  <si>
    <t>None</t>
    <phoneticPr fontId="0" type="noConversion"/>
  </si>
  <si>
    <r>
      <t xml:space="preserve">PSE Tested: </t>
    </r>
    <r>
      <rPr>
        <b/>
        <sz val="10"/>
        <color theme="2"/>
        <rFont val="Arial"/>
        <family val="2"/>
      </rPr>
      <t>000.000.000.000 Type-3 30W</t>
    </r>
    <phoneticPr fontId="0" type="noConversion"/>
  </si>
  <si>
    <t xml:space="preserve">    1-2</t>
  </si>
  <si>
    <t xml:space="preserve">Test: det_v                 </t>
  </si>
  <si>
    <t xml:space="preserve">Test: det_i                 </t>
  </si>
  <si>
    <t xml:space="preserve">Test: det_range             </t>
  </si>
  <si>
    <t xml:space="preserve">Test: det_time              </t>
  </si>
  <si>
    <t xml:space="preserve">Test: det_rsource           </t>
  </si>
  <si>
    <t xml:space="preserve">Test: class_v               </t>
  </si>
  <si>
    <t xml:space="preserve">Test: class_time            </t>
  </si>
  <si>
    <t xml:space="preserve">                   Mark_lim=</t>
  </si>
  <si>
    <t xml:space="preserve">Test: pwrup_time            </t>
  </si>
  <si>
    <t xml:space="preserve">Test: pwrup_inrush          </t>
  </si>
  <si>
    <t xml:space="preserve">Test: pwron_v               </t>
  </si>
  <si>
    <t xml:space="preserve">Test: pwron_pwrcap          </t>
  </si>
  <si>
    <t xml:space="preserve">Test: pwron_maxi            </t>
  </si>
  <si>
    <t xml:space="preserve">Test: pwron_overld          </t>
  </si>
  <si>
    <t xml:space="preserve">Test: mps_dc_valid          </t>
  </si>
  <si>
    <t xml:space="preserve">Test: mps_dc_pwrdn          </t>
  </si>
  <si>
    <t xml:space="preserve">Test: pwrdn_overld          </t>
  </si>
  <si>
    <t xml:space="preserve">Test: pwrdn_time            </t>
  </si>
  <si>
    <t xml:space="preserve">Test: pwrdn_v               </t>
  </si>
  <si>
    <t>Test Port Model Number:</t>
  </si>
  <si>
    <t>Test Port Hardware Version:</t>
  </si>
  <si>
    <t>Test Port Firmware Version:</t>
  </si>
  <si>
    <t>TestLoop:  1</t>
    <phoneticPr fontId="0" type="noConversion"/>
  </si>
  <si>
    <t xml:space="preserve">      V</t>
  </si>
  <si>
    <t xml:space="preserve"> V/usec</t>
  </si>
  <si>
    <t xml:space="preserve">  edges</t>
  </si>
  <si>
    <t xml:space="preserve">   ****</t>
  </si>
  <si>
    <t xml:space="preserve">     mA</t>
  </si>
  <si>
    <t xml:space="preserve">   Kohm</t>
  </si>
  <si>
    <t xml:space="preserve">     uF</t>
  </si>
  <si>
    <t xml:space="preserve">   msec</t>
  </si>
  <si>
    <t xml:space="preserve">   usec</t>
  </si>
  <si>
    <t xml:space="preserve">   mVpp</t>
  </si>
  <si>
    <t xml:space="preserve">      W</t>
  </si>
  <si>
    <t xml:space="preserve">      %</t>
  </si>
  <si>
    <t>4.17 lc18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</si>
</sst>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mm\ d\,\ yyyy"/>
    <numFmt numFmtId="165" formatCode="0.0%"/>
    <numFmt numFmtId="166" formatCode="[$-409]mmmm\ d\,\ yyyy;@"/>
    <numFmt numFmtId="167" formatCode="[$-409]h:mm\ AM/PM;@"/>
  </numFmts>
  <fonts count="60" x14ac:knownFonts="1">
    <font>
      <sz val="10"/>
      <name val="Arial"/>
    </font>
    <font>
      <b/>
      <sz val="11"/>
      <name val="Arial"/>
      <family val="2"/>
    </font>
    <font>
      <b/>
      <sz val="12"/>
      <name val="Arial"/>
      <family val="2"/>
    </font>
    <font>
      <b/>
      <sz val="11"/>
      <color indexed="9"/>
      <name val="Arial"/>
      <family val="2"/>
    </font>
    <font>
      <sz val="10"/>
      <name val="Symbol"/>
      <family val="1"/>
      <charset val="2"/>
    </font>
    <font>
      <b/>
      <sz val="9"/>
      <color indexed="9"/>
      <name val="Arial"/>
      <family val="2"/>
    </font>
    <font>
      <sz val="10"/>
      <color indexed="22"/>
      <name val="Arial"/>
      <family val="2"/>
    </font>
    <font>
      <i/>
      <sz val="10"/>
      <color indexed="22"/>
      <name val="Arial"/>
      <family val="2"/>
    </font>
    <font>
      <sz val="10"/>
      <name val="Courier New"/>
      <family val="3"/>
    </font>
    <font>
      <sz val="10"/>
      <name val="Arial"/>
      <family val="2"/>
    </font>
    <font>
      <b/>
      <sz val="10"/>
      <name val="Arial"/>
      <family val="2"/>
    </font>
    <font>
      <sz val="10"/>
      <color indexed="9"/>
      <name val="Arial"/>
      <family val="2"/>
    </font>
    <font>
      <i/>
      <sz val="10"/>
      <name val="Arial"/>
      <family val="2"/>
    </font>
    <font>
      <b/>
      <sz val="10"/>
      <color indexed="18"/>
      <name val="Arial"/>
      <family val="2"/>
    </font>
    <font>
      <i/>
      <u/>
      <sz val="10"/>
      <name val="Arial"/>
      <family val="2"/>
    </font>
    <font>
      <b/>
      <sz val="10"/>
      <color indexed="26"/>
      <name val="Arial"/>
      <family val="2"/>
    </font>
    <font>
      <i/>
      <sz val="10"/>
      <color indexed="44"/>
      <name val="Arial"/>
      <family val="2"/>
    </font>
    <font>
      <sz val="10"/>
      <color indexed="44"/>
      <name val="Arial"/>
      <family val="2"/>
    </font>
    <font>
      <b/>
      <sz val="14"/>
      <color indexed="9"/>
      <name val="Arial"/>
      <family val="2"/>
    </font>
    <font>
      <b/>
      <sz val="12"/>
      <color indexed="9"/>
      <name val="Arial"/>
      <family val="2"/>
    </font>
    <font>
      <i/>
      <sz val="10"/>
      <name val="Symbol"/>
      <family val="1"/>
      <charset val="2"/>
    </font>
    <font>
      <i/>
      <sz val="10"/>
      <color indexed="10"/>
      <name val="Arial"/>
      <family val="2"/>
    </font>
    <font>
      <b/>
      <sz val="8"/>
      <color indexed="81"/>
      <name val="Tahoma"/>
      <family val="2"/>
    </font>
    <font>
      <sz val="8"/>
      <color indexed="81"/>
      <name val="Tahoma"/>
      <family val="2"/>
    </font>
    <font>
      <b/>
      <i/>
      <sz val="10"/>
      <name val="Arial"/>
      <family val="2"/>
    </font>
    <font>
      <i/>
      <sz val="10"/>
      <color theme="5"/>
      <name val="Arial"/>
      <family val="2"/>
    </font>
    <font>
      <i/>
      <sz val="10"/>
      <color theme="7" tint="0.79998168889431442"/>
      <name val="Arial"/>
      <family val="2"/>
    </font>
    <font>
      <i/>
      <sz val="10"/>
      <color rgb="FFC00000"/>
      <name val="Arial"/>
      <family val="2"/>
    </font>
    <font>
      <b/>
      <sz val="10"/>
      <color rgb="FFC00000"/>
      <name val="Arial"/>
      <family val="2"/>
    </font>
    <font>
      <b/>
      <sz val="10"/>
      <color theme="3"/>
      <name val="Arial"/>
      <family val="2"/>
    </font>
    <font>
      <b/>
      <sz val="12"/>
      <color rgb="FFFFFFFF"/>
      <name val="Arial"/>
      <family val="2"/>
    </font>
    <font>
      <b/>
      <sz val="14"/>
      <color theme="3"/>
      <name val="Arial"/>
      <family val="2"/>
    </font>
    <font>
      <sz val="10"/>
      <color theme="3"/>
      <name val="Arial"/>
      <family val="2"/>
    </font>
    <font>
      <b/>
      <sz val="10"/>
      <color theme="0" tint="0.79998168889431442"/>
      <name val="Arial"/>
      <family val="2"/>
    </font>
    <font>
      <b/>
      <sz val="12"/>
      <color theme="7" tint="0.79998168889431442"/>
      <name val="Arial"/>
      <family val="2"/>
    </font>
    <font>
      <sz val="10"/>
      <color theme="0" tint="0.79998168889431442"/>
      <name val="Arial"/>
      <family val="2"/>
    </font>
    <font>
      <b/>
      <sz val="11"/>
      <color rgb="FFFFFFFF"/>
      <name val="Arial"/>
      <family val="2"/>
    </font>
    <font>
      <b/>
      <sz val="11"/>
      <color theme="2"/>
      <name val="Arial"/>
      <family val="2"/>
    </font>
    <font>
      <sz val="10"/>
      <color rgb="FFFFFFFF"/>
      <name val="Arial"/>
      <family val="2"/>
    </font>
    <font>
      <b/>
      <sz val="10"/>
      <color rgb="FFFFFFFF"/>
      <name val="Arial"/>
      <family val="2"/>
    </font>
    <font>
      <i/>
      <sz val="10"/>
      <color theme="2"/>
      <name val="Arial"/>
      <family val="2"/>
    </font>
    <font>
      <sz val="9"/>
      <color indexed="81"/>
      <name val="Tahoma"/>
      <family val="2"/>
    </font>
    <font>
      <b/>
      <sz val="14"/>
      <color rgb="FFFFFFFF"/>
      <name val="Arial"/>
      <family val="2"/>
    </font>
    <font>
      <b/>
      <sz val="14"/>
      <color theme="4" tint="0.79998168889431442"/>
      <name val="Arial"/>
      <family val="2"/>
    </font>
    <font>
      <i/>
      <sz val="10"/>
      <color theme="4" tint="0.79998168889431442"/>
      <name val="Arial"/>
      <family val="2"/>
    </font>
    <font>
      <b/>
      <sz val="10"/>
      <color theme="7" tint="0.79998168889431442"/>
      <name val="Arial"/>
      <family val="2"/>
    </font>
    <font>
      <sz val="10"/>
      <color theme="7" tint="0.79998168889431442"/>
      <name val="Arial"/>
      <family val="2"/>
    </font>
    <font>
      <b/>
      <sz val="26"/>
      <color theme="7" tint="0.79998168889431442"/>
      <name val="Arial"/>
      <family val="2"/>
    </font>
    <font>
      <sz val="10"/>
      <color theme="0"/>
      <name val="Arial"/>
      <family val="2"/>
    </font>
    <font>
      <b/>
      <sz val="12"/>
      <color theme="3"/>
      <name val="Arial"/>
      <family val="2"/>
    </font>
    <font>
      <sz val="10"/>
      <color theme="8" tint="-0.249977111117893"/>
      <name val="Arial"/>
      <family val="2"/>
    </font>
    <font>
      <b/>
      <sz val="11"/>
      <color theme="7" tint="0.79998168889431442"/>
      <name val="Arial"/>
      <family val="2"/>
    </font>
    <font>
      <sz val="10"/>
      <name val="Arial"/>
      <family val="2"/>
    </font>
    <font>
      <b/>
      <sz val="10"/>
      <color theme="4"/>
      <name val="Arial"/>
      <family val="2"/>
    </font>
    <font>
      <b/>
      <sz val="10"/>
      <color rgb="FFFF0000"/>
      <name val="Arial"/>
      <family val="2"/>
    </font>
    <font>
      <sz val="10"/>
      <color theme="0" tint="-0.14999847407452621"/>
      <name val="Arial"/>
      <family val="2"/>
    </font>
    <font>
      <i/>
      <sz val="10"/>
      <color theme="0" tint="-0.14999847407452621"/>
      <name val="Arial"/>
      <family val="2"/>
    </font>
    <font>
      <i/>
      <sz val="11"/>
      <color theme="5"/>
      <name val="Arial"/>
      <family val="2"/>
    </font>
    <font>
      <b/>
      <i/>
      <sz val="11"/>
      <color indexed="44"/>
      <name val="Arial"/>
      <family val="2"/>
    </font>
    <font>
      <b/>
      <sz val="10"/>
      <color theme="2"/>
      <name val="Arial"/>
      <family val="2"/>
    </font>
  </fonts>
  <fills count="28">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theme="3"/>
        <bgColor indexed="64"/>
      </patternFill>
    </fill>
    <fill>
      <patternFill patternType="solid">
        <fgColor theme="2" tint="0.79998168889431442"/>
        <bgColor indexed="64"/>
      </patternFill>
    </fill>
    <fill>
      <patternFill patternType="solid">
        <fgColor theme="6" tint="0.59999389629810485"/>
        <bgColor indexed="64"/>
      </patternFill>
    </fill>
    <fill>
      <patternFill patternType="solid">
        <fgColor theme="5"/>
        <bgColor indexed="64"/>
      </patternFill>
    </fill>
    <fill>
      <patternFill patternType="solid">
        <fgColor theme="2"/>
        <bgColor indexed="64"/>
      </patternFill>
    </fill>
    <fill>
      <patternFill patternType="solid">
        <fgColor theme="0" tint="0.79998168889431442"/>
        <bgColor indexed="64"/>
      </patternFill>
    </fill>
    <fill>
      <patternFill patternType="solid">
        <fgColor theme="0"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59999389629810485"/>
        <bgColor indexed="64"/>
      </patternFill>
    </fill>
    <fill>
      <patternFill patternType="solid">
        <fgColor theme="6" tint="0.39997558519241921"/>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7C80"/>
        <bgColor indexed="64"/>
      </patternFill>
    </fill>
    <fill>
      <patternFill patternType="solid">
        <fgColor theme="3" tint="0.749992370372631"/>
        <bgColor indexed="64"/>
      </patternFill>
    </fill>
    <fill>
      <patternFill patternType="solid">
        <fgColor theme="0"/>
        <bgColor indexed="64"/>
      </patternFill>
    </fill>
    <fill>
      <patternFill patternType="solid">
        <fgColor theme="9" tint="0.79998168889431442"/>
        <bgColor indexed="64"/>
      </patternFill>
    </fill>
  </fills>
  <borders count="14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9"/>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thin">
        <color indexed="64"/>
      </right>
      <top style="medium">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18"/>
      </left>
      <right/>
      <top style="thin">
        <color indexed="18"/>
      </top>
      <bottom/>
      <diagonal/>
    </border>
    <border>
      <left/>
      <right/>
      <top style="thin">
        <color indexed="18"/>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26"/>
      </top>
      <bottom/>
      <diagonal/>
    </border>
    <border>
      <left/>
      <right/>
      <top/>
      <bottom style="thin">
        <color indexed="5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56"/>
      </right>
      <top/>
      <bottom style="thin">
        <color indexed="56"/>
      </bottom>
      <diagonal/>
    </border>
    <border>
      <left/>
      <right style="thin">
        <color indexed="64"/>
      </right>
      <top style="thin">
        <color indexed="26"/>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56"/>
      </top>
      <bottom/>
      <diagonal/>
    </border>
    <border>
      <left/>
      <right style="thin">
        <color indexed="64"/>
      </right>
      <top style="thin">
        <color indexed="56"/>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thick">
        <color theme="3"/>
      </right>
      <top/>
      <bottom/>
      <diagonal/>
    </border>
    <border>
      <left style="medium">
        <color theme="3"/>
      </left>
      <right style="thin">
        <color indexed="64"/>
      </right>
      <top style="medium">
        <color theme="3"/>
      </top>
      <bottom style="medium">
        <color theme="3"/>
      </bottom>
      <diagonal/>
    </border>
    <border>
      <left style="thin">
        <color indexed="64"/>
      </left>
      <right style="thin">
        <color indexed="64"/>
      </right>
      <top style="medium">
        <color theme="3"/>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thin">
        <color indexed="64"/>
      </right>
      <top style="medium">
        <color theme="3"/>
      </top>
      <bottom/>
      <diagonal/>
    </border>
    <border>
      <left style="medium">
        <color theme="3"/>
      </left>
      <right style="thin">
        <color indexed="64"/>
      </right>
      <top style="medium">
        <color theme="3"/>
      </top>
      <bottom/>
      <diagonal/>
    </border>
    <border>
      <left style="medium">
        <color theme="3"/>
      </left>
      <right style="thin">
        <color indexed="64"/>
      </right>
      <top/>
      <bottom style="thin">
        <color indexed="64"/>
      </bottom>
      <diagonal/>
    </border>
    <border>
      <left style="medium">
        <color theme="3"/>
      </left>
      <right style="thin">
        <color indexed="64"/>
      </right>
      <top style="thin">
        <color indexed="64"/>
      </top>
      <bottom style="thin">
        <color indexed="64"/>
      </bottom>
      <diagonal/>
    </border>
    <border>
      <left style="medium">
        <color theme="3"/>
      </left>
      <right style="thin">
        <color indexed="64"/>
      </right>
      <top style="thin">
        <color indexed="64"/>
      </top>
      <bottom/>
      <diagonal/>
    </border>
    <border>
      <left style="medium">
        <color theme="3"/>
      </left>
      <right style="thin">
        <color indexed="64"/>
      </right>
      <top/>
      <bottom style="medium">
        <color theme="3"/>
      </bottom>
      <diagonal/>
    </border>
    <border>
      <left style="thin">
        <color indexed="64"/>
      </left>
      <right style="thin">
        <color indexed="64"/>
      </right>
      <top/>
      <bottom style="medium">
        <color theme="3"/>
      </bottom>
      <diagonal/>
    </border>
    <border>
      <left style="medium">
        <color theme="3"/>
      </left>
      <right style="thin">
        <color indexed="64"/>
      </right>
      <top style="thin">
        <color indexed="64"/>
      </top>
      <bottom style="medium">
        <color theme="3"/>
      </bottom>
      <diagonal/>
    </border>
    <border>
      <left/>
      <right/>
      <top/>
      <bottom style="medium">
        <color theme="8" tint="0.79998168889431442"/>
      </bottom>
      <diagonal/>
    </border>
    <border>
      <left/>
      <right style="thick">
        <color theme="3"/>
      </right>
      <top/>
      <bottom style="medium">
        <color theme="8" tint="0.79998168889431442"/>
      </bottom>
      <diagonal/>
    </border>
    <border>
      <left/>
      <right/>
      <top/>
      <bottom style="medium">
        <color theme="3"/>
      </bottom>
      <diagonal/>
    </border>
    <border>
      <left/>
      <right style="thin">
        <color indexed="64"/>
      </right>
      <top/>
      <bottom style="medium">
        <color theme="3"/>
      </bottom>
      <diagonal/>
    </border>
    <border>
      <left style="thin">
        <color indexed="64"/>
      </left>
      <right style="medium">
        <color theme="3"/>
      </right>
      <top/>
      <bottom style="medium">
        <color theme="3"/>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3"/>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3"/>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3"/>
      </bottom>
      <diagonal/>
    </border>
    <border>
      <left style="thin">
        <color theme="7" tint="0.79998168889431442"/>
      </left>
      <right style="thin">
        <color theme="3"/>
      </right>
      <top style="thin">
        <color theme="7" tint="0.79998168889431442"/>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medium">
        <color theme="3"/>
      </left>
      <right style="medium">
        <color theme="3"/>
      </right>
      <top style="medium">
        <color theme="3"/>
      </top>
      <bottom/>
      <diagonal/>
    </border>
    <border>
      <left/>
      <right style="medium">
        <color theme="3"/>
      </right>
      <top/>
      <bottom style="medium">
        <color theme="3"/>
      </bottom>
      <diagonal/>
    </border>
    <border>
      <left style="thin">
        <color theme="7" tint="0.79998168889431442"/>
      </left>
      <right style="thin">
        <color indexed="26"/>
      </right>
      <top style="thin">
        <color theme="7" tint="0.79998168889431442"/>
      </top>
      <bottom style="thin">
        <color indexed="26"/>
      </bottom>
      <diagonal/>
    </border>
    <border>
      <left style="thin">
        <color indexed="26"/>
      </left>
      <right style="thin">
        <color theme="7" tint="0.79998168889431442"/>
      </right>
      <top style="thin">
        <color theme="7" tint="0.79998168889431442"/>
      </top>
      <bottom style="thin">
        <color indexed="26"/>
      </bottom>
      <diagonal/>
    </border>
    <border>
      <left style="thin">
        <color theme="7" tint="0.79998168889431442"/>
      </left>
      <right style="thin">
        <color indexed="26"/>
      </right>
      <top style="thin">
        <color indexed="26"/>
      </top>
      <bottom style="thin">
        <color indexed="26"/>
      </bottom>
      <diagonal/>
    </border>
    <border>
      <left style="thin">
        <color indexed="26"/>
      </left>
      <right style="thin">
        <color theme="7" tint="0.79998168889431442"/>
      </right>
      <top style="thin">
        <color indexed="26"/>
      </top>
      <bottom style="thin">
        <color indexed="26"/>
      </bottom>
      <diagonal/>
    </border>
    <border>
      <left style="thin">
        <color theme="7" tint="0.79998168889431442"/>
      </left>
      <right style="thin">
        <color indexed="26"/>
      </right>
      <top style="thin">
        <color indexed="26"/>
      </top>
      <bottom style="thin">
        <color theme="7" tint="0.79998168889431442"/>
      </bottom>
      <diagonal/>
    </border>
    <border>
      <left style="thin">
        <color indexed="26"/>
      </left>
      <right style="thin">
        <color theme="7" tint="0.79998168889431442"/>
      </right>
      <top style="thin">
        <color indexed="26"/>
      </top>
      <bottom style="thin">
        <color theme="7" tint="0.79998168889431442"/>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medium">
        <color theme="3"/>
      </left>
      <right style="thin">
        <color indexed="64"/>
      </right>
      <top style="thin">
        <color theme="3"/>
      </top>
      <bottom style="medium">
        <color theme="3"/>
      </bottom>
      <diagonal/>
    </border>
    <border>
      <left style="medium">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indexed="64"/>
      </right>
      <top style="thin">
        <color theme="3"/>
      </top>
      <bottom style="medium">
        <color theme="3"/>
      </bottom>
      <diagonal/>
    </border>
    <border>
      <left style="medium">
        <color theme="3"/>
      </left>
      <right/>
      <top style="thin">
        <color indexed="64"/>
      </top>
      <bottom style="thin">
        <color theme="3"/>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3"/>
      </left>
      <right/>
      <top style="thin">
        <color theme="7" tint="0.79998168889431442"/>
      </top>
      <bottom style="thin">
        <color theme="3"/>
      </bottom>
      <diagonal/>
    </border>
    <border>
      <left/>
      <right style="thin">
        <color theme="7" tint="0.79998168889431442"/>
      </right>
      <top style="thin">
        <color theme="7" tint="0.79998168889431442"/>
      </top>
      <bottom style="thin">
        <color theme="3"/>
      </bottom>
      <diagonal/>
    </border>
    <border>
      <left style="thin">
        <color theme="3"/>
      </left>
      <right/>
      <top style="thin">
        <color theme="3"/>
      </top>
      <bottom style="thin">
        <color theme="7" tint="0.79998168889431442"/>
      </bottom>
      <diagonal/>
    </border>
    <border>
      <left/>
      <right/>
      <top style="thin">
        <color theme="3"/>
      </top>
      <bottom style="thin">
        <color theme="7" tint="0.79998168889431442"/>
      </bottom>
      <diagonal/>
    </border>
    <border>
      <left/>
      <right style="thin">
        <color theme="3"/>
      </right>
      <top style="thin">
        <color theme="3"/>
      </top>
      <bottom style="thin">
        <color theme="7" tint="0.79998168889431442"/>
      </bottom>
      <diagonal/>
    </border>
    <border>
      <left style="thin">
        <color indexed="64"/>
      </left>
      <right/>
      <top style="medium">
        <color theme="3"/>
      </top>
      <bottom/>
      <diagonal/>
    </border>
    <border>
      <left/>
      <right/>
      <top style="medium">
        <color theme="3"/>
      </top>
      <bottom/>
      <diagonal/>
    </border>
    <border>
      <left style="medium">
        <color theme="3"/>
      </left>
      <right style="thin">
        <color indexed="64"/>
      </right>
      <top/>
      <bottom style="thin">
        <color theme="3"/>
      </bottom>
      <diagonal/>
    </border>
    <border>
      <left style="thin">
        <color indexed="64"/>
      </left>
      <right/>
      <top style="medium">
        <color indexed="64"/>
      </top>
      <bottom/>
      <diagonal/>
    </border>
    <border>
      <left/>
      <right/>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style="thin">
        <color indexed="64"/>
      </bottom>
      <diagonal/>
    </border>
    <border>
      <left/>
      <right style="medium">
        <color theme="3"/>
      </right>
      <top/>
      <bottom style="thin">
        <color indexed="64"/>
      </bottom>
      <diagonal/>
    </border>
    <border>
      <left style="medium">
        <color theme="3"/>
      </left>
      <right style="medium">
        <color theme="3"/>
      </right>
      <top/>
      <bottom style="thin">
        <color indexed="64"/>
      </bottom>
      <diagonal/>
    </border>
    <border>
      <left style="thin">
        <color auto="1"/>
      </left>
      <right style="medium">
        <color theme="3"/>
      </right>
      <top/>
      <bottom style="thin">
        <color indexed="64"/>
      </bottom>
      <diagonal/>
    </border>
    <border>
      <left style="thin">
        <color auto="1"/>
      </left>
      <right style="medium">
        <color theme="3"/>
      </right>
      <top style="thin">
        <color indexed="64"/>
      </top>
      <bottom style="thin">
        <color indexed="64"/>
      </bottom>
      <diagonal/>
    </border>
    <border>
      <left style="thin">
        <color auto="1"/>
      </left>
      <right style="medium">
        <color theme="3"/>
      </right>
      <top style="thin">
        <color indexed="64"/>
      </top>
      <bottom style="medium">
        <color theme="3"/>
      </bottom>
      <diagonal/>
    </border>
    <border>
      <left style="medium">
        <color theme="3"/>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theme="3"/>
      </right>
      <top/>
      <bottom style="thin">
        <color indexed="64"/>
      </bottom>
      <diagonal/>
    </border>
    <border>
      <left style="medium">
        <color theme="3"/>
      </left>
      <right style="thin">
        <color theme="1"/>
      </right>
      <top/>
      <bottom style="medium">
        <color theme="3"/>
      </bottom>
      <diagonal/>
    </border>
    <border>
      <left style="thin">
        <color theme="1"/>
      </left>
      <right style="thin">
        <color theme="1"/>
      </right>
      <top/>
      <bottom style="medium">
        <color theme="3"/>
      </bottom>
      <diagonal/>
    </border>
    <border>
      <left style="thin">
        <color theme="1"/>
      </left>
      <right style="medium">
        <color theme="3"/>
      </right>
      <top/>
      <bottom style="medium">
        <color theme="3"/>
      </bottom>
      <diagonal/>
    </border>
    <border>
      <left style="thin">
        <color indexed="64"/>
      </left>
      <right style="medium">
        <color theme="3"/>
      </right>
      <top/>
      <bottom/>
      <diagonal/>
    </border>
    <border>
      <left style="thin">
        <color indexed="64"/>
      </left>
      <right style="medium">
        <color theme="3"/>
      </right>
      <top style="medium">
        <color theme="3"/>
      </top>
      <bottom/>
      <diagonal/>
    </border>
    <border>
      <left style="thin">
        <color indexed="64"/>
      </left>
      <right style="medium">
        <color theme="3"/>
      </right>
      <top style="medium">
        <color indexed="64"/>
      </top>
      <bottom/>
      <diagonal/>
    </border>
    <border>
      <left style="medium">
        <color theme="3"/>
      </left>
      <right style="medium">
        <color theme="3"/>
      </right>
      <top style="thin">
        <color auto="1"/>
      </top>
      <bottom style="thin">
        <color auto="1"/>
      </bottom>
      <diagonal/>
    </border>
    <border>
      <left style="medium">
        <color theme="3"/>
      </left>
      <right style="medium">
        <color theme="3"/>
      </right>
      <top style="thin">
        <color auto="1"/>
      </top>
      <bottom style="medium">
        <color theme="3"/>
      </bottom>
      <diagonal/>
    </border>
    <border>
      <left style="medium">
        <color theme="3"/>
      </left>
      <right/>
      <top style="thin">
        <color auto="1"/>
      </top>
      <bottom style="medium">
        <color theme="3"/>
      </bottom>
      <diagonal/>
    </border>
    <border>
      <left/>
      <right/>
      <top style="thin">
        <color auto="1"/>
      </top>
      <bottom style="medium">
        <color theme="3"/>
      </bottom>
      <diagonal/>
    </border>
    <border>
      <left/>
      <right style="medium">
        <color theme="3"/>
      </right>
      <top style="thin">
        <color auto="1"/>
      </top>
      <bottom style="medium">
        <color theme="3"/>
      </bottom>
      <diagonal/>
    </border>
    <border>
      <left style="medium">
        <color theme="3"/>
      </left>
      <right/>
      <top style="thin">
        <color indexed="64"/>
      </top>
      <bottom style="thin">
        <color indexed="64"/>
      </bottom>
      <diagonal/>
    </border>
    <border>
      <left/>
      <right/>
      <top style="thin">
        <color indexed="64"/>
      </top>
      <bottom style="thin">
        <color indexed="64"/>
      </bottom>
      <diagonal/>
    </border>
    <border>
      <left/>
      <right style="medium">
        <color theme="3"/>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theme="9" tint="0.79998168889431442"/>
      </right>
      <top/>
      <bottom/>
      <diagonal/>
    </border>
    <border>
      <left/>
      <right style="medium">
        <color theme="9" tint="0.79998168889431442"/>
      </right>
      <top/>
      <bottom style="medium">
        <color theme="9" tint="0.79998168889431442"/>
      </bottom>
      <diagonal/>
    </border>
    <border>
      <left style="thin">
        <color indexed="64"/>
      </left>
      <right style="thin">
        <color indexed="64"/>
      </right>
      <top/>
      <bottom style="thin">
        <color theme="3"/>
      </bottom>
      <diagonal/>
    </border>
  </borders>
  <cellStyleXfs count="6">
    <xf numFmtId="0" fontId="0" fillId="0" borderId="0"/>
    <xf numFmtId="9" fontId="52"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434">
    <xf numFmtId="0" fontId="0" fillId="0" borderId="0" xfId="0"/>
    <xf numFmtId="0" fontId="0" fillId="0" borderId="5" xfId="0" applyBorder="1" applyProtection="1">
      <protection locked="0"/>
    </xf>
    <xf numFmtId="0" fontId="0" fillId="0" borderId="6" xfId="0" applyBorder="1" applyProtection="1">
      <protection locked="0"/>
    </xf>
    <xf numFmtId="0" fontId="0" fillId="0" borderId="5" xfId="0" applyBorder="1" applyAlignment="1" applyProtection="1">
      <alignment horizontal="right"/>
      <protection locked="0"/>
    </xf>
    <xf numFmtId="0" fontId="0" fillId="0" borderId="6" xfId="0" applyBorder="1" applyAlignment="1" applyProtection="1">
      <alignment horizontal="right"/>
      <protection locked="0"/>
    </xf>
    <xf numFmtId="0" fontId="4" fillId="0" borderId="6" xfId="0" applyFont="1" applyBorder="1" applyAlignment="1" applyProtection="1">
      <alignment horizontal="right"/>
      <protection locked="0"/>
    </xf>
    <xf numFmtId="0" fontId="4" fillId="0" borderId="5" xfId="0" applyFont="1" applyBorder="1" applyAlignment="1" applyProtection="1">
      <alignment horizontal="right"/>
      <protection locked="0"/>
    </xf>
    <xf numFmtId="0" fontId="0" fillId="0" borderId="3" xfId="0" applyBorder="1" applyProtection="1">
      <protection locked="0"/>
    </xf>
    <xf numFmtId="0" fontId="0" fillId="0" borderId="3" xfId="0" applyBorder="1" applyAlignment="1" applyProtection="1">
      <alignment horizontal="right"/>
      <protection locked="0"/>
    </xf>
    <xf numFmtId="0" fontId="8" fillId="0" borderId="6" xfId="0" applyFont="1" applyBorder="1" applyProtection="1">
      <protection locked="0"/>
    </xf>
    <xf numFmtId="0" fontId="8" fillId="0" borderId="5" xfId="0" applyFont="1" applyBorder="1" applyAlignment="1">
      <alignment horizontal="left"/>
    </xf>
    <xf numFmtId="0" fontId="8" fillId="0" borderId="6" xfId="0" applyFont="1" applyBorder="1" applyAlignment="1">
      <alignment horizontal="left"/>
    </xf>
    <xf numFmtId="0" fontId="8" fillId="0" borderId="3" xfId="0" applyFont="1" applyBorder="1" applyAlignment="1">
      <alignment horizontal="left"/>
    </xf>
    <xf numFmtId="0" fontId="8" fillId="0" borderId="7" xfId="0" applyFont="1" applyBorder="1" applyAlignment="1">
      <alignment horizontal="left"/>
    </xf>
    <xf numFmtId="0" fontId="0" fillId="0" borderId="7" xfId="0" applyBorder="1" applyProtection="1">
      <protection locked="0"/>
    </xf>
    <xf numFmtId="0" fontId="0" fillId="0" borderId="7" xfId="0" applyBorder="1" applyAlignment="1" applyProtection="1">
      <alignment horizontal="right"/>
      <protection locked="0"/>
    </xf>
    <xf numFmtId="0" fontId="0" fillId="0" borderId="5" xfId="0" applyBorder="1" applyAlignment="1" applyProtection="1">
      <alignment vertical="top"/>
      <protection locked="0"/>
    </xf>
    <xf numFmtId="0" fontId="0" fillId="0" borderId="6" xfId="0" applyBorder="1" applyAlignment="1" applyProtection="1">
      <alignment vertical="top"/>
      <protection locked="0"/>
    </xf>
    <xf numFmtId="0" fontId="12" fillId="0" borderId="6" xfId="0" applyFont="1" applyBorder="1" applyAlignment="1" applyProtection="1">
      <alignment vertical="top" wrapText="1"/>
      <protection locked="0"/>
    </xf>
    <xf numFmtId="0" fontId="8" fillId="0" borderId="6" xfId="0" applyFont="1" applyBorder="1" applyAlignment="1">
      <alignment horizontal="right"/>
    </xf>
    <xf numFmtId="0" fontId="0" fillId="0" borderId="6" xfId="0" applyBorder="1" applyAlignment="1" applyProtection="1">
      <alignment vertical="top" wrapText="1"/>
      <protection locked="0"/>
    </xf>
    <xf numFmtId="0" fontId="9" fillId="0" borderId="6" xfId="0" applyFont="1" applyBorder="1" applyProtection="1">
      <protection locked="0"/>
    </xf>
    <xf numFmtId="0" fontId="0" fillId="0" borderId="7"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xf numFmtId="0" fontId="9" fillId="0" borderId="12" xfId="0" applyFont="1" applyBorder="1" applyAlignment="1">
      <alignment horizontal="right"/>
    </xf>
    <xf numFmtId="0" fontId="0" fillId="0" borderId="13" xfId="0" applyBorder="1"/>
    <xf numFmtId="0" fontId="0" fillId="0" borderId="15" xfId="0" applyBorder="1" applyAlignment="1">
      <alignment horizontal="right"/>
    </xf>
    <xf numFmtId="0" fontId="0" fillId="0" borderId="1" xfId="0" applyBorder="1"/>
    <xf numFmtId="0" fontId="0" fillId="0" borderId="17" xfId="0" applyBorder="1" applyAlignment="1">
      <alignment horizontal="right"/>
    </xf>
    <xf numFmtId="0" fontId="0" fillId="0" borderId="18" xfId="0" applyBorder="1"/>
    <xf numFmtId="0" fontId="11" fillId="0" borderId="0" xfId="0" applyFont="1"/>
    <xf numFmtId="0" fontId="0" fillId="0" borderId="3" xfId="0" applyBorder="1" applyAlignment="1" applyProtection="1">
      <alignment vertical="top" wrapText="1"/>
      <protection locked="0"/>
    </xf>
    <xf numFmtId="0" fontId="0" fillId="3" borderId="27" xfId="0" applyFill="1" applyBorder="1"/>
    <xf numFmtId="0" fontId="0" fillId="0" borderId="28" xfId="0" applyBorder="1"/>
    <xf numFmtId="0" fontId="0" fillId="0" borderId="32" xfId="0" applyBorder="1"/>
    <xf numFmtId="0" fontId="0" fillId="0" borderId="29" xfId="0" applyBorder="1"/>
    <xf numFmtId="0" fontId="0" fillId="0" borderId="6" xfId="0" applyBorder="1" applyAlignment="1">
      <alignment horizontal="right"/>
    </xf>
    <xf numFmtId="0" fontId="8" fillId="0" borderId="5" xfId="0" applyFont="1" applyBorder="1" applyAlignment="1">
      <alignment horizontal="right"/>
    </xf>
    <xf numFmtId="0" fontId="0" fillId="0" borderId="6" xfId="0" quotePrefix="1" applyBorder="1" applyAlignment="1" applyProtection="1">
      <alignment horizontal="right"/>
      <protection locked="0"/>
    </xf>
    <xf numFmtId="0" fontId="9" fillId="0" borderId="6" xfId="0" applyFont="1" applyBorder="1" applyAlignment="1" applyProtection="1">
      <alignment vertical="top" wrapText="1"/>
      <protection locked="0"/>
    </xf>
    <xf numFmtId="0" fontId="9" fillId="0" borderId="5" xfId="0" applyFont="1" applyBorder="1" applyAlignment="1" applyProtection="1">
      <alignment vertical="top" wrapText="1"/>
      <protection locked="0"/>
    </xf>
    <xf numFmtId="0" fontId="9" fillId="0" borderId="6" xfId="0" applyFont="1" applyBorder="1" applyAlignment="1" applyProtection="1">
      <alignment vertical="top"/>
      <protection locked="0"/>
    </xf>
    <xf numFmtId="0" fontId="0" fillId="4" borderId="27" xfId="0" applyFill="1" applyBorder="1"/>
    <xf numFmtId="0" fontId="0" fillId="4" borderId="38" xfId="0" applyFill="1" applyBorder="1"/>
    <xf numFmtId="0" fontId="0" fillId="4" borderId="26" xfId="0" applyFill="1" applyBorder="1"/>
    <xf numFmtId="0" fontId="19" fillId="4" borderId="26" xfId="0" applyFont="1" applyFill="1" applyBorder="1"/>
    <xf numFmtId="0" fontId="0" fillId="4" borderId="39" xfId="0" applyFill="1" applyBorder="1"/>
    <xf numFmtId="0" fontId="0" fillId="4" borderId="0" xfId="0" applyFill="1"/>
    <xf numFmtId="0" fontId="6" fillId="4" borderId="0" xfId="0" applyFont="1" applyFill="1"/>
    <xf numFmtId="0" fontId="7" fillId="4" borderId="0" xfId="0" applyFont="1" applyFill="1"/>
    <xf numFmtId="0" fontId="17" fillId="4" borderId="10" xfId="0" applyFont="1" applyFill="1" applyBorder="1"/>
    <xf numFmtId="0" fontId="0" fillId="4" borderId="10" xfId="0" applyFill="1" applyBorder="1"/>
    <xf numFmtId="0" fontId="1" fillId="5" borderId="2" xfId="0" applyFont="1" applyFill="1" applyBorder="1" applyAlignment="1" applyProtection="1">
      <alignment horizontal="center"/>
      <protection locked="0"/>
    </xf>
    <xf numFmtId="0" fontId="0" fillId="6" borderId="6" xfId="0" applyFill="1" applyBorder="1" applyProtection="1">
      <protection locked="0"/>
    </xf>
    <xf numFmtId="0" fontId="0" fillId="7" borderId="6" xfId="0" applyFill="1" applyBorder="1" applyProtection="1">
      <protection locked="0"/>
    </xf>
    <xf numFmtId="0" fontId="1" fillId="7" borderId="4" xfId="0" applyFont="1" applyFill="1" applyBorder="1" applyAlignment="1">
      <alignment horizontal="center"/>
    </xf>
    <xf numFmtId="0" fontId="0" fillId="7" borderId="40" xfId="0" applyFill="1" applyBorder="1" applyProtection="1">
      <protection locked="0"/>
    </xf>
    <xf numFmtId="0" fontId="1" fillId="6" borderId="2" xfId="0" applyFont="1" applyFill="1" applyBorder="1" applyAlignment="1">
      <alignment horizontal="center"/>
    </xf>
    <xf numFmtId="0" fontId="0" fillId="6" borderId="40" xfId="0" applyFill="1" applyBorder="1" applyProtection="1">
      <protection locked="0"/>
    </xf>
    <xf numFmtId="164" fontId="5" fillId="8" borderId="0" xfId="0" applyNumberFormat="1" applyFont="1" applyFill="1" applyAlignment="1" applyProtection="1">
      <alignment horizontal="right"/>
      <protection locked="0"/>
    </xf>
    <xf numFmtId="18" fontId="5" fillId="8" borderId="49" xfId="0" applyNumberFormat="1" applyFont="1" applyFill="1" applyBorder="1" applyProtection="1">
      <protection locked="0"/>
    </xf>
    <xf numFmtId="0" fontId="0" fillId="9" borderId="0" xfId="0" applyFill="1"/>
    <xf numFmtId="0" fontId="0" fillId="6" borderId="3" xfId="0" applyFill="1" applyBorder="1"/>
    <xf numFmtId="0" fontId="9" fillId="0" borderId="6" xfId="0" applyFont="1" applyBorder="1" applyAlignment="1" applyProtection="1">
      <alignment horizontal="center"/>
      <protection locked="0"/>
    </xf>
    <xf numFmtId="0" fontId="1" fillId="10" borderId="3" xfId="0" applyFont="1" applyFill="1" applyBorder="1" applyAlignment="1">
      <alignment horizontal="center"/>
    </xf>
    <xf numFmtId="0" fontId="1" fillId="10" borderId="2" xfId="0" applyFont="1" applyFill="1" applyBorder="1" applyAlignment="1">
      <alignment horizontal="center"/>
    </xf>
    <xf numFmtId="0" fontId="0" fillId="0" borderId="52" xfId="0" applyBorder="1" applyAlignment="1" applyProtection="1">
      <alignment vertical="top" wrapText="1"/>
      <protection locked="0"/>
    </xf>
    <xf numFmtId="0" fontId="8" fillId="0" borderId="55" xfId="0" applyFont="1" applyBorder="1" applyAlignment="1">
      <alignment vertical="top"/>
    </xf>
    <xf numFmtId="0" fontId="8" fillId="0" borderId="56" xfId="0" applyFont="1" applyBorder="1" applyAlignment="1">
      <alignment vertical="top"/>
    </xf>
    <xf numFmtId="0" fontId="8" fillId="0" borderId="57" xfId="0" applyFont="1" applyBorder="1" applyAlignment="1">
      <alignment horizontal="right" vertical="top"/>
    </xf>
    <xf numFmtId="0" fontId="8" fillId="0" borderId="55" xfId="0" applyFont="1" applyBorder="1" applyAlignment="1">
      <alignment horizontal="right" vertical="top"/>
    </xf>
    <xf numFmtId="0" fontId="8" fillId="0" borderId="56" xfId="0" applyFont="1" applyBorder="1" applyAlignment="1">
      <alignment horizontal="left" vertical="top"/>
    </xf>
    <xf numFmtId="0" fontId="8" fillId="0" borderId="56" xfId="0" applyFont="1" applyBorder="1" applyAlignment="1">
      <alignment horizontal="left"/>
    </xf>
    <xf numFmtId="0" fontId="8" fillId="0" borderId="55" xfId="0" applyFont="1" applyBorder="1" applyAlignment="1">
      <alignment horizontal="left" vertical="top"/>
    </xf>
    <xf numFmtId="0" fontId="8" fillId="0" borderId="57" xfId="0" applyFont="1" applyBorder="1" applyAlignment="1">
      <alignment horizontal="left" vertical="top"/>
    </xf>
    <xf numFmtId="0" fontId="8" fillId="0" borderId="56" xfId="0" applyFont="1" applyBorder="1" applyAlignment="1">
      <alignment horizontal="right" vertical="top"/>
    </xf>
    <xf numFmtId="0" fontId="8" fillId="0" borderId="55" xfId="0" applyFont="1" applyBorder="1" applyAlignment="1">
      <alignment horizontal="left"/>
    </xf>
    <xf numFmtId="0" fontId="8" fillId="0" borderId="58" xfId="0" applyFont="1" applyBorder="1" applyAlignment="1">
      <alignment vertical="top"/>
    </xf>
    <xf numFmtId="0" fontId="0" fillId="0" borderId="59" xfId="0" applyBorder="1" applyAlignment="1" applyProtection="1">
      <alignment vertical="top"/>
      <protection locked="0"/>
    </xf>
    <xf numFmtId="0" fontId="8" fillId="0" borderId="60" xfId="0" applyFont="1" applyBorder="1" applyAlignment="1">
      <alignment vertical="top"/>
    </xf>
    <xf numFmtId="0" fontId="0" fillId="0" borderId="52" xfId="0" applyBorder="1" applyAlignment="1" applyProtection="1">
      <alignment vertical="top"/>
      <protection locked="0"/>
    </xf>
    <xf numFmtId="0" fontId="0" fillId="0" borderId="59" xfId="0" applyBorder="1" applyAlignment="1" applyProtection="1">
      <alignment vertical="top" wrapText="1"/>
      <protection locked="0"/>
    </xf>
    <xf numFmtId="0" fontId="8" fillId="0" borderId="60" xfId="0" applyFont="1" applyBorder="1" applyAlignment="1">
      <alignment horizontal="left"/>
    </xf>
    <xf numFmtId="0" fontId="8" fillId="0" borderId="60" xfId="0" applyFont="1" applyBorder="1" applyAlignment="1">
      <alignment horizontal="left" vertical="top"/>
    </xf>
    <xf numFmtId="0" fontId="9" fillId="0" borderId="52" xfId="0" applyFont="1" applyBorder="1" applyAlignment="1" applyProtection="1">
      <alignment vertical="top" wrapText="1"/>
      <protection locked="0"/>
    </xf>
    <xf numFmtId="0" fontId="0" fillId="11" borderId="3" xfId="0" applyFill="1" applyBorder="1"/>
    <xf numFmtId="0" fontId="0" fillId="12" borderId="3" xfId="0" applyFill="1" applyBorder="1"/>
    <xf numFmtId="0" fontId="1" fillId="12" borderId="2" xfId="0" applyFont="1" applyFill="1" applyBorder="1" applyAlignment="1">
      <alignment horizontal="center"/>
    </xf>
    <xf numFmtId="0" fontId="0" fillId="12" borderId="40" xfId="0" applyFill="1" applyBorder="1" applyProtection="1">
      <protection locked="0"/>
    </xf>
    <xf numFmtId="0" fontId="0" fillId="12" borderId="6" xfId="0" applyFill="1" applyBorder="1" applyProtection="1">
      <protection locked="0"/>
    </xf>
    <xf numFmtId="0" fontId="1" fillId="11" borderId="2" xfId="0" applyFont="1" applyFill="1" applyBorder="1" applyAlignment="1">
      <alignment horizontal="center"/>
    </xf>
    <xf numFmtId="0" fontId="0" fillId="11" borderId="40" xfId="0" applyFill="1" applyBorder="1" applyProtection="1">
      <protection locked="0"/>
    </xf>
    <xf numFmtId="0" fontId="0" fillId="11" borderId="6" xfId="0" applyFill="1" applyBorder="1" applyProtection="1">
      <protection locked="0"/>
    </xf>
    <xf numFmtId="0" fontId="8" fillId="0" borderId="8" xfId="0" applyFont="1" applyBorder="1" applyProtection="1">
      <protection locked="0"/>
    </xf>
    <xf numFmtId="0" fontId="1" fillId="11" borderId="3" xfId="0" applyFont="1" applyFill="1" applyBorder="1" applyAlignment="1">
      <alignment horizontal="center"/>
    </xf>
    <xf numFmtId="0" fontId="1" fillId="12" borderId="3" xfId="0" applyFont="1" applyFill="1" applyBorder="1" applyAlignment="1">
      <alignment horizontal="center"/>
    </xf>
    <xf numFmtId="0" fontId="0" fillId="13" borderId="0" xfId="0" applyFill="1" applyAlignment="1">
      <alignment horizontal="left"/>
    </xf>
    <xf numFmtId="0" fontId="0" fillId="13" borderId="49" xfId="0" applyFill="1" applyBorder="1" applyAlignment="1" applyProtection="1">
      <alignment horizontal="left"/>
      <protection locked="0"/>
    </xf>
    <xf numFmtId="0" fontId="12" fillId="0" borderId="52"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59" xfId="0" applyFont="1" applyBorder="1" applyAlignment="1" applyProtection="1">
      <alignment vertical="top" wrapText="1"/>
      <protection locked="0"/>
    </xf>
    <xf numFmtId="0" fontId="8" fillId="0" borderId="60" xfId="0" applyFont="1" applyBorder="1" applyAlignment="1">
      <alignment horizontal="right" vertical="top"/>
    </xf>
    <xf numFmtId="0" fontId="10" fillId="9" borderId="0" xfId="0" applyFont="1" applyFill="1"/>
    <xf numFmtId="0" fontId="36" fillId="8" borderId="2" xfId="0" applyFont="1" applyFill="1" applyBorder="1" applyAlignment="1">
      <alignment horizontal="center"/>
    </xf>
    <xf numFmtId="0" fontId="9" fillId="10" borderId="66" xfId="0" applyFont="1" applyFill="1" applyBorder="1"/>
    <xf numFmtId="0" fontId="0" fillId="10" borderId="66" xfId="0" applyFill="1" applyBorder="1"/>
    <xf numFmtId="0" fontId="0" fillId="10" borderId="68" xfId="0" applyFill="1" applyBorder="1"/>
    <xf numFmtId="0" fontId="0" fillId="19" borderId="5" xfId="0" applyFill="1" applyBorder="1" applyProtection="1">
      <protection locked="0"/>
    </xf>
    <xf numFmtId="0" fontId="37" fillId="0" borderId="71" xfId="0" applyFont="1" applyBorder="1"/>
    <xf numFmtId="0" fontId="0" fillId="16" borderId="72" xfId="0" applyFill="1" applyBorder="1"/>
    <xf numFmtId="0" fontId="39" fillId="8" borderId="71" xfId="0" applyFont="1" applyFill="1" applyBorder="1"/>
    <xf numFmtId="0" fontId="38" fillId="8" borderId="72" xfId="0" applyFont="1" applyFill="1" applyBorder="1"/>
    <xf numFmtId="0" fontId="39" fillId="15" borderId="71" xfId="0" applyFont="1" applyFill="1" applyBorder="1"/>
    <xf numFmtId="0" fontId="38" fillId="15" borderId="72" xfId="0" applyFont="1" applyFill="1" applyBorder="1"/>
    <xf numFmtId="0" fontId="39" fillId="4" borderId="71" xfId="0" applyFont="1" applyFill="1" applyBorder="1"/>
    <xf numFmtId="0" fontId="38" fillId="4" borderId="72" xfId="0" applyFont="1" applyFill="1" applyBorder="1"/>
    <xf numFmtId="0" fontId="10" fillId="16" borderId="71" xfId="0" applyFont="1" applyFill="1" applyBorder="1"/>
    <xf numFmtId="0" fontId="0" fillId="19" borderId="5" xfId="0" applyFill="1" applyBorder="1" applyAlignment="1" applyProtection="1">
      <alignment horizontal="right"/>
      <protection locked="0"/>
    </xf>
    <xf numFmtId="0" fontId="0" fillId="22" borderId="5" xfId="0" applyFill="1" applyBorder="1" applyProtection="1">
      <protection locked="0"/>
    </xf>
    <xf numFmtId="0" fontId="0" fillId="22" borderId="6" xfId="0" applyFill="1" applyBorder="1" applyProtection="1">
      <protection locked="0"/>
    </xf>
    <xf numFmtId="0" fontId="9" fillId="18" borderId="8" xfId="0" applyFont="1" applyFill="1" applyBorder="1"/>
    <xf numFmtId="0" fontId="0" fillId="18" borderId="8" xfId="0" applyFill="1" applyBorder="1" applyProtection="1">
      <protection locked="0"/>
    </xf>
    <xf numFmtId="0" fontId="9" fillId="18" borderId="7" xfId="0" applyFont="1" applyFill="1" applyBorder="1"/>
    <xf numFmtId="0" fontId="0" fillId="18" borderId="7" xfId="0" applyFill="1" applyBorder="1" applyProtection="1">
      <protection locked="0"/>
    </xf>
    <xf numFmtId="0" fontId="0" fillId="18" borderId="7" xfId="0" applyFill="1" applyBorder="1" applyAlignment="1" applyProtection="1">
      <alignment horizontal="right"/>
      <protection locked="0"/>
    </xf>
    <xf numFmtId="0" fontId="9" fillId="11" borderId="23" xfId="0" applyFont="1" applyFill="1" applyBorder="1" applyProtection="1">
      <protection locked="0"/>
    </xf>
    <xf numFmtId="0" fontId="9" fillId="12" borderId="22" xfId="0" applyFont="1" applyFill="1" applyBorder="1" applyProtection="1">
      <protection locked="0"/>
    </xf>
    <xf numFmtId="0" fontId="9" fillId="20" borderId="23" xfId="0" applyFont="1" applyFill="1" applyBorder="1" applyProtection="1">
      <protection locked="0"/>
    </xf>
    <xf numFmtId="0" fontId="9" fillId="20" borderId="33" xfId="0" applyFont="1" applyFill="1" applyBorder="1" applyProtection="1">
      <protection locked="0"/>
    </xf>
    <xf numFmtId="0" fontId="9" fillId="21" borderId="22" xfId="0" applyFont="1" applyFill="1" applyBorder="1" applyProtection="1">
      <protection locked="0"/>
    </xf>
    <xf numFmtId="0" fontId="9" fillId="21" borderId="34" xfId="0" applyFont="1" applyFill="1" applyBorder="1" applyProtection="1">
      <protection locked="0"/>
    </xf>
    <xf numFmtId="0" fontId="36" fillId="8" borderId="50" xfId="0" applyFont="1" applyFill="1" applyBorder="1" applyAlignment="1">
      <alignment horizontal="center"/>
    </xf>
    <xf numFmtId="0" fontId="36" fillId="8" borderId="51" xfId="0" applyFont="1" applyFill="1" applyBorder="1" applyAlignment="1">
      <alignment horizontal="center"/>
    </xf>
    <xf numFmtId="0" fontId="1" fillId="17" borderId="51" xfId="0" applyFont="1" applyFill="1" applyBorder="1" applyAlignment="1">
      <alignment horizontal="center"/>
    </xf>
    <xf numFmtId="0" fontId="29" fillId="18" borderId="54" xfId="0" applyFont="1" applyFill="1" applyBorder="1" applyAlignment="1">
      <alignment vertical="top"/>
    </xf>
    <xf numFmtId="0" fontId="0" fillId="18" borderId="53" xfId="0" applyFill="1" applyBorder="1" applyAlignment="1" applyProtection="1">
      <alignment vertical="top"/>
      <protection locked="0"/>
    </xf>
    <xf numFmtId="0" fontId="12" fillId="18" borderId="53" xfId="0" applyFont="1" applyFill="1" applyBorder="1" applyAlignment="1" applyProtection="1">
      <alignment vertical="top" wrapText="1"/>
      <protection locked="0"/>
    </xf>
    <xf numFmtId="0" fontId="13" fillId="18" borderId="54" xfId="0" applyFont="1" applyFill="1" applyBorder="1" applyAlignment="1">
      <alignment vertical="top"/>
    </xf>
    <xf numFmtId="0" fontId="37" fillId="0" borderId="10" xfId="0" applyFont="1" applyBorder="1" applyProtection="1">
      <protection locked="0"/>
    </xf>
    <xf numFmtId="0" fontId="37" fillId="0" borderId="9" xfId="0" applyFont="1" applyBorder="1" applyProtection="1">
      <protection locked="0"/>
    </xf>
    <xf numFmtId="0" fontId="3" fillId="4" borderId="26" xfId="0" applyFont="1" applyFill="1" applyBorder="1"/>
    <xf numFmtId="0" fontId="16" fillId="4" borderId="0" xfId="0" applyFont="1" applyFill="1" applyAlignment="1">
      <alignment horizontal="left"/>
    </xf>
    <xf numFmtId="0" fontId="16" fillId="4" borderId="10" xfId="0" applyFont="1" applyFill="1" applyBorder="1" applyAlignment="1">
      <alignment horizontal="left"/>
    </xf>
    <xf numFmtId="0" fontId="16" fillId="4" borderId="0" xfId="0" applyFont="1" applyFill="1"/>
    <xf numFmtId="0" fontId="15" fillId="4" borderId="0" xfId="0" applyFont="1" applyFill="1" applyAlignment="1">
      <alignment horizontal="right"/>
    </xf>
    <xf numFmtId="0" fontId="44" fillId="4" borderId="0" xfId="0" applyFont="1" applyFill="1" applyAlignment="1">
      <alignment horizontal="left"/>
    </xf>
    <xf numFmtId="0" fontId="2" fillId="9" borderId="0" xfId="0" applyFont="1" applyFill="1"/>
    <xf numFmtId="0" fontId="2" fillId="9" borderId="11" xfId="0" applyFont="1" applyFill="1" applyBorder="1"/>
    <xf numFmtId="0" fontId="19" fillId="4" borderId="20" xfId="0" applyFont="1" applyFill="1" applyBorder="1"/>
    <xf numFmtId="0" fontId="11" fillId="4" borderId="21" xfId="0" applyFont="1" applyFill="1" applyBorder="1"/>
    <xf numFmtId="0" fontId="0" fillId="7" borderId="3" xfId="0" applyFill="1" applyBorder="1"/>
    <xf numFmtId="0" fontId="1" fillId="24" borderId="10" xfId="0" applyFont="1" applyFill="1" applyBorder="1" applyAlignment="1">
      <alignment horizontal="center"/>
    </xf>
    <xf numFmtId="0" fontId="1" fillId="24" borderId="2" xfId="0" applyFont="1" applyFill="1" applyBorder="1" applyAlignment="1">
      <alignment horizontal="center"/>
    </xf>
    <xf numFmtId="0" fontId="0" fillId="13" borderId="49" xfId="0" applyFill="1" applyBorder="1" applyAlignment="1">
      <alignment horizontal="left"/>
    </xf>
    <xf numFmtId="0" fontId="32" fillId="18" borderId="86" xfId="0" applyFont="1" applyFill="1" applyBorder="1" applyAlignment="1">
      <alignment vertical="top" wrapText="1"/>
    </xf>
    <xf numFmtId="0" fontId="32" fillId="18" borderId="87" xfId="0" applyFont="1" applyFill="1" applyBorder="1" applyAlignment="1">
      <alignment vertical="top" wrapText="1"/>
    </xf>
    <xf numFmtId="0" fontId="32" fillId="18" borderId="88" xfId="0" applyFont="1" applyFill="1" applyBorder="1" applyAlignment="1">
      <alignment vertical="top" wrapText="1"/>
    </xf>
    <xf numFmtId="165" fontId="0" fillId="0" borderId="14" xfId="0" applyNumberFormat="1" applyBorder="1"/>
    <xf numFmtId="165" fontId="0" fillId="0" borderId="16" xfId="0" applyNumberFormat="1" applyBorder="1"/>
    <xf numFmtId="165" fontId="0" fillId="0" borderId="19" xfId="0" applyNumberFormat="1" applyBorder="1"/>
    <xf numFmtId="0" fontId="48" fillId="0" borderId="0" xfId="0" applyFont="1"/>
    <xf numFmtId="0" fontId="49" fillId="9" borderId="0" xfId="0" applyFont="1" applyFill="1"/>
    <xf numFmtId="0" fontId="10" fillId="11" borderId="71" xfId="0" applyFont="1" applyFill="1" applyBorder="1"/>
    <xf numFmtId="0" fontId="50" fillId="0" borderId="0" xfId="0" applyFont="1"/>
    <xf numFmtId="49" fontId="9" fillId="11" borderId="72" xfId="0" applyNumberFormat="1" applyFont="1" applyFill="1" applyBorder="1" applyAlignment="1">
      <alignment horizontal="right"/>
    </xf>
    <xf numFmtId="0" fontId="26" fillId="4" borderId="0" xfId="0" applyFont="1" applyFill="1"/>
    <xf numFmtId="0" fontId="46" fillId="4" borderId="0" xfId="0" applyFont="1" applyFill="1" applyAlignment="1">
      <alignment horizontal="right"/>
    </xf>
    <xf numFmtId="1" fontId="46" fillId="4" borderId="0" xfId="0" applyNumberFormat="1" applyFont="1" applyFill="1" applyAlignment="1">
      <alignment horizontal="left"/>
    </xf>
    <xf numFmtId="166" fontId="5" fillId="8" borderId="0" xfId="0" applyNumberFormat="1" applyFont="1" applyFill="1" applyAlignment="1" applyProtection="1">
      <alignment horizontal="right"/>
      <protection locked="0"/>
    </xf>
    <xf numFmtId="167" fontId="5" fillId="8" borderId="49" xfId="0" applyNumberFormat="1" applyFont="1" applyFill="1" applyBorder="1" applyProtection="1">
      <protection locked="0"/>
    </xf>
    <xf numFmtId="0" fontId="0" fillId="0" borderId="25" xfId="0" applyBorder="1" applyAlignment="1">
      <alignment horizontal="right"/>
    </xf>
    <xf numFmtId="0" fontId="0" fillId="0" borderId="24" xfId="0"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0" fillId="0" borderId="91" xfId="0" applyBorder="1" applyAlignment="1">
      <alignment horizontal="right"/>
    </xf>
    <xf numFmtId="0" fontId="9" fillId="0" borderId="7" xfId="0" applyFont="1" applyBorder="1" applyAlignment="1" applyProtection="1">
      <alignment horizontal="right"/>
      <protection locked="0"/>
    </xf>
    <xf numFmtId="0" fontId="9" fillId="0" borderId="6" xfId="0" applyFont="1" applyBorder="1" applyAlignment="1" applyProtection="1">
      <alignment horizontal="right"/>
      <protection locked="0"/>
    </xf>
    <xf numFmtId="0" fontId="10" fillId="23" borderId="71" xfId="0" applyFont="1" applyFill="1" applyBorder="1"/>
    <xf numFmtId="49" fontId="9" fillId="23" borderId="72" xfId="0" applyNumberFormat="1" applyFont="1" applyFill="1" applyBorder="1" applyAlignment="1">
      <alignment horizontal="right"/>
    </xf>
    <xf numFmtId="0" fontId="8" fillId="25" borderId="89" xfId="0" applyFont="1" applyFill="1" applyBorder="1" applyAlignment="1">
      <alignment horizontal="left"/>
    </xf>
    <xf numFmtId="0" fontId="8" fillId="25" borderId="28" xfId="0" applyFont="1" applyFill="1" applyBorder="1" applyAlignment="1">
      <alignment horizontal="left"/>
    </xf>
    <xf numFmtId="0" fontId="0" fillId="0" borderId="90" xfId="0" applyBorder="1" applyProtection="1">
      <protection locked="0"/>
    </xf>
    <xf numFmtId="0" fontId="8" fillId="0" borderId="92" xfId="0" applyFont="1" applyBorder="1" applyAlignment="1">
      <alignment horizontal="left" vertical="top"/>
    </xf>
    <xf numFmtId="0" fontId="0" fillId="0" borderId="93" xfId="0" applyBorder="1" applyAlignment="1" applyProtection="1">
      <alignment vertical="top" wrapText="1"/>
      <protection locked="0"/>
    </xf>
    <xf numFmtId="0" fontId="12" fillId="0" borderId="93" xfId="0" applyFont="1" applyBorder="1" applyAlignment="1" applyProtection="1">
      <alignment vertical="top" wrapText="1"/>
      <protection locked="0"/>
    </xf>
    <xf numFmtId="0" fontId="8" fillId="0" borderId="95" xfId="0" applyFont="1" applyBorder="1" applyAlignment="1">
      <alignment horizontal="left" vertical="top"/>
    </xf>
    <xf numFmtId="0" fontId="8" fillId="0" borderId="94" xfId="0" applyFont="1" applyBorder="1" applyAlignment="1">
      <alignment horizontal="left" vertical="top"/>
    </xf>
    <xf numFmtId="0" fontId="9" fillId="0" borderId="93" xfId="0" applyFont="1" applyBorder="1" applyAlignment="1" applyProtection="1">
      <alignment vertical="top" wrapText="1"/>
      <protection locked="0"/>
    </xf>
    <xf numFmtId="0" fontId="8" fillId="0" borderId="98" xfId="0" applyFont="1" applyBorder="1" applyAlignment="1">
      <alignment horizontal="left"/>
    </xf>
    <xf numFmtId="0" fontId="0" fillId="0" borderId="93" xfId="0" applyBorder="1" applyAlignment="1" applyProtection="1">
      <alignment vertical="top"/>
      <protection locked="0"/>
    </xf>
    <xf numFmtId="0" fontId="8" fillId="0" borderId="98" xfId="0" applyFont="1" applyBorder="1" applyAlignment="1">
      <alignment horizontal="left" vertical="top"/>
    </xf>
    <xf numFmtId="0" fontId="0" fillId="0" borderId="96" xfId="0" applyBorder="1" applyAlignment="1" applyProtection="1">
      <alignment vertical="top"/>
      <protection locked="0"/>
    </xf>
    <xf numFmtId="0" fontId="9" fillId="0" borderId="96" xfId="0" applyFont="1" applyBorder="1" applyAlignment="1" applyProtection="1">
      <alignment vertical="top"/>
      <protection locked="0"/>
    </xf>
    <xf numFmtId="0" fontId="9" fillId="0" borderId="97" xfId="0" applyFont="1" applyBorder="1" applyAlignment="1" applyProtection="1">
      <alignment vertical="top" wrapText="1"/>
      <protection locked="0"/>
    </xf>
    <xf numFmtId="0" fontId="0" fillId="17" borderId="0" xfId="0" applyFill="1" applyProtection="1">
      <protection locked="0"/>
    </xf>
    <xf numFmtId="0" fontId="8" fillId="0" borderId="28" xfId="0" applyFont="1" applyBorder="1" applyAlignment="1">
      <alignment horizontal="left"/>
    </xf>
    <xf numFmtId="0" fontId="0" fillId="0" borderId="99" xfId="0" applyBorder="1" applyAlignment="1" applyProtection="1">
      <alignment horizontal="right"/>
      <protection locked="0"/>
    </xf>
    <xf numFmtId="0" fontId="9" fillId="0" borderId="5" xfId="0" applyFont="1" applyBorder="1" applyAlignment="1" applyProtection="1">
      <alignment horizontal="right"/>
      <protection locked="0"/>
    </xf>
    <xf numFmtId="0" fontId="9" fillId="17" borderId="46" xfId="0" applyFont="1" applyFill="1" applyBorder="1" applyProtection="1">
      <protection locked="0"/>
    </xf>
    <xf numFmtId="0" fontId="0" fillId="11" borderId="5" xfId="0" applyFill="1" applyBorder="1" applyProtection="1">
      <protection locked="0"/>
    </xf>
    <xf numFmtId="0" fontId="0" fillId="11" borderId="7" xfId="0" applyFill="1" applyBorder="1" applyProtection="1">
      <protection locked="0"/>
    </xf>
    <xf numFmtId="0" fontId="9" fillId="23" borderId="46" xfId="0" applyFont="1" applyFill="1" applyBorder="1"/>
    <xf numFmtId="0" fontId="0" fillId="23" borderId="0" xfId="0" applyFill="1"/>
    <xf numFmtId="0" fontId="0" fillId="23" borderId="47" xfId="0" applyFill="1" applyBorder="1"/>
    <xf numFmtId="0" fontId="9" fillId="22" borderId="46" xfId="0" applyFont="1" applyFill="1" applyBorder="1" applyProtection="1">
      <protection locked="0"/>
    </xf>
    <xf numFmtId="0" fontId="0" fillId="22" borderId="0" xfId="0" applyFill="1" applyProtection="1">
      <protection locked="0"/>
    </xf>
    <xf numFmtId="0" fontId="9" fillId="11" borderId="6" xfId="0" applyFont="1" applyFill="1" applyBorder="1" applyProtection="1">
      <protection locked="0"/>
    </xf>
    <xf numFmtId="0" fontId="9" fillId="11" borderId="25" xfId="0" applyFont="1" applyFill="1" applyBorder="1" applyProtection="1">
      <protection locked="0"/>
    </xf>
    <xf numFmtId="0" fontId="0" fillId="0" borderId="102" xfId="0" applyBorder="1" applyAlignment="1">
      <alignment horizontal="right"/>
    </xf>
    <xf numFmtId="0" fontId="9" fillId="11" borderId="24" xfId="0" applyFont="1" applyFill="1" applyBorder="1" applyProtection="1">
      <protection locked="0"/>
    </xf>
    <xf numFmtId="0" fontId="9" fillId="22" borderId="23" xfId="0" applyFont="1" applyFill="1" applyBorder="1" applyProtection="1">
      <protection locked="0"/>
    </xf>
    <xf numFmtId="0" fontId="9" fillId="22" borderId="7" xfId="0" applyFont="1" applyFill="1" applyBorder="1" applyProtection="1">
      <protection locked="0"/>
    </xf>
    <xf numFmtId="0" fontId="9" fillId="22" borderId="22" xfId="0" applyFont="1" applyFill="1" applyBorder="1" applyProtection="1">
      <protection locked="0"/>
    </xf>
    <xf numFmtId="0" fontId="9" fillId="22" borderId="33" xfId="0" applyFont="1" applyFill="1" applyBorder="1" applyProtection="1">
      <protection locked="0"/>
    </xf>
    <xf numFmtId="0" fontId="9" fillId="22" borderId="5" xfId="0" applyFont="1" applyFill="1" applyBorder="1" applyProtection="1">
      <protection locked="0"/>
    </xf>
    <xf numFmtId="0" fontId="9" fillId="22" borderId="34" xfId="0" applyFont="1" applyFill="1" applyBorder="1" applyProtection="1">
      <protection locked="0"/>
    </xf>
    <xf numFmtId="0" fontId="9" fillId="15" borderId="25" xfId="0" applyFont="1" applyFill="1" applyBorder="1" applyProtection="1">
      <protection locked="0"/>
    </xf>
    <xf numFmtId="0" fontId="9" fillId="15" borderId="6" xfId="0" applyFont="1" applyFill="1" applyBorder="1" applyProtection="1">
      <protection locked="0"/>
    </xf>
    <xf numFmtId="0" fontId="9" fillId="15" borderId="24" xfId="0" applyFont="1" applyFill="1" applyBorder="1" applyProtection="1">
      <protection locked="0"/>
    </xf>
    <xf numFmtId="0" fontId="0" fillId="0" borderId="102" xfId="0" applyBorder="1" applyAlignment="1" applyProtection="1">
      <alignment horizontal="right"/>
      <protection locked="0"/>
    </xf>
    <xf numFmtId="0" fontId="0" fillId="22" borderId="47" xfId="0" applyFill="1" applyBorder="1" applyProtection="1">
      <protection locked="0"/>
    </xf>
    <xf numFmtId="0" fontId="0" fillId="17" borderId="47" xfId="0" applyFill="1" applyBorder="1" applyProtection="1">
      <protection locked="0"/>
    </xf>
    <xf numFmtId="0" fontId="0" fillId="20" borderId="6" xfId="0" applyFill="1" applyBorder="1" applyProtection="1">
      <protection locked="0"/>
    </xf>
    <xf numFmtId="0" fontId="9" fillId="10" borderId="66" xfId="0" applyFont="1" applyFill="1" applyBorder="1" applyAlignment="1">
      <alignment horizontal="left"/>
    </xf>
    <xf numFmtId="0" fontId="0" fillId="10" borderId="69" xfId="0" applyFill="1" applyBorder="1"/>
    <xf numFmtId="0" fontId="10" fillId="18" borderId="105" xfId="0" applyFont="1" applyFill="1" applyBorder="1"/>
    <xf numFmtId="0" fontId="10" fillId="18" borderId="106" xfId="0" applyFont="1" applyFill="1" applyBorder="1"/>
    <xf numFmtId="0" fontId="10" fillId="18" borderId="107" xfId="0" applyFont="1" applyFill="1" applyBorder="1"/>
    <xf numFmtId="0" fontId="9" fillId="10" borderId="68" xfId="0" applyFont="1" applyFill="1" applyBorder="1"/>
    <xf numFmtId="0" fontId="9" fillId="10" borderId="68" xfId="0" applyFont="1" applyFill="1" applyBorder="1" applyAlignment="1">
      <alignment horizontal="left"/>
    </xf>
    <xf numFmtId="0" fontId="9" fillId="10" borderId="70" xfId="0" applyFont="1" applyFill="1" applyBorder="1"/>
    <xf numFmtId="0" fontId="9" fillId="9" borderId="30" xfId="0" applyFont="1" applyFill="1" applyBorder="1" applyAlignment="1">
      <alignment horizontal="right"/>
    </xf>
    <xf numFmtId="0" fontId="0" fillId="9" borderId="31" xfId="0" applyFill="1" applyBorder="1" applyAlignment="1">
      <alignment horizontal="right"/>
    </xf>
    <xf numFmtId="0" fontId="8" fillId="0" borderId="56" xfId="0" applyFont="1" applyBorder="1" applyAlignment="1">
      <alignment horizontal="right" vertical="top" wrapText="1"/>
    </xf>
    <xf numFmtId="0" fontId="9" fillId="0" borderId="7" xfId="0" applyFont="1" applyBorder="1" applyAlignment="1" applyProtection="1">
      <alignment vertical="top" wrapText="1"/>
      <protection locked="0"/>
    </xf>
    <xf numFmtId="0" fontId="12" fillId="0" borderId="5" xfId="0" applyFont="1" applyBorder="1" applyAlignment="1" applyProtection="1">
      <alignment horizontal="left" vertical="top" wrapText="1"/>
      <protection locked="0"/>
    </xf>
    <xf numFmtId="0" fontId="12" fillId="0" borderId="3" xfId="0" applyFont="1" applyBorder="1" applyAlignment="1">
      <alignment horizontal="left" vertical="top" wrapText="1"/>
    </xf>
    <xf numFmtId="0" fontId="0" fillId="18" borderId="108" xfId="0" applyFill="1" applyBorder="1" applyAlignment="1" applyProtection="1">
      <alignment vertical="top"/>
      <protection locked="0"/>
    </xf>
    <xf numFmtId="0" fontId="9" fillId="18" borderId="108" xfId="0" applyFont="1" applyFill="1" applyBorder="1" applyAlignment="1" applyProtection="1">
      <alignment vertical="top"/>
      <protection locked="0"/>
    </xf>
    <xf numFmtId="0" fontId="9" fillId="18" borderId="109" xfId="0" applyFont="1" applyFill="1" applyBorder="1" applyAlignment="1" applyProtection="1">
      <alignment vertical="top"/>
      <protection locked="0"/>
    </xf>
    <xf numFmtId="0" fontId="9" fillId="18" borderId="108" xfId="0" applyFont="1" applyFill="1" applyBorder="1" applyAlignment="1" applyProtection="1">
      <alignment vertical="top" wrapText="1"/>
      <protection locked="0"/>
    </xf>
    <xf numFmtId="0" fontId="9" fillId="18" borderId="41" xfId="0" applyFont="1" applyFill="1" applyBorder="1" applyAlignment="1" applyProtection="1">
      <alignment vertical="top" wrapText="1"/>
      <protection locked="0"/>
    </xf>
    <xf numFmtId="0" fontId="9" fillId="0" borderId="0" xfId="0" applyFont="1"/>
    <xf numFmtId="0" fontId="8" fillId="0" borderId="110" xfId="0" applyFont="1" applyBorder="1" applyAlignment="1">
      <alignment vertical="top"/>
    </xf>
    <xf numFmtId="0" fontId="9" fillId="18" borderId="111" xfId="0" applyFont="1" applyFill="1" applyBorder="1" applyAlignment="1" applyProtection="1">
      <alignment vertical="top" wrapText="1"/>
      <protection locked="0"/>
    </xf>
    <xf numFmtId="0" fontId="9" fillId="0" borderId="55" xfId="0" applyFont="1" applyBorder="1" applyAlignment="1" applyProtection="1">
      <alignment horizontal="right" vertical="top" wrapText="1"/>
      <protection locked="0"/>
    </xf>
    <xf numFmtId="0" fontId="9" fillId="0" borderId="56" xfId="0" applyFont="1" applyBorder="1" applyAlignment="1" applyProtection="1">
      <alignment horizontal="right" vertical="top" wrapText="1"/>
      <protection locked="0"/>
    </xf>
    <xf numFmtId="0" fontId="9" fillId="0" borderId="60" xfId="0" applyFont="1" applyBorder="1" applyAlignment="1" applyProtection="1">
      <alignment horizontal="right" vertical="top" wrapText="1"/>
      <protection locked="0"/>
    </xf>
    <xf numFmtId="0" fontId="0" fillId="0" borderId="118" xfId="0" applyBorder="1" applyAlignment="1" applyProtection="1">
      <alignment horizontal="right" vertical="top" wrapText="1"/>
      <protection locked="0"/>
    </xf>
    <xf numFmtId="0" fontId="0" fillId="0" borderId="119" xfId="0" applyBorder="1" applyAlignment="1" applyProtection="1">
      <alignment horizontal="right" vertical="top" wrapText="1"/>
      <protection locked="0"/>
    </xf>
    <xf numFmtId="9" fontId="0" fillId="0" borderId="120" xfId="1" applyFont="1" applyBorder="1" applyAlignment="1" applyProtection="1">
      <alignment horizontal="right" vertical="top" wrapText="1"/>
      <protection locked="0"/>
    </xf>
    <xf numFmtId="0" fontId="0" fillId="0" borderId="121" xfId="0" applyBorder="1" applyAlignment="1" applyProtection="1">
      <alignment horizontal="right" vertical="top"/>
      <protection locked="0"/>
    </xf>
    <xf numFmtId="0" fontId="0" fillId="0" borderId="124" xfId="0" applyBorder="1" applyAlignment="1" applyProtection="1">
      <alignment horizontal="right" vertical="top"/>
      <protection locked="0"/>
    </xf>
    <xf numFmtId="0" fontId="36" fillId="14" borderId="65" xfId="0" applyFont="1" applyFill="1" applyBorder="1" applyAlignment="1">
      <alignment horizontal="center"/>
    </xf>
    <xf numFmtId="0" fontId="9" fillId="18" borderId="128" xfId="0" applyFont="1" applyFill="1" applyBorder="1" applyAlignment="1" applyProtection="1">
      <alignment vertical="top"/>
      <protection locked="0"/>
    </xf>
    <xf numFmtId="0" fontId="9" fillId="18" borderId="114" xfId="0" applyFont="1" applyFill="1" applyBorder="1" applyAlignment="1" applyProtection="1">
      <alignment vertical="top"/>
      <protection locked="0"/>
    </xf>
    <xf numFmtId="0" fontId="9" fillId="18" borderId="128" xfId="0" applyFont="1" applyFill="1" applyBorder="1" applyAlignment="1" applyProtection="1">
      <alignment vertical="top" wrapText="1"/>
      <protection locked="0"/>
    </xf>
    <xf numFmtId="0" fontId="9" fillId="18" borderId="129" xfId="0" applyFont="1" applyFill="1" applyBorder="1" applyAlignment="1" applyProtection="1">
      <alignment vertical="top" wrapText="1"/>
      <protection locked="0"/>
    </xf>
    <xf numFmtId="0" fontId="9" fillId="18" borderId="127" xfId="0" applyFont="1" applyFill="1" applyBorder="1" applyAlignment="1" applyProtection="1">
      <alignment vertical="top" wrapText="1"/>
      <protection locked="0"/>
    </xf>
    <xf numFmtId="0" fontId="9" fillId="18" borderId="7" xfId="2" applyFill="1" applyBorder="1"/>
    <xf numFmtId="0" fontId="9" fillId="18" borderId="7" xfId="2" applyFill="1" applyBorder="1" applyProtection="1">
      <protection locked="0"/>
    </xf>
    <xf numFmtId="0" fontId="9" fillId="18" borderId="7" xfId="2" applyFill="1" applyBorder="1" applyAlignment="1" applyProtection="1">
      <alignment horizontal="right"/>
      <protection locked="0"/>
    </xf>
    <xf numFmtId="0" fontId="8" fillId="0" borderId="5" xfId="2" applyFont="1" applyBorder="1" applyAlignment="1">
      <alignment horizontal="left"/>
    </xf>
    <xf numFmtId="0" fontId="9" fillId="0" borderId="5" xfId="2" applyBorder="1" applyProtection="1">
      <protection locked="0"/>
    </xf>
    <xf numFmtId="0" fontId="9" fillId="0" borderId="3" xfId="2" applyBorder="1" applyAlignment="1" applyProtection="1">
      <alignment horizontal="right"/>
      <protection locked="0"/>
    </xf>
    <xf numFmtId="0" fontId="8" fillId="0" borderId="7" xfId="2" applyFont="1" applyBorder="1" applyAlignment="1">
      <alignment horizontal="left"/>
    </xf>
    <xf numFmtId="0" fontId="9" fillId="0" borderId="7" xfId="2" applyBorder="1" applyProtection="1">
      <protection locked="0"/>
    </xf>
    <xf numFmtId="0" fontId="9" fillId="0" borderId="7" xfId="2" applyBorder="1" applyAlignment="1" applyProtection="1">
      <alignment horizontal="right"/>
      <protection locked="0"/>
    </xf>
    <xf numFmtId="0" fontId="9" fillId="0" borderId="6" xfId="2" applyBorder="1" applyProtection="1">
      <protection locked="0"/>
    </xf>
    <xf numFmtId="0" fontId="9" fillId="0" borderId="6" xfId="2" applyBorder="1" applyAlignment="1" applyProtection="1">
      <alignment horizontal="right"/>
      <protection locked="0"/>
    </xf>
    <xf numFmtId="0" fontId="0" fillId="25" borderId="5" xfId="0" applyFill="1" applyBorder="1" applyProtection="1">
      <protection locked="0"/>
    </xf>
    <xf numFmtId="0" fontId="0" fillId="25" borderId="6" xfId="0" applyFill="1" applyBorder="1" applyProtection="1">
      <protection locked="0"/>
    </xf>
    <xf numFmtId="0" fontId="0" fillId="25" borderId="5" xfId="0" applyFill="1" applyBorder="1" applyAlignment="1" applyProtection="1">
      <alignment horizontal="right"/>
      <protection locked="0"/>
    </xf>
    <xf numFmtId="0" fontId="0" fillId="20" borderId="5" xfId="0" applyFill="1" applyBorder="1" applyProtection="1">
      <protection locked="0"/>
    </xf>
    <xf numFmtId="0" fontId="0" fillId="23" borderId="5" xfId="0" applyFill="1" applyBorder="1" applyProtection="1">
      <protection locked="0"/>
    </xf>
    <xf numFmtId="0" fontId="0" fillId="23" borderId="6" xfId="0" applyFill="1" applyBorder="1" applyAlignment="1">
      <alignment horizontal="right"/>
    </xf>
    <xf numFmtId="0" fontId="0" fillId="6" borderId="5" xfId="0" applyFill="1" applyBorder="1" applyProtection="1">
      <protection locked="0"/>
    </xf>
    <xf numFmtId="0" fontId="0" fillId="18" borderId="3" xfId="0" applyFill="1" applyBorder="1" applyAlignment="1" applyProtection="1">
      <alignment vertical="top"/>
      <protection locked="0"/>
    </xf>
    <xf numFmtId="0" fontId="9" fillId="0" borderId="5" xfId="0" applyFont="1" applyBorder="1" applyAlignment="1" applyProtection="1">
      <alignment vertical="top"/>
      <protection locked="0"/>
    </xf>
    <xf numFmtId="0" fontId="12" fillId="26" borderId="5" xfId="0" applyFont="1" applyFill="1" applyBorder="1" applyAlignment="1" applyProtection="1">
      <alignment vertical="top"/>
      <protection locked="0"/>
    </xf>
    <xf numFmtId="0" fontId="9" fillId="0" borderId="59" xfId="0" applyFont="1" applyBorder="1" applyAlignment="1" applyProtection="1">
      <alignment vertical="top" wrapText="1"/>
      <protection locked="0"/>
    </xf>
    <xf numFmtId="0" fontId="12" fillId="0" borderId="138" xfId="0" applyFont="1" applyBorder="1" applyAlignment="1" applyProtection="1">
      <alignment vertical="top" wrapText="1"/>
      <protection locked="0"/>
    </xf>
    <xf numFmtId="0" fontId="12" fillId="0" borderId="139" xfId="0" applyFont="1" applyBorder="1" applyAlignment="1" applyProtection="1">
      <alignment vertical="top" wrapText="1"/>
      <protection locked="0"/>
    </xf>
    <xf numFmtId="0" fontId="0" fillId="0" borderId="136" xfId="0" applyBorder="1" applyAlignment="1">
      <alignment horizontal="right"/>
    </xf>
    <xf numFmtId="0" fontId="0" fillId="0" borderId="139" xfId="0" applyBorder="1" applyAlignment="1" applyProtection="1">
      <alignment horizontal="right"/>
      <protection locked="0"/>
    </xf>
    <xf numFmtId="0" fontId="9" fillId="0" borderId="139" xfId="2" applyBorder="1" applyAlignment="1" applyProtection="1">
      <alignment horizontal="right"/>
      <protection locked="0"/>
    </xf>
    <xf numFmtId="0" fontId="0" fillId="0" borderId="139" xfId="0" applyBorder="1" applyAlignment="1">
      <alignment horizontal="right"/>
    </xf>
    <xf numFmtId="0" fontId="21" fillId="27" borderId="0" xfId="0" applyFont="1" applyFill="1"/>
    <xf numFmtId="0" fontId="10" fillId="27" borderId="0" xfId="0" applyFont="1" applyFill="1" applyAlignment="1">
      <alignment horizontal="right"/>
    </xf>
    <xf numFmtId="0" fontId="0" fillId="27" borderId="0" xfId="0" applyFill="1"/>
    <xf numFmtId="0" fontId="27" fillId="27" borderId="0" xfId="0" quotePrefix="1" applyFont="1" applyFill="1"/>
    <xf numFmtId="0" fontId="28" fillId="27" borderId="0" xfId="0" applyFont="1" applyFill="1" applyAlignment="1">
      <alignment horizontal="left"/>
    </xf>
    <xf numFmtId="0" fontId="27" fillId="27" borderId="0" xfId="0" applyFont="1" applyFill="1"/>
    <xf numFmtId="0" fontId="0" fillId="27" borderId="41" xfId="0" applyFill="1" applyBorder="1"/>
    <xf numFmtId="0" fontId="26" fillId="4" borderId="0" xfId="0" applyFont="1" applyFill="1" applyAlignment="1">
      <alignment horizontal="right"/>
    </xf>
    <xf numFmtId="0" fontId="0" fillId="27" borderId="140" xfId="0" applyFill="1" applyBorder="1"/>
    <xf numFmtId="0" fontId="0" fillId="27" borderId="141" xfId="0" applyFill="1" applyBorder="1"/>
    <xf numFmtId="0" fontId="0" fillId="0" borderId="139" xfId="0" applyBorder="1" applyProtection="1">
      <protection locked="0"/>
    </xf>
    <xf numFmtId="0" fontId="12" fillId="0" borderId="3" xfId="0" applyFont="1" applyBorder="1" applyAlignment="1">
      <alignment vertical="top" wrapText="1"/>
    </xf>
    <xf numFmtId="0" fontId="9" fillId="25" borderId="0" xfId="0" applyFont="1" applyFill="1" applyAlignment="1" applyProtection="1">
      <alignment horizontal="left"/>
      <protection locked="0"/>
    </xf>
    <xf numFmtId="0" fontId="0" fillId="23" borderId="139" xfId="0" applyFill="1" applyBorder="1" applyProtection="1">
      <protection locked="0"/>
    </xf>
    <xf numFmtId="0" fontId="9" fillId="0" borderId="96" xfId="0" applyFont="1" applyBorder="1" applyAlignment="1" applyProtection="1">
      <alignment vertical="top" wrapText="1"/>
      <protection locked="0"/>
    </xf>
    <xf numFmtId="0" fontId="55" fillId="2" borderId="0" xfId="0" applyFont="1" applyFill="1"/>
    <xf numFmtId="0" fontId="55" fillId="0" borderId="0" xfId="0" applyFont="1"/>
    <xf numFmtId="0" fontId="56" fillId="2" borderId="0" xfId="0" applyFont="1" applyFill="1"/>
    <xf numFmtId="0" fontId="8" fillId="0" borderId="139" xfId="0" applyFont="1" applyBorder="1" applyProtection="1">
      <protection locked="0"/>
    </xf>
    <xf numFmtId="0" fontId="9" fillId="0" borderId="139" xfId="0" applyFont="1" applyBorder="1" applyProtection="1">
      <protection locked="0"/>
    </xf>
    <xf numFmtId="0" fontId="0" fillId="7" borderId="139" xfId="0" applyFill="1" applyBorder="1" applyProtection="1">
      <protection locked="0"/>
    </xf>
    <xf numFmtId="0" fontId="0" fillId="0" borderId="142" xfId="0" applyBorder="1" applyAlignment="1" applyProtection="1">
      <alignment vertical="top" wrapText="1"/>
      <protection locked="0"/>
    </xf>
    <xf numFmtId="0" fontId="12" fillId="0" borderId="142" xfId="0" applyFont="1" applyBorder="1" applyAlignment="1" applyProtection="1">
      <alignment vertical="top" wrapText="1"/>
      <protection locked="0"/>
    </xf>
    <xf numFmtId="0" fontId="8" fillId="0" borderId="95" xfId="0" applyFont="1" applyBorder="1" applyAlignment="1">
      <alignment vertical="top"/>
    </xf>
    <xf numFmtId="0" fontId="12" fillId="0" borderId="96" xfId="0" applyFont="1" applyBorder="1" applyAlignment="1" applyProtection="1">
      <alignment vertical="top" wrapText="1"/>
      <protection locked="0"/>
    </xf>
    <xf numFmtId="0" fontId="8" fillId="0" borderId="95" xfId="0" applyFont="1" applyBorder="1" applyAlignment="1">
      <alignment horizontal="right" vertical="top"/>
    </xf>
    <xf numFmtId="0" fontId="0" fillId="0" borderId="96" xfId="0" applyBorder="1" applyAlignment="1" applyProtection="1">
      <alignment vertical="top" wrapText="1"/>
      <protection locked="0"/>
    </xf>
    <xf numFmtId="0" fontId="8" fillId="0" borderId="94" xfId="0" applyFont="1" applyBorder="1" applyAlignment="1">
      <alignment horizontal="right" vertical="top"/>
    </xf>
    <xf numFmtId="0" fontId="12" fillId="0" borderId="97" xfId="0" applyFont="1" applyBorder="1" applyAlignment="1" applyProtection="1">
      <alignment vertical="top" wrapText="1"/>
      <protection locked="0"/>
    </xf>
    <xf numFmtId="0" fontId="57" fillId="4" borderId="0" xfId="0" applyFont="1" applyFill="1" applyAlignment="1">
      <alignment horizontal="left"/>
    </xf>
    <xf numFmtId="0" fontId="58" fillId="4" borderId="10" xfId="0" applyFont="1" applyFill="1" applyBorder="1" applyProtection="1">
      <protection locked="0"/>
    </xf>
    <xf numFmtId="0" fontId="12" fillId="0" borderId="6" xfId="0" applyFont="1" applyBorder="1" applyProtection="1">
      <protection locked="0"/>
    </xf>
    <xf numFmtId="0" fontId="59" fillId="0" borderId="6" xfId="0" applyFont="1" applyBorder="1" applyAlignment="1" applyProtection="1">
      <alignment horizontal="right"/>
      <protection locked="0"/>
    </xf>
    <xf numFmtId="2" fontId="59" fillId="0" borderId="6" xfId="0" applyNumberFormat="1" applyFont="1" applyBorder="1" applyAlignment="1" applyProtection="1">
      <alignment horizontal="right"/>
      <protection locked="0"/>
    </xf>
    <xf numFmtId="0" fontId="30" fillId="8" borderId="42" xfId="0" applyFont="1" applyFill="1" applyBorder="1" applyAlignment="1">
      <alignment horizontal="center"/>
    </xf>
    <xf numFmtId="0" fontId="30" fillId="8" borderId="43" xfId="0" applyFont="1" applyFill="1" applyBorder="1" applyAlignment="1">
      <alignment horizontal="center"/>
    </xf>
    <xf numFmtId="0" fontId="31" fillId="0" borderId="0" xfId="0" applyFont="1"/>
    <xf numFmtId="0" fontId="32" fillId="0" borderId="49" xfId="0" applyFont="1" applyBorder="1"/>
    <xf numFmtId="0" fontId="46" fillId="4" borderId="63" xfId="0" applyFont="1" applyFill="1" applyBorder="1" applyAlignment="1">
      <alignment horizontal="left"/>
    </xf>
    <xf numFmtId="0" fontId="46" fillId="4" borderId="64" xfId="0" applyFont="1" applyFill="1" applyBorder="1" applyAlignment="1">
      <alignment horizontal="left"/>
    </xf>
    <xf numFmtId="0" fontId="33" fillId="4" borderId="0" xfId="0" applyFont="1" applyFill="1" applyAlignment="1">
      <alignment horizontal="right"/>
    </xf>
    <xf numFmtId="9" fontId="51" fillId="4" borderId="0" xfId="0" applyNumberFormat="1" applyFont="1" applyFill="1" applyAlignment="1">
      <alignment horizontal="left" vertical="center"/>
    </xf>
    <xf numFmtId="9" fontId="34" fillId="4" borderId="0" xfId="0" applyNumberFormat="1" applyFont="1" applyFill="1" applyAlignment="1">
      <alignment horizontal="left" vertical="center"/>
    </xf>
    <xf numFmtId="0" fontId="35" fillId="4" borderId="0" xfId="0" applyFont="1" applyFill="1" applyAlignment="1">
      <alignment horizontal="right"/>
    </xf>
    <xf numFmtId="0" fontId="9" fillId="13" borderId="61" xfId="0" applyFont="1" applyFill="1" applyBorder="1" applyAlignment="1">
      <alignment horizontal="left"/>
    </xf>
    <xf numFmtId="0" fontId="9" fillId="13" borderId="62" xfId="0" applyFont="1" applyFill="1" applyBorder="1" applyAlignment="1">
      <alignment horizontal="left"/>
    </xf>
    <xf numFmtId="0" fontId="25" fillId="4" borderId="0" xfId="0" applyFont="1" applyFill="1" applyAlignment="1">
      <alignment horizontal="left"/>
    </xf>
    <xf numFmtId="0" fontId="25" fillId="4" borderId="10" xfId="0" applyFont="1" applyFill="1" applyBorder="1" applyAlignment="1">
      <alignment horizontal="left"/>
    </xf>
    <xf numFmtId="0" fontId="10" fillId="16" borderId="100" xfId="0" applyFont="1" applyFill="1" applyBorder="1" applyAlignment="1">
      <alignment horizontal="center"/>
    </xf>
    <xf numFmtId="0" fontId="10" fillId="16" borderId="40" xfId="0" applyFont="1" applyFill="1" applyBorder="1" applyAlignment="1">
      <alignment horizontal="center"/>
    </xf>
    <xf numFmtId="0" fontId="10" fillId="16" borderId="101" xfId="0" applyFont="1" applyFill="1" applyBorder="1" applyAlignment="1">
      <alignment horizontal="center"/>
    </xf>
    <xf numFmtId="0" fontId="39" fillId="15" borderId="67" xfId="0" applyFont="1" applyFill="1" applyBorder="1"/>
    <xf numFmtId="0" fontId="39" fillId="15" borderId="66" xfId="0" applyFont="1" applyFill="1" applyBorder="1"/>
    <xf numFmtId="0" fontId="39" fillId="8" borderId="67" xfId="0" applyFont="1" applyFill="1" applyBorder="1"/>
    <xf numFmtId="0" fontId="39" fillId="8" borderId="66" xfId="0" applyFont="1" applyFill="1" applyBorder="1"/>
    <xf numFmtId="0" fontId="0" fillId="19" borderId="44" xfId="0" applyFill="1" applyBorder="1" applyProtection="1">
      <protection locked="0"/>
    </xf>
    <xf numFmtId="0" fontId="0" fillId="19" borderId="48" xfId="0" applyFill="1" applyBorder="1" applyProtection="1">
      <protection locked="0"/>
    </xf>
    <xf numFmtId="0" fontId="0" fillId="19" borderId="45" xfId="0" applyFill="1" applyBorder="1" applyProtection="1">
      <protection locked="0"/>
    </xf>
    <xf numFmtId="0" fontId="9" fillId="25" borderId="35" xfId="0" applyFont="1" applyFill="1" applyBorder="1" applyAlignment="1" applyProtection="1">
      <alignment horizontal="left"/>
      <protection locked="0"/>
    </xf>
    <xf numFmtId="0" fontId="9" fillId="25" borderId="36" xfId="0" applyFont="1" applyFill="1" applyBorder="1" applyAlignment="1" applyProtection="1">
      <alignment horizontal="left"/>
      <protection locked="0"/>
    </xf>
    <xf numFmtId="0" fontId="9" fillId="25" borderId="37" xfId="0" applyFont="1" applyFill="1" applyBorder="1" applyAlignment="1" applyProtection="1">
      <alignment horizontal="left"/>
      <protection locked="0"/>
    </xf>
    <xf numFmtId="0" fontId="10" fillId="16" borderId="44" xfId="0" applyFont="1" applyFill="1" applyBorder="1" applyAlignment="1">
      <alignment horizontal="center"/>
    </xf>
    <xf numFmtId="0" fontId="10" fillId="16" borderId="45" xfId="0" applyFont="1" applyFill="1" applyBorder="1" applyAlignment="1">
      <alignment horizontal="center"/>
    </xf>
    <xf numFmtId="0" fontId="9" fillId="11" borderId="46" xfId="0" applyFont="1" applyFill="1" applyBorder="1"/>
    <xf numFmtId="0" fontId="0" fillId="11" borderId="0" xfId="0" applyFill="1"/>
    <xf numFmtId="0" fontId="0" fillId="11" borderId="47" xfId="0" applyFill="1" applyBorder="1"/>
    <xf numFmtId="0" fontId="9" fillId="0" borderId="44" xfId="0" applyFont="1" applyBorder="1" applyAlignment="1" applyProtection="1">
      <alignment horizontal="left"/>
      <protection locked="0"/>
    </xf>
    <xf numFmtId="0" fontId="9" fillId="0" borderId="48" xfId="0" applyFont="1" applyBorder="1" applyAlignment="1" applyProtection="1">
      <alignment horizontal="left"/>
      <protection locked="0"/>
    </xf>
    <xf numFmtId="0" fontId="9" fillId="0" borderId="45" xfId="0" applyFont="1" applyBorder="1" applyAlignment="1" applyProtection="1">
      <alignment horizontal="left"/>
      <protection locked="0"/>
    </xf>
    <xf numFmtId="0" fontId="10" fillId="9" borderId="36" xfId="0" applyFont="1" applyFill="1" applyBorder="1" applyAlignment="1">
      <alignment horizontal="left"/>
    </xf>
    <xf numFmtId="0" fontId="9" fillId="20" borderId="35" xfId="0" applyFont="1" applyFill="1" applyBorder="1" applyProtection="1">
      <protection locked="0"/>
    </xf>
    <xf numFmtId="0" fontId="0" fillId="20" borderId="36" xfId="0" applyFill="1" applyBorder="1" applyProtection="1">
      <protection locked="0"/>
    </xf>
    <xf numFmtId="0" fontId="0" fillId="20" borderId="37" xfId="0" applyFill="1" applyBorder="1" applyProtection="1">
      <protection locked="0"/>
    </xf>
    <xf numFmtId="0" fontId="39" fillId="4" borderId="67" xfId="0" applyFont="1" applyFill="1" applyBorder="1" applyAlignment="1">
      <alignment horizontal="left" vertical="top"/>
    </xf>
    <xf numFmtId="0" fontId="39" fillId="4" borderId="66" xfId="0" applyFont="1" applyFill="1" applyBorder="1" applyAlignment="1">
      <alignment horizontal="left" vertical="top"/>
    </xf>
    <xf numFmtId="0" fontId="10" fillId="23" borderId="103" xfId="0" applyFont="1" applyFill="1" applyBorder="1" applyAlignment="1">
      <alignment horizontal="left"/>
    </xf>
    <xf numFmtId="0" fontId="10" fillId="23" borderId="104" xfId="0" applyFont="1" applyFill="1" applyBorder="1" applyAlignment="1">
      <alignment horizontal="left"/>
    </xf>
    <xf numFmtId="0" fontId="9" fillId="9" borderId="3" xfId="0" applyFont="1" applyFill="1" applyBorder="1" applyAlignment="1" applyProtection="1">
      <alignment horizontal="left" vertical="top" wrapText="1"/>
      <protection locked="0"/>
    </xf>
    <xf numFmtId="0" fontId="9" fillId="9" borderId="59" xfId="0" applyFont="1" applyFill="1" applyBorder="1" applyAlignment="1" applyProtection="1">
      <alignment horizontal="left" vertical="top" wrapText="1"/>
      <protection locked="0"/>
    </xf>
    <xf numFmtId="0" fontId="9" fillId="9" borderId="127" xfId="0" applyFont="1" applyFill="1" applyBorder="1" applyAlignment="1" applyProtection="1">
      <alignment horizontal="left" vertical="top" wrapText="1"/>
      <protection locked="0"/>
    </xf>
    <xf numFmtId="0" fontId="9" fillId="9" borderId="65" xfId="0" applyFont="1" applyFill="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59" xfId="0" applyFont="1" applyBorder="1" applyAlignment="1" applyProtection="1">
      <alignment horizontal="left" vertical="top" wrapText="1"/>
      <protection locked="0"/>
    </xf>
    <xf numFmtId="0" fontId="9" fillId="0" borderId="127" xfId="0" applyFont="1" applyBorder="1" applyAlignment="1" applyProtection="1">
      <alignment horizontal="left" vertical="top" wrapText="1"/>
      <protection locked="0"/>
    </xf>
    <xf numFmtId="0" fontId="9" fillId="0" borderId="65" xfId="0" applyFont="1" applyBorder="1" applyAlignment="1" applyProtection="1">
      <alignment horizontal="left" vertical="top" wrapText="1"/>
      <protection locked="0"/>
    </xf>
    <xf numFmtId="0" fontId="36" fillId="14" borderId="108" xfId="0" applyFont="1" applyFill="1" applyBorder="1" applyAlignment="1">
      <alignment horizontal="center"/>
    </xf>
    <xf numFmtId="0" fontId="36" fillId="14" borderId="114" xfId="0" applyFont="1" applyFill="1" applyBorder="1" applyAlignment="1">
      <alignment horizontal="center"/>
    </xf>
    <xf numFmtId="0" fontId="36" fillId="14" borderId="113" xfId="0" applyFont="1" applyFill="1" applyBorder="1" applyAlignment="1">
      <alignment horizontal="center"/>
    </xf>
    <xf numFmtId="0" fontId="0" fillId="0" borderId="59" xfId="0" applyBorder="1" applyAlignment="1">
      <alignment vertical="top"/>
    </xf>
    <xf numFmtId="0" fontId="9" fillId="0" borderId="135" xfId="0" applyFont="1" applyBorder="1" applyAlignment="1" applyProtection="1">
      <alignment horizontal="left" vertical="top"/>
      <protection locked="0"/>
    </xf>
    <xf numFmtId="0" fontId="9" fillId="0" borderId="136" xfId="0" applyFont="1" applyBorder="1" applyAlignment="1" applyProtection="1">
      <alignment horizontal="left" vertical="top"/>
      <protection locked="0"/>
    </xf>
    <xf numFmtId="0" fontId="9" fillId="0" borderId="137" xfId="0" applyFont="1" applyBorder="1" applyAlignment="1" applyProtection="1">
      <alignment horizontal="left" vertical="top"/>
      <protection locked="0"/>
    </xf>
    <xf numFmtId="0" fontId="12" fillId="0" borderId="52" xfId="0" applyFont="1" applyBorder="1" applyAlignment="1" applyProtection="1">
      <alignment vertical="top" wrapText="1"/>
      <protection locked="0"/>
    </xf>
    <xf numFmtId="0" fontId="12" fillId="0" borderId="51" xfId="0" applyFont="1" applyBorder="1" applyAlignment="1" applyProtection="1">
      <alignment vertical="top" wrapText="1"/>
      <protection locked="0"/>
    </xf>
    <xf numFmtId="0" fontId="29" fillId="18" borderId="113" xfId="0" applyFont="1" applyFill="1" applyBorder="1" applyAlignment="1">
      <alignment horizontal="center" vertical="top"/>
    </xf>
    <xf numFmtId="0" fontId="29" fillId="18" borderId="109" xfId="0" applyFont="1" applyFill="1" applyBorder="1" applyAlignment="1">
      <alignment horizontal="center" vertical="top"/>
    </xf>
    <xf numFmtId="0" fontId="29" fillId="18" borderId="114" xfId="0" applyFont="1" applyFill="1" applyBorder="1" applyAlignment="1">
      <alignment horizontal="center" vertical="top"/>
    </xf>
    <xf numFmtId="0" fontId="9" fillId="0" borderId="115" xfId="0" applyFont="1" applyBorder="1" applyAlignment="1" applyProtection="1">
      <alignment horizontal="left" vertical="top"/>
      <protection locked="0"/>
    </xf>
    <xf numFmtId="0" fontId="9" fillId="0" borderId="112" xfId="0" applyFont="1" applyBorder="1" applyAlignment="1" applyProtection="1">
      <alignment horizontal="left" vertical="top"/>
      <protection locked="0"/>
    </xf>
    <xf numFmtId="0" fontId="9" fillId="0" borderId="116" xfId="0" applyFont="1" applyBorder="1" applyAlignment="1" applyProtection="1">
      <alignment horizontal="left" vertical="top"/>
      <protection locked="0"/>
    </xf>
    <xf numFmtId="0" fontId="0" fillId="0" borderId="122" xfId="0" applyBorder="1" applyAlignment="1" applyProtection="1">
      <alignment horizontal="right" vertical="top"/>
      <protection locked="0"/>
    </xf>
    <xf numFmtId="0" fontId="0" fillId="0" borderId="123" xfId="0" applyBorder="1" applyAlignment="1" applyProtection="1">
      <alignment horizontal="right" vertical="top"/>
      <protection locked="0"/>
    </xf>
    <xf numFmtId="9" fontId="0" fillId="0" borderId="125" xfId="1" applyFont="1" applyBorder="1" applyAlignment="1" applyProtection="1">
      <alignment horizontal="right" vertical="top"/>
      <protection locked="0"/>
    </xf>
    <xf numFmtId="9" fontId="0" fillId="0" borderId="126" xfId="1" applyFont="1" applyBorder="1" applyAlignment="1" applyProtection="1">
      <alignment horizontal="right" vertical="top"/>
      <protection locked="0"/>
    </xf>
    <xf numFmtId="0" fontId="9" fillId="0" borderId="117" xfId="0" applyFont="1" applyBorder="1" applyAlignment="1" applyProtection="1">
      <alignment horizontal="left" vertical="top" wrapText="1"/>
      <protection locked="0"/>
    </xf>
    <xf numFmtId="0" fontId="0" fillId="0" borderId="117" xfId="0" applyBorder="1" applyAlignment="1" applyProtection="1">
      <alignment horizontal="left" vertical="top" wrapText="1"/>
      <protection locked="0"/>
    </xf>
    <xf numFmtId="0" fontId="29" fillId="18" borderId="73" xfId="0" applyFont="1" applyFill="1" applyBorder="1" applyAlignment="1">
      <alignment horizontal="center" vertical="top"/>
    </xf>
    <xf numFmtId="0" fontId="9" fillId="0" borderId="132" xfId="0" applyFont="1" applyBorder="1" applyAlignment="1" applyProtection="1">
      <alignment horizontal="left" vertical="top"/>
      <protection locked="0"/>
    </xf>
    <xf numFmtId="0" fontId="9" fillId="0" borderId="133" xfId="0" applyFont="1" applyBorder="1" applyAlignment="1" applyProtection="1">
      <alignment horizontal="left" vertical="top"/>
      <protection locked="0"/>
    </xf>
    <xf numFmtId="0" fontId="9" fillId="0" borderId="134" xfId="0" applyFont="1" applyBorder="1" applyAlignment="1" applyProtection="1">
      <alignment horizontal="left" vertical="top"/>
      <protection locked="0"/>
    </xf>
    <xf numFmtId="0" fontId="42" fillId="8" borderId="63" xfId="0" applyFont="1" applyFill="1" applyBorder="1" applyAlignment="1">
      <alignment horizontal="left"/>
    </xf>
    <xf numFmtId="0" fontId="42" fillId="8" borderId="74" xfId="0" applyFont="1" applyFill="1" applyBorder="1" applyAlignment="1">
      <alignment horizontal="left"/>
    </xf>
    <xf numFmtId="0" fontId="12" fillId="0" borderId="3"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6" xfId="0" applyFont="1" applyBorder="1" applyAlignment="1" applyProtection="1">
      <alignment vertical="top" wrapText="1"/>
      <protection locked="0"/>
    </xf>
    <xf numFmtId="0" fontId="12" fillId="0" borderId="7" xfId="0" applyFont="1" applyBorder="1" applyAlignment="1" applyProtection="1">
      <alignment horizontal="left" vertical="top" wrapText="1"/>
      <protection locked="0"/>
    </xf>
    <xf numFmtId="0" fontId="12" fillId="0" borderId="59" xfId="0" applyFont="1" applyBorder="1" applyAlignment="1" applyProtection="1">
      <alignment horizontal="left" vertical="top" wrapText="1"/>
      <protection locked="0"/>
    </xf>
    <xf numFmtId="0" fontId="8" fillId="0" borderId="60" xfId="0" applyFont="1" applyBorder="1" applyAlignment="1">
      <alignment horizontal="right" vertical="top"/>
    </xf>
    <xf numFmtId="0" fontId="8" fillId="0" borderId="50" xfId="0" applyFont="1" applyBorder="1" applyAlignment="1">
      <alignment horizontal="right" vertical="top"/>
    </xf>
    <xf numFmtId="0" fontId="0" fillId="0" borderId="3" xfId="0" applyBorder="1" applyAlignment="1">
      <alignment horizontal="left" vertical="top" wrapText="1"/>
    </xf>
    <xf numFmtId="0" fontId="0" fillId="0" borderId="5" xfId="0" applyBorder="1" applyAlignment="1">
      <alignment horizontal="left" vertical="top" wrapText="1"/>
    </xf>
    <xf numFmtId="0" fontId="9" fillId="0" borderId="131" xfId="0" applyFont="1" applyBorder="1" applyAlignment="1" applyProtection="1">
      <alignment horizontal="left" vertical="top" wrapText="1"/>
      <protection locked="0"/>
    </xf>
    <xf numFmtId="0" fontId="0" fillId="0" borderId="131" xfId="0" applyBorder="1" applyAlignment="1" applyProtection="1">
      <alignment horizontal="left" vertical="top" wrapText="1"/>
      <protection locked="0"/>
    </xf>
    <xf numFmtId="0" fontId="9" fillId="0" borderId="130" xfId="0" applyFont="1" applyBorder="1" applyAlignment="1" applyProtection="1">
      <alignment horizontal="left" vertical="top" wrapText="1"/>
      <protection locked="0"/>
    </xf>
    <xf numFmtId="0" fontId="0" fillId="0" borderId="130" xfId="0" applyBorder="1" applyAlignment="1" applyProtection="1">
      <alignment horizontal="left" vertical="top" wrapText="1"/>
      <protection locked="0"/>
    </xf>
    <xf numFmtId="0" fontId="12" fillId="0" borderId="7" xfId="0" applyFont="1" applyBorder="1" applyAlignment="1" applyProtection="1">
      <alignment vertical="top" wrapText="1"/>
      <protection locked="0"/>
    </xf>
    <xf numFmtId="0" fontId="0" fillId="0" borderId="3" xfId="0" applyBorder="1" applyAlignment="1">
      <alignment vertical="top" wrapText="1"/>
    </xf>
    <xf numFmtId="0" fontId="32" fillId="18" borderId="84" xfId="0" applyFont="1" applyFill="1" applyBorder="1" applyAlignment="1">
      <alignment vertical="top" wrapText="1"/>
    </xf>
    <xf numFmtId="0" fontId="32" fillId="18" borderId="0" xfId="0" applyFont="1" applyFill="1" applyAlignment="1">
      <alignment vertical="top" wrapText="1"/>
    </xf>
    <xf numFmtId="0" fontId="32" fillId="18" borderId="85" xfId="0" applyFont="1" applyFill="1" applyBorder="1" applyAlignment="1">
      <alignment vertical="top" wrapText="1"/>
    </xf>
    <xf numFmtId="0" fontId="18" fillId="4" borderId="0" xfId="0" applyFont="1" applyFill="1"/>
    <xf numFmtId="0" fontId="18" fillId="4" borderId="49" xfId="0" applyFont="1" applyFill="1" applyBorder="1"/>
    <xf numFmtId="0" fontId="45" fillId="4" borderId="0" xfId="0" applyFont="1" applyFill="1" applyAlignment="1">
      <alignment horizontal="right"/>
    </xf>
    <xf numFmtId="0" fontId="46" fillId="4" borderId="0" xfId="0" applyFont="1" applyFill="1"/>
    <xf numFmtId="9" fontId="47" fillId="4" borderId="75" xfId="0" applyNumberFormat="1" applyFont="1" applyFill="1" applyBorder="1"/>
    <xf numFmtId="9" fontId="47" fillId="4" borderId="76" xfId="0" applyNumberFormat="1" applyFont="1" applyFill="1" applyBorder="1"/>
    <xf numFmtId="9" fontId="47" fillId="4" borderId="77" xfId="0" applyNumberFormat="1" applyFont="1" applyFill="1" applyBorder="1"/>
    <xf numFmtId="9" fontId="47" fillId="4" borderId="78" xfId="0" applyNumberFormat="1" applyFont="1" applyFill="1" applyBorder="1"/>
    <xf numFmtId="9" fontId="47" fillId="4" borderId="79" xfId="0" applyNumberFormat="1" applyFont="1" applyFill="1" applyBorder="1"/>
    <xf numFmtId="9" fontId="47" fillId="4" borderId="80" xfId="0" applyNumberFormat="1" applyFont="1" applyFill="1" applyBorder="1"/>
    <xf numFmtId="0" fontId="0" fillId="13" borderId="0" xfId="0" applyFill="1" applyAlignment="1">
      <alignment horizontal="left"/>
    </xf>
    <xf numFmtId="0" fontId="0" fillId="13" borderId="49" xfId="0" applyFill="1" applyBorder="1" applyAlignment="1">
      <alignment horizontal="left"/>
    </xf>
    <xf numFmtId="0" fontId="32" fillId="18" borderId="81" xfId="0" applyFont="1" applyFill="1" applyBorder="1" applyAlignment="1">
      <alignment vertical="top" wrapText="1"/>
    </xf>
    <xf numFmtId="0" fontId="32" fillId="18" borderId="82" xfId="0" applyFont="1" applyFill="1" applyBorder="1" applyAlignment="1">
      <alignment vertical="top" wrapText="1"/>
    </xf>
    <xf numFmtId="0" fontId="32" fillId="18" borderId="83" xfId="0" applyFont="1" applyFill="1" applyBorder="1" applyAlignment="1">
      <alignment vertical="top" wrapText="1"/>
    </xf>
  </cellXfs>
  <cellStyles count="6">
    <cellStyle name="Normal 2" xfId="2"/>
    <cellStyle name="Percent 2" xfId="4"/>
    <cellStyle name="Percent 3" xfId="5"/>
    <cellStyle name="Percent 4" xfId="3"/>
    <cellStyle name="一般" xfId="0" builtinId="0"/>
    <cellStyle name="百分比" xfId="1" builtinId="5"/>
  </cellStyles>
  <dxfs count="39">
    <dxf>
      <font>
        <b/>
        <i val="0"/>
        <condense val="0"/>
        <extend val="0"/>
        <color indexed="16"/>
      </font>
    </dxf>
    <dxf>
      <font>
        <b/>
        <i val="0"/>
        <condense val="0"/>
        <extend val="0"/>
        <color indexed="9"/>
      </font>
      <fill>
        <patternFill>
          <bgColor indexed="10"/>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val="0"/>
        <i/>
        <color theme="2"/>
      </font>
    </dxf>
    <dxf>
      <font>
        <b val="0"/>
        <i/>
        <color theme="2"/>
      </font>
    </dxf>
    <dxf>
      <font>
        <b/>
        <i val="0"/>
        <color auto="1"/>
      </font>
      <fill>
        <patternFill>
          <bgColor theme="0" tint="0.59996337778862885"/>
        </patternFill>
      </fill>
    </dxf>
    <dxf>
      <font>
        <b val="0"/>
        <i val="0"/>
        <color theme="3"/>
      </font>
      <fill>
        <patternFill>
          <bgColor theme="7" tint="0.79998168889431442"/>
        </patternFill>
      </fill>
      <border>
        <left style="thin">
          <color indexed="64"/>
        </left>
        <top style="thin">
          <color indexed="64"/>
        </top>
      </border>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s>
  <tableStyles count="0" defaultTableStyle="TableStyleMedium2" defaultPivotStyle="PivotStyleLight16"/>
  <colors>
    <mruColors>
      <color rgb="FFFFFFFF"/>
      <color rgb="FFFF7C8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9525</xdr:colOff>
      <xdr:row>1</xdr:row>
      <xdr:rowOff>76201</xdr:rowOff>
    </xdr:from>
    <xdr:to>
      <xdr:col>23</xdr:col>
      <xdr:colOff>9525</xdr:colOff>
      <xdr:row>177</xdr:row>
      <xdr:rowOff>152401</xdr:rowOff>
    </xdr:to>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26631900" y="304801"/>
          <a:ext cx="3657600" cy="30232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969696"/>
              </a:solidFill>
              <a:latin typeface="Arial"/>
              <a:cs typeface="Arial"/>
            </a:rPr>
            <a:t>Computational Space</a:t>
          </a:r>
          <a:endParaRPr lang="en-US"/>
        </a:p>
      </xdr:txBody>
    </xdr:sp>
    <xdr:clientData/>
  </xdr:twoCellAnchor>
  <xdr:twoCellAnchor editAs="oneCell">
    <xdr:from>
      <xdr:col>3</xdr:col>
      <xdr:colOff>47625</xdr:colOff>
      <xdr:row>0</xdr:row>
      <xdr:rowOff>47625</xdr:rowOff>
    </xdr:from>
    <xdr:to>
      <xdr:col>4</xdr:col>
      <xdr:colOff>561975</xdr:colOff>
      <xdr:row>3</xdr:row>
      <xdr:rowOff>0</xdr:rowOff>
    </xdr:to>
    <xdr:pic>
      <xdr:nvPicPr>
        <xdr:cNvPr id="1262" name="Picture 2">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0" y="47625"/>
          <a:ext cx="12001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66675</xdr:colOff>
      <xdr:row>3</xdr:row>
      <xdr:rowOff>28575</xdr:rowOff>
    </xdr:from>
    <xdr:to>
      <xdr:col>10</xdr:col>
      <xdr:colOff>409575</xdr:colOff>
      <xdr:row>5</xdr:row>
      <xdr:rowOff>123825</xdr:rowOff>
    </xdr:to>
    <xdr:pic>
      <xdr:nvPicPr>
        <xdr:cNvPr id="2127" name="Picture 2">
          <a:extLst>
            <a:ext uri="{FF2B5EF4-FFF2-40B4-BE49-F238E27FC236}">
              <a16:creationId xmlns:a16="http://schemas.microsoft.com/office/drawing/2014/main" id="{00000000-0008-0000-0300-00004F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81025"/>
          <a:ext cx="952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ublic\Sifos\PSA3000\Results\000.000.000.000\psa_report_q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mits"/>
      <sheetName val="Notes 5.x.x"/>
      <sheetName val="Interop"/>
      <sheetName val="Adtran"/>
      <sheetName val="Arista720_2p"/>
      <sheetName val="Aruba1930"/>
      <sheetName val="Aruba1960_2p"/>
      <sheetName val="ATx610"/>
      <sheetName val="AT9000"/>
      <sheetName val="Avaya3524"/>
      <sheetName val="Brcm59101"/>
      <sheetName val="Brcm59101_Legacy"/>
      <sheetName val="Brcm59111"/>
      <sheetName val="Brcm59111_Legacy"/>
      <sheetName val="Brcm59121"/>
      <sheetName val="Brcm_LLDP"/>
      <sheetName val="Brcm_4Pair"/>
      <sheetName val="Brocade6450"/>
      <sheetName val="Buffalo2116"/>
      <sheetName val="Cisco2960"/>
      <sheetName val="Cisco2960C"/>
      <sheetName val="Cisco3560"/>
      <sheetName val="Cisco3560CX"/>
      <sheetName val="Cisco3560X"/>
      <sheetName val="Cisco3650"/>
      <sheetName val="Cisco3750E"/>
      <sheetName val="Cisco3750X"/>
      <sheetName val="Cisco3850"/>
      <sheetName val="Cisco9300_2p"/>
      <sheetName val="Cisco9400_2p"/>
      <sheetName val="Commscope7550_2p"/>
      <sheetName val="Comtrol_7510"/>
      <sheetName val="Consentry"/>
      <sheetName val="Dell"/>
      <sheetName val="DLink"/>
      <sheetName val="FCbl_36"/>
      <sheetName val="FS3200"/>
      <sheetName val="FS3250_2p"/>
      <sheetName val="HP2910"/>
      <sheetName val="HP2620"/>
      <sheetName val="HP5120"/>
      <sheetName val="Juni4300"/>
      <sheetName val="LanTech"/>
      <sheetName val="LT4263_ES"/>
      <sheetName val="LT4263_MS"/>
      <sheetName val="LT4266"/>
      <sheetName val="LT4266A"/>
      <sheetName val="LT4270"/>
      <sheetName val="LT4290"/>
      <sheetName val="LT9101_2p"/>
      <sheetName val="Maxim5945"/>
      <sheetName val="Maxim5952"/>
      <sheetName val="Maxim5980"/>
      <sheetName val="Micrel"/>
      <sheetName val="MNO_M5"/>
      <sheetName val="Molex"/>
      <sheetName val="Mokerlink"/>
      <sheetName val="MPS3924"/>
      <sheetName val="Netgear516_2p"/>
      <sheetName val="Netgear5212"/>
      <sheetName val="Nortel5520"/>
      <sheetName val="PD6001"/>
      <sheetName val="PD64xxx"/>
      <sheetName val="PD690xx"/>
      <sheetName val="PD690xx_Legacy"/>
      <sheetName val="PD69108"/>
      <sheetName val="PD69208_at"/>
      <sheetName val="PD69208_2p"/>
      <sheetName val="Planet24040"/>
      <sheetName val="Planet4210_2p"/>
      <sheetName val="Realsil_2p"/>
      <sheetName val="Robbins"/>
      <sheetName val="Si3458"/>
      <sheetName val="Si3461"/>
      <sheetName val="TI2384"/>
      <sheetName val="TI23861"/>
      <sheetName val="TI2388"/>
      <sheetName val="TI23881_2p"/>
      <sheetName val="TI23882"/>
      <sheetName val="TI_FirmPse_2p"/>
      <sheetName val="TIPR415"/>
      <sheetName val="TrendBg102_2p"/>
      <sheetName val="TrendBg182_2p"/>
      <sheetName val="TrendTg44"/>
      <sheetName val="Tyco_PD"/>
      <sheetName val="Westermo"/>
      <sheetName val="Westermo_212A"/>
      <sheetName val="Zyxel"/>
      <sheetName val="AT8524_Legacy"/>
      <sheetName val="Cisco6500"/>
      <sheetName val="Alcatel6850"/>
      <sheetName val="Brcm59101_AC"/>
      <sheetName val="Brcm59101_DC"/>
      <sheetName val="Cisco_MS220"/>
      <sheetName val="LT4291"/>
      <sheetName val="Maxim5945_DC"/>
      <sheetName val="Maxim5952_AC"/>
      <sheetName val="Maxim5952_DC"/>
      <sheetName val="Maxim5965_AC"/>
      <sheetName val="Maxim5965_DC"/>
      <sheetName val="Netgear726"/>
      <sheetName val="Nortel470"/>
      <sheetName val="PD691xx_60W"/>
      <sheetName val="PD692xx"/>
      <sheetName val="Planet2400"/>
      <sheetName val="TIPR415_AC"/>
      <sheetName val="TIPR415_DC"/>
      <sheetName val="Summary Table- Type-1"/>
      <sheetName val="Summary Table- Type-2"/>
      <sheetName val="Alcatel6600"/>
      <sheetName val="AT8524"/>
      <sheetName val="Notes 4.x.x"/>
      <sheetName val="PD69208T_2p"/>
    </sheetNames>
    <sheetDataSet>
      <sheetData sheetId="0">
        <row r="129">
          <cell r="AR1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Set>
  </externalBook>
</externalLink>
</file>

<file path=xl/theme/theme1.xml><?xml version="1.0" encoding="utf-8"?>
<a:theme xmlns:a="http://schemas.openxmlformats.org/drawingml/2006/main" name="Office Theme">
  <a:themeElements>
    <a:clrScheme name="Sifos Literature">
      <a:dk1>
        <a:srgbClr val="000000"/>
      </a:dk1>
      <a:lt1>
        <a:srgbClr val="FFFFFF"/>
      </a:lt1>
      <a:dk2>
        <a:srgbClr val="00254B"/>
      </a:dk2>
      <a:lt2>
        <a:srgbClr val="185679"/>
      </a:lt2>
      <a:accent1>
        <a:srgbClr val="0059B2"/>
      </a:accent1>
      <a:accent2>
        <a:srgbClr val="7ABEE4"/>
      </a:accent2>
      <a:accent3>
        <a:srgbClr val="7A89E3"/>
      </a:accent3>
      <a:accent4>
        <a:srgbClr val="B25900"/>
      </a:accent4>
      <a:accent5>
        <a:srgbClr val="92B7CC"/>
      </a:accent5>
      <a:accent6>
        <a:srgbClr val="595959"/>
      </a:accent6>
      <a:hlink>
        <a:srgbClr val="0094B2"/>
      </a:hlink>
      <a:folHlink>
        <a:srgbClr val="7FB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rgbClr val="FFFFFF"/>
        </a:solidFill>
        <a:ln w="9525" cmpd="sng">
          <a:solidFill>
            <a:schemeClr val="tx1"/>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189"/>
  <sheetViews>
    <sheetView tabSelected="1" workbookViewId="0">
      <selection activeCell="N15" sqref="N15"/>
    </sheetView>
  </sheetViews>
  <sheetFormatPr defaultRowHeight="12.75" x14ac:dyDescent="0.2"/>
  <cols>
    <col min="1" max="1" width="33" customWidth="1"/>
    <col min="2" max="2" width="9.28515625" customWidth="1"/>
    <col min="3" max="3" width="12" customWidth="1"/>
    <col min="4" max="6" width="10.28515625" customWidth="1"/>
    <col min="7" max="7" width="11" bestFit="1" customWidth="1"/>
    <col min="8" max="8" width="7.28515625" customWidth="1"/>
    <col min="9" max="9" width="11" bestFit="1" customWidth="1"/>
    <col min="10" max="10" width="7.28515625" customWidth="1"/>
  </cols>
  <sheetData>
    <row r="1" spans="1:24" ht="18" x14ac:dyDescent="0.25">
      <c r="A1" s="325" t="s">
        <v>369</v>
      </c>
      <c r="B1" s="326"/>
      <c r="C1" s="297"/>
      <c r="D1" s="45"/>
      <c r="E1" s="45"/>
      <c r="F1" s="45"/>
      <c r="G1" s="46" t="str">
        <f>IF(BT="NO","802.3at Conformance Report","802.3bt 2Pr Conformance Report")</f>
        <v>802.3bt 2Pr Conformance Report</v>
      </c>
      <c r="H1" s="45"/>
      <c r="I1" s="45"/>
      <c r="J1" s="47"/>
      <c r="K1" s="295"/>
      <c r="L1" s="291"/>
    </row>
    <row r="2" spans="1:24" ht="12" customHeight="1" x14ac:dyDescent="0.2">
      <c r="A2" s="170" t="s">
        <v>667</v>
      </c>
      <c r="B2" s="171">
        <v>0.3527777777777778</v>
      </c>
      <c r="C2" s="297"/>
      <c r="D2" s="48"/>
      <c r="E2" s="48"/>
      <c r="F2" s="48"/>
      <c r="G2" s="49"/>
      <c r="H2" s="50"/>
      <c r="I2" s="318" t="s">
        <v>314</v>
      </c>
      <c r="J2" s="319" t="s">
        <v>671</v>
      </c>
      <c r="K2" s="295"/>
      <c r="L2" s="291"/>
    </row>
    <row r="3" spans="1:24" ht="15.75" customHeight="1" x14ac:dyDescent="0.2">
      <c r="A3" s="97" t="s">
        <v>41</v>
      </c>
      <c r="B3" s="98">
        <v>1</v>
      </c>
      <c r="C3" s="297"/>
      <c r="D3" s="49"/>
      <c r="E3" s="329" t="s">
        <v>89</v>
      </c>
      <c r="F3" s="329"/>
      <c r="G3" s="330" t="str">
        <f>IF(PD_Pwr="Type-1","15.4 Watt",IF(PD_Pwr="Type-2","30 Watt "&amp;HighPwrGrant,""))</f>
        <v>30 Watt PHY</v>
      </c>
      <c r="H3" s="330"/>
      <c r="I3" s="335" t="s">
        <v>666</v>
      </c>
      <c r="J3" s="336"/>
      <c r="K3" s="295"/>
      <c r="L3" s="291"/>
    </row>
    <row r="4" spans="1:24" ht="15" customHeight="1" x14ac:dyDescent="0.2">
      <c r="A4" s="97" t="s">
        <v>42</v>
      </c>
      <c r="B4" s="98">
        <v>1</v>
      </c>
      <c r="C4" s="297"/>
      <c r="D4" s="329" t="s">
        <v>90</v>
      </c>
      <c r="E4" s="329"/>
      <c r="F4" s="332"/>
      <c r="G4" s="331">
        <f>IF(Test_Count&gt;15,Index,"N/A")</f>
        <v>1</v>
      </c>
      <c r="H4" s="331"/>
      <c r="I4" s="335" t="str">
        <f>" S/N: "&amp;PSA</f>
        <v xml:space="preserve"> S/N: 30002003A</v>
      </c>
      <c r="J4" s="336"/>
      <c r="K4" s="295"/>
      <c r="L4" s="291"/>
      <c r="Q4" s="244"/>
      <c r="R4" s="244"/>
      <c r="S4" s="244"/>
      <c r="T4" s="244"/>
      <c r="U4" s="244"/>
      <c r="V4" s="244"/>
      <c r="W4" s="244"/>
      <c r="X4" s="244"/>
    </row>
    <row r="5" spans="1:24" ht="13.5" customHeight="1" thickBot="1" x14ac:dyDescent="0.25">
      <c r="A5" s="333" t="s">
        <v>673</v>
      </c>
      <c r="B5" s="334"/>
      <c r="C5" s="298"/>
      <c r="D5" s="296" t="s">
        <v>59</v>
      </c>
      <c r="E5" s="327" t="s">
        <v>672</v>
      </c>
      <c r="F5" s="327"/>
      <c r="G5" s="327"/>
      <c r="H5" s="327"/>
      <c r="I5" s="327"/>
      <c r="J5" s="328"/>
      <c r="K5" s="295"/>
      <c r="L5" s="291"/>
      <c r="Q5" s="244"/>
      <c r="R5" s="244"/>
      <c r="S5" s="244"/>
      <c r="T5" s="244"/>
      <c r="U5" s="244"/>
      <c r="V5" s="244"/>
      <c r="W5" s="244"/>
      <c r="X5" s="244"/>
    </row>
    <row r="6" spans="1:24" ht="5.25" customHeight="1" x14ac:dyDescent="0.2">
      <c r="A6" s="33"/>
      <c r="B6" s="33"/>
      <c r="C6" s="43"/>
      <c r="D6" s="43"/>
      <c r="E6" s="43"/>
      <c r="F6" s="43"/>
      <c r="G6" s="43"/>
      <c r="H6" s="43"/>
      <c r="I6" s="43"/>
      <c r="J6" s="44"/>
      <c r="K6" s="291"/>
      <c r="L6" s="291"/>
      <c r="Q6" s="244"/>
      <c r="R6" s="162"/>
      <c r="S6" s="162"/>
      <c r="T6" s="162"/>
      <c r="U6" s="162"/>
      <c r="V6" s="162"/>
      <c r="W6" s="162"/>
      <c r="X6" s="244"/>
    </row>
    <row r="7" spans="1:24" ht="15.75" x14ac:dyDescent="0.25">
      <c r="A7" s="140" t="s">
        <v>670</v>
      </c>
      <c r="B7" s="323" t="str">
        <f>"PSA-"&amp;LEFT(PSA,4)&amp;" Ports"</f>
        <v>PSA-3000 Ports</v>
      </c>
      <c r="C7" s="324"/>
      <c r="D7" s="86"/>
      <c r="E7" s="87"/>
      <c r="F7" s="63"/>
      <c r="G7" s="95" t="s">
        <v>247</v>
      </c>
      <c r="H7" s="65" t="s">
        <v>270</v>
      </c>
      <c r="I7" s="96" t="s">
        <v>249</v>
      </c>
      <c r="J7" s="65" t="s">
        <v>270</v>
      </c>
      <c r="K7" s="291"/>
      <c r="L7" s="291"/>
      <c r="Q7" s="244"/>
      <c r="R7" s="304"/>
      <c r="S7" s="304"/>
      <c r="T7" s="304"/>
      <c r="U7" s="304" t="s">
        <v>39</v>
      </c>
      <c r="V7" s="304"/>
      <c r="W7" s="305"/>
      <c r="X7" s="244"/>
    </row>
    <row r="8" spans="1:24" ht="15.75" thickBot="1" x14ac:dyDescent="0.3">
      <c r="A8" s="141" t="s">
        <v>697</v>
      </c>
      <c r="B8" s="53" t="s">
        <v>674</v>
      </c>
      <c r="C8" s="56" t="s">
        <v>246</v>
      </c>
      <c r="D8" s="91" t="s">
        <v>243</v>
      </c>
      <c r="E8" s="88" t="s">
        <v>244</v>
      </c>
      <c r="F8" s="58" t="s">
        <v>245</v>
      </c>
      <c r="G8" s="91" t="s">
        <v>248</v>
      </c>
      <c r="H8" s="66"/>
      <c r="I8" s="88" t="s">
        <v>248</v>
      </c>
      <c r="J8" s="66"/>
      <c r="K8" s="291"/>
      <c r="L8" s="291"/>
      <c r="Q8" s="244"/>
      <c r="R8" s="304" t="s">
        <v>37</v>
      </c>
      <c r="S8" s="304" t="s">
        <v>38</v>
      </c>
      <c r="T8" s="304" t="s">
        <v>630</v>
      </c>
      <c r="U8" s="304" t="s">
        <v>36</v>
      </c>
      <c r="V8" s="304" t="s">
        <v>40</v>
      </c>
      <c r="W8" s="304" t="s">
        <v>376</v>
      </c>
      <c r="X8" s="244"/>
    </row>
    <row r="9" spans="1:24" ht="13.5" x14ac:dyDescent="0.25">
      <c r="A9" s="94" t="s">
        <v>675</v>
      </c>
      <c r="B9" s="21"/>
      <c r="C9" s="57"/>
      <c r="D9" s="92" t="str">
        <f t="shared" ref="D9:D40" si="0">IF(C9="","",MIN(B9:B9))</f>
        <v/>
      </c>
      <c r="E9" s="89" t="str">
        <f t="shared" ref="E9:E40" si="1">IF(C9="","",MAX(B9:B9))</f>
        <v/>
      </c>
      <c r="F9" s="59" t="str">
        <f t="shared" ref="F9:F40" si="2">IF(C9="","",IF(C9="    N/A","",IF(COUNTIF(B9:B9,"&gt;-1")&gt;0,ROUND((SUM(B9:B9)+COUNTIF(B9:B9,-1))/COUNTIF(B9:B9,"&gt;-1"),W9),ROUND(AVERAGE(B9:B9),W9))))</f>
        <v/>
      </c>
      <c r="G9" s="93" t="str">
        <f t="shared" ref="G9:G40" si="3">IF(F9="","",IF(VLOOKUP(A9,Test_Limits,2,FALSE)="","",VLOOKUP(A9,Test_Limits,2,FALSE)))</f>
        <v/>
      </c>
      <c r="H9" s="64" t="str">
        <f t="shared" ref="H9:H40" si="4">IF(G9="","",IF(AND(D9&lt;G9,D9&lt;&gt;T9),IF(VLOOKUP(A9,Test_Limits,5,FALSE)="PF","Fail","Info"),"Pass"))</f>
        <v/>
      </c>
      <c r="I9" s="90" t="str">
        <f t="shared" ref="I9:I40" si="5">IF(F9="","",IF(VLOOKUP(A9,Test_Limits,3,FALSE)="","",VLOOKUP(A9,Test_Limits,3,FALSE)))</f>
        <v/>
      </c>
      <c r="J9" s="64" t="str">
        <f t="shared" ref="J9:J40" si="6">IF(I9="","",IF(AND(E9&gt;I9,E9&lt;&gt;T9),IF(VLOOKUP(A9,Test_Limits,5,FALSE)="PF","Fail","Info"),"Pass"))</f>
        <v/>
      </c>
      <c r="K9" s="291"/>
      <c r="L9" s="291"/>
      <c r="Q9" s="244"/>
      <c r="R9" s="304">
        <f>IF(H9="Info",G9,IF(J9="Info",G9,-1000000))</f>
        <v>-1000000</v>
      </c>
      <c r="S9" s="304">
        <f>IF(H9="Info",I9,IF(J9="Info",I9,1000000))</f>
        <v>1000000</v>
      </c>
      <c r="T9" s="304" t="e">
        <f t="shared" ref="T9:T40" si="7">IF(VLOOKUP(A9,Test_Limits,7,FALSE)&lt;&gt;"",VLOOKUP(A9,Test_Limits,7,FALSE),"")</f>
        <v>#N/A</v>
      </c>
      <c r="U9" s="304">
        <f t="shared" ref="U9:U40" si="8">IF(F9="",0,VLOOKUP(A9,Test_Limits,8,FALSE))</f>
        <v>0</v>
      </c>
      <c r="V9" s="304">
        <f>IF(H9="Pass",IF(J9="Pass",U9,0),0)</f>
        <v>0</v>
      </c>
      <c r="W9" s="305" t="e">
        <f t="shared" ref="W9:W40" si="9">VLOOKUP(A9,Test_Limits,6,FALSE)</f>
        <v>#N/A</v>
      </c>
      <c r="X9" s="244"/>
    </row>
    <row r="10" spans="1:24" ht="13.5" x14ac:dyDescent="0.25">
      <c r="A10" s="9" t="s">
        <v>279</v>
      </c>
      <c r="B10" s="21">
        <v>24.88</v>
      </c>
      <c r="C10" s="55" t="s">
        <v>698</v>
      </c>
      <c r="D10" s="93">
        <f t="shared" si="0"/>
        <v>24.88</v>
      </c>
      <c r="E10" s="90">
        <f t="shared" si="1"/>
        <v>24.88</v>
      </c>
      <c r="F10" s="54">
        <f t="shared" si="2"/>
        <v>24.88</v>
      </c>
      <c r="G10" s="93">
        <f t="shared" si="3"/>
        <v>2.8</v>
      </c>
      <c r="H10" s="64" t="str">
        <f t="shared" si="4"/>
        <v>Pass</v>
      </c>
      <c r="I10" s="90">
        <f t="shared" si="5"/>
        <v>30</v>
      </c>
      <c r="J10" s="64" t="str">
        <f t="shared" si="6"/>
        <v>Pass</v>
      </c>
      <c r="K10" s="291"/>
      <c r="L10" s="291"/>
      <c r="Q10" s="244"/>
      <c r="R10" s="304">
        <f t="shared" ref="R10:R74" si="10">IF(H10="Info",G10,IF(J10="Info",G10,-1000000))</f>
        <v>-1000000</v>
      </c>
      <c r="S10" s="304">
        <f t="shared" ref="S10:S74" si="11">IF(H10="Info",I10,IF(J10="Info",I10,1000000))</f>
        <v>1000000</v>
      </c>
      <c r="T10" s="304" t="str">
        <f t="shared" si="7"/>
        <v/>
      </c>
      <c r="U10" s="304">
        <f t="shared" si="8"/>
        <v>3</v>
      </c>
      <c r="V10" s="304">
        <f t="shared" ref="V10:V74" si="12">IF(H10="Pass",IF(J10="Pass",U10,0),0)</f>
        <v>3</v>
      </c>
      <c r="W10" s="305">
        <f t="shared" si="9"/>
        <v>2</v>
      </c>
      <c r="X10" s="244"/>
    </row>
    <row r="11" spans="1:24" ht="13.5" x14ac:dyDescent="0.25">
      <c r="A11" s="9" t="s">
        <v>280</v>
      </c>
      <c r="B11" s="21">
        <v>7.12</v>
      </c>
      <c r="C11" s="55" t="s">
        <v>698</v>
      </c>
      <c r="D11" s="93">
        <f t="shared" si="0"/>
        <v>7.12</v>
      </c>
      <c r="E11" s="90">
        <f t="shared" si="1"/>
        <v>7.12</v>
      </c>
      <c r="F11" s="54">
        <f t="shared" si="2"/>
        <v>7.1</v>
      </c>
      <c r="G11" s="93">
        <f t="shared" si="3"/>
        <v>3.8</v>
      </c>
      <c r="H11" s="64" t="str">
        <f t="shared" si="4"/>
        <v>Pass</v>
      </c>
      <c r="I11" s="90">
        <f t="shared" si="5"/>
        <v>10</v>
      </c>
      <c r="J11" s="64" t="str">
        <f t="shared" si="6"/>
        <v>Pass</v>
      </c>
      <c r="K11" s="291"/>
      <c r="L11" s="291"/>
      <c r="Q11" s="244"/>
      <c r="R11" s="304">
        <f t="shared" si="10"/>
        <v>-1000000</v>
      </c>
      <c r="S11" s="304">
        <f t="shared" si="11"/>
        <v>1000000</v>
      </c>
      <c r="T11" s="304" t="str">
        <f t="shared" si="7"/>
        <v/>
      </c>
      <c r="U11" s="304">
        <f t="shared" si="8"/>
        <v>5</v>
      </c>
      <c r="V11" s="304">
        <f t="shared" si="12"/>
        <v>5</v>
      </c>
      <c r="W11" s="305">
        <f t="shared" si="9"/>
        <v>1</v>
      </c>
      <c r="X11" s="244"/>
    </row>
    <row r="12" spans="1:24" ht="13.5" x14ac:dyDescent="0.25">
      <c r="A12" s="9" t="s">
        <v>281</v>
      </c>
      <c r="B12" s="21">
        <v>4.54</v>
      </c>
      <c r="C12" s="55" t="s">
        <v>698</v>
      </c>
      <c r="D12" s="93">
        <f t="shared" si="0"/>
        <v>4.54</v>
      </c>
      <c r="E12" s="90">
        <f t="shared" si="1"/>
        <v>4.54</v>
      </c>
      <c r="F12" s="54">
        <f t="shared" si="2"/>
        <v>4.5</v>
      </c>
      <c r="G12" s="93">
        <f t="shared" si="3"/>
        <v>2.8</v>
      </c>
      <c r="H12" s="64" t="str">
        <f t="shared" si="4"/>
        <v>Pass</v>
      </c>
      <c r="I12" s="90">
        <f t="shared" si="5"/>
        <v>9</v>
      </c>
      <c r="J12" s="64" t="str">
        <f t="shared" si="6"/>
        <v>Pass</v>
      </c>
      <c r="K12" s="291"/>
      <c r="L12" s="291"/>
      <c r="Q12" s="244"/>
      <c r="R12" s="304">
        <f t="shared" si="10"/>
        <v>-1000000</v>
      </c>
      <c r="S12" s="304">
        <f t="shared" si="11"/>
        <v>1000000</v>
      </c>
      <c r="T12" s="304" t="str">
        <f t="shared" si="7"/>
        <v/>
      </c>
      <c r="U12" s="304">
        <f t="shared" si="8"/>
        <v>5</v>
      </c>
      <c r="V12" s="304">
        <f t="shared" si="12"/>
        <v>5</v>
      </c>
      <c r="W12" s="305">
        <f t="shared" si="9"/>
        <v>1</v>
      </c>
      <c r="X12" s="244"/>
    </row>
    <row r="13" spans="1:24" ht="13.5" x14ac:dyDescent="0.25">
      <c r="A13" s="9" t="s">
        <v>282</v>
      </c>
      <c r="B13" s="21">
        <v>2.58</v>
      </c>
      <c r="C13" s="55" t="s">
        <v>698</v>
      </c>
      <c r="D13" s="93">
        <f t="shared" si="0"/>
        <v>2.58</v>
      </c>
      <c r="E13" s="90">
        <f t="shared" si="1"/>
        <v>2.58</v>
      </c>
      <c r="F13" s="54">
        <f t="shared" si="2"/>
        <v>2.6</v>
      </c>
      <c r="G13" s="93">
        <f t="shared" si="3"/>
        <v>1</v>
      </c>
      <c r="H13" s="64" t="str">
        <f t="shared" si="4"/>
        <v>Pass</v>
      </c>
      <c r="I13" s="90">
        <f t="shared" si="5"/>
        <v>7.2</v>
      </c>
      <c r="J13" s="64" t="str">
        <f t="shared" si="6"/>
        <v>Pass</v>
      </c>
      <c r="K13" s="291"/>
      <c r="L13" s="291"/>
      <c r="Q13" s="244"/>
      <c r="R13" s="304">
        <f t="shared" si="10"/>
        <v>-1000000</v>
      </c>
      <c r="S13" s="304">
        <f t="shared" si="11"/>
        <v>1000000</v>
      </c>
      <c r="T13" s="304" t="str">
        <f t="shared" si="7"/>
        <v/>
      </c>
      <c r="U13" s="304">
        <f t="shared" si="8"/>
        <v>5</v>
      </c>
      <c r="V13" s="304">
        <f t="shared" si="12"/>
        <v>5</v>
      </c>
      <c r="W13" s="305">
        <f t="shared" si="9"/>
        <v>1</v>
      </c>
      <c r="X13" s="244"/>
    </row>
    <row r="14" spans="1:24" ht="13.5" x14ac:dyDescent="0.25">
      <c r="A14" s="9" t="s">
        <v>283</v>
      </c>
      <c r="B14" s="21">
        <v>0</v>
      </c>
      <c r="C14" s="55" t="s">
        <v>699</v>
      </c>
      <c r="D14" s="93">
        <f t="shared" si="0"/>
        <v>0</v>
      </c>
      <c r="E14" s="90">
        <f t="shared" si="1"/>
        <v>0</v>
      </c>
      <c r="F14" s="54">
        <f t="shared" si="2"/>
        <v>0</v>
      </c>
      <c r="G14" s="93">
        <f t="shared" si="3"/>
        <v>0</v>
      </c>
      <c r="H14" s="64" t="str">
        <f t="shared" si="4"/>
        <v>Pass</v>
      </c>
      <c r="I14" s="90">
        <f t="shared" si="5"/>
        <v>0.1</v>
      </c>
      <c r="J14" s="64" t="str">
        <f t="shared" si="6"/>
        <v>Pass</v>
      </c>
      <c r="K14" s="291"/>
      <c r="L14" s="291"/>
      <c r="Q14" s="244"/>
      <c r="R14" s="304">
        <f t="shared" si="10"/>
        <v>-1000000</v>
      </c>
      <c r="S14" s="304">
        <f t="shared" si="11"/>
        <v>1000000</v>
      </c>
      <c r="T14" s="304" t="str">
        <f t="shared" si="7"/>
        <v/>
      </c>
      <c r="U14" s="304">
        <f t="shared" si="8"/>
        <v>1</v>
      </c>
      <c r="V14" s="304">
        <f t="shared" si="12"/>
        <v>1</v>
      </c>
      <c r="W14" s="305">
        <f t="shared" si="9"/>
        <v>4</v>
      </c>
      <c r="X14" s="244"/>
    </row>
    <row r="15" spans="1:24" ht="13.5" x14ac:dyDescent="0.25">
      <c r="A15" s="9" t="s">
        <v>284</v>
      </c>
      <c r="B15" s="21">
        <v>3</v>
      </c>
      <c r="C15" s="55" t="s">
        <v>700</v>
      </c>
      <c r="D15" s="93">
        <f t="shared" si="0"/>
        <v>3</v>
      </c>
      <c r="E15" s="90">
        <f t="shared" si="1"/>
        <v>3</v>
      </c>
      <c r="F15" s="54">
        <f t="shared" si="2"/>
        <v>3</v>
      </c>
      <c r="G15" s="93">
        <f t="shared" si="3"/>
        <v>1</v>
      </c>
      <c r="H15" s="64" t="str">
        <f t="shared" si="4"/>
        <v>Pass</v>
      </c>
      <c r="I15" s="90">
        <f t="shared" si="5"/>
        <v>9</v>
      </c>
      <c r="J15" s="64" t="str">
        <f t="shared" si="6"/>
        <v>Pass</v>
      </c>
      <c r="K15" s="291"/>
      <c r="L15" s="291"/>
      <c r="Q15" s="244"/>
      <c r="R15" s="304">
        <f t="shared" si="10"/>
        <v>-1000000</v>
      </c>
      <c r="S15" s="304">
        <f t="shared" si="11"/>
        <v>1000000</v>
      </c>
      <c r="T15" s="304" t="str">
        <f t="shared" si="7"/>
        <v/>
      </c>
      <c r="U15" s="304">
        <f t="shared" si="8"/>
        <v>5</v>
      </c>
      <c r="V15" s="304">
        <f t="shared" si="12"/>
        <v>5</v>
      </c>
      <c r="W15" s="305">
        <f t="shared" si="9"/>
        <v>1</v>
      </c>
      <c r="X15" s="244"/>
    </row>
    <row r="16" spans="1:24" ht="13.5" x14ac:dyDescent="0.25">
      <c r="A16" s="9" t="s">
        <v>92</v>
      </c>
      <c r="B16" s="21">
        <v>0.4</v>
      </c>
      <c r="C16" s="55" t="s">
        <v>698</v>
      </c>
      <c r="D16" s="93">
        <f t="shared" si="0"/>
        <v>0.4</v>
      </c>
      <c r="E16" s="90">
        <f t="shared" si="1"/>
        <v>0.4</v>
      </c>
      <c r="F16" s="54">
        <f t="shared" si="2"/>
        <v>0.4</v>
      </c>
      <c r="G16" s="93">
        <f t="shared" si="3"/>
        <v>0</v>
      </c>
      <c r="H16" s="64" t="str">
        <f t="shared" si="4"/>
        <v>Pass</v>
      </c>
      <c r="I16" s="90">
        <f t="shared" si="5"/>
        <v>2.8</v>
      </c>
      <c r="J16" s="64" t="str">
        <f t="shared" si="6"/>
        <v>Pass</v>
      </c>
      <c r="K16" s="291"/>
      <c r="L16" s="291"/>
      <c r="Q16" s="244"/>
      <c r="R16" s="304">
        <f t="shared" si="10"/>
        <v>-1000000</v>
      </c>
      <c r="S16" s="304">
        <f t="shared" si="11"/>
        <v>1000000</v>
      </c>
      <c r="T16" s="304" t="str">
        <f t="shared" si="7"/>
        <v/>
      </c>
      <c r="U16" s="304">
        <f t="shared" si="8"/>
        <v>5</v>
      </c>
      <c r="V16" s="304">
        <f t="shared" si="12"/>
        <v>5</v>
      </c>
      <c r="W16" s="305">
        <f t="shared" si="9"/>
        <v>1</v>
      </c>
      <c r="X16" s="244"/>
    </row>
    <row r="17" spans="1:24" ht="13.5" x14ac:dyDescent="0.25">
      <c r="A17" s="9" t="s">
        <v>62</v>
      </c>
      <c r="B17" s="21">
        <v>0</v>
      </c>
      <c r="C17" s="55" t="s">
        <v>701</v>
      </c>
      <c r="D17" s="93">
        <f t="shared" si="0"/>
        <v>0</v>
      </c>
      <c r="E17" s="90">
        <f t="shared" si="1"/>
        <v>0</v>
      </c>
      <c r="F17" s="54">
        <f t="shared" si="2"/>
        <v>0</v>
      </c>
      <c r="G17" s="93">
        <f t="shared" si="3"/>
        <v>0</v>
      </c>
      <c r="H17" s="64" t="str">
        <f t="shared" si="4"/>
        <v>Pass</v>
      </c>
      <c r="I17" s="90">
        <f t="shared" si="5"/>
        <v>0</v>
      </c>
      <c r="J17" s="64" t="str">
        <f t="shared" si="6"/>
        <v>Pass</v>
      </c>
      <c r="K17" s="291"/>
      <c r="L17" s="291"/>
      <c r="Q17" s="244"/>
      <c r="R17" s="304">
        <f t="shared" si="10"/>
        <v>-1000000</v>
      </c>
      <c r="S17" s="304">
        <f t="shared" si="11"/>
        <v>1000000</v>
      </c>
      <c r="T17" s="304" t="str">
        <f t="shared" si="7"/>
        <v/>
      </c>
      <c r="U17" s="304">
        <f t="shared" si="8"/>
        <v>0</v>
      </c>
      <c r="V17" s="304">
        <f t="shared" si="12"/>
        <v>0</v>
      </c>
      <c r="W17" s="305">
        <f t="shared" si="9"/>
        <v>0</v>
      </c>
      <c r="X17" s="244"/>
    </row>
    <row r="18" spans="1:24" ht="13.5" x14ac:dyDescent="0.25">
      <c r="A18" s="9" t="s">
        <v>60</v>
      </c>
      <c r="B18" s="21">
        <v>0</v>
      </c>
      <c r="C18" s="55" t="s">
        <v>701</v>
      </c>
      <c r="D18" s="93">
        <f t="shared" si="0"/>
        <v>0</v>
      </c>
      <c r="E18" s="90">
        <f t="shared" si="1"/>
        <v>0</v>
      </c>
      <c r="F18" s="54">
        <f t="shared" si="2"/>
        <v>0</v>
      </c>
      <c r="G18" s="93">
        <f t="shared" si="3"/>
        <v>0</v>
      </c>
      <c r="H18" s="64" t="str">
        <f t="shared" si="4"/>
        <v>Pass</v>
      </c>
      <c r="I18" s="90">
        <f t="shared" si="5"/>
        <v>2</v>
      </c>
      <c r="J18" s="64" t="str">
        <f t="shared" si="6"/>
        <v>Pass</v>
      </c>
      <c r="K18" s="291"/>
      <c r="L18" s="291"/>
      <c r="Q18" s="244"/>
      <c r="R18" s="304">
        <f t="shared" si="10"/>
        <v>-1000000</v>
      </c>
      <c r="S18" s="304">
        <f t="shared" si="11"/>
        <v>1000000</v>
      </c>
      <c r="T18" s="304" t="str">
        <f t="shared" si="7"/>
        <v/>
      </c>
      <c r="U18" s="304">
        <f t="shared" si="8"/>
        <v>3</v>
      </c>
      <c r="V18" s="304">
        <f t="shared" si="12"/>
        <v>3</v>
      </c>
      <c r="W18" s="305">
        <f t="shared" si="9"/>
        <v>0</v>
      </c>
      <c r="X18" s="244"/>
    </row>
    <row r="19" spans="1:24" ht="13.5" x14ac:dyDescent="0.25">
      <c r="A19" s="9" t="s">
        <v>676</v>
      </c>
      <c r="B19" s="21"/>
      <c r="C19" s="55"/>
      <c r="D19" s="93" t="str">
        <f t="shared" si="0"/>
        <v/>
      </c>
      <c r="E19" s="90" t="str">
        <f t="shared" si="1"/>
        <v/>
      </c>
      <c r="F19" s="54" t="str">
        <f t="shared" si="2"/>
        <v/>
      </c>
      <c r="G19" s="93" t="str">
        <f t="shared" si="3"/>
        <v/>
      </c>
      <c r="H19" s="64" t="str">
        <f t="shared" si="4"/>
        <v/>
      </c>
      <c r="I19" s="90" t="str">
        <f t="shared" si="5"/>
        <v/>
      </c>
      <c r="J19" s="64" t="str">
        <f t="shared" si="6"/>
        <v/>
      </c>
      <c r="K19" s="291"/>
      <c r="L19" s="291"/>
      <c r="Q19" s="244"/>
      <c r="R19" s="304">
        <f t="shared" si="10"/>
        <v>-1000000</v>
      </c>
      <c r="S19" s="304">
        <f t="shared" si="11"/>
        <v>1000000</v>
      </c>
      <c r="T19" s="304" t="e">
        <f t="shared" si="7"/>
        <v>#N/A</v>
      </c>
      <c r="U19" s="304">
        <f t="shared" si="8"/>
        <v>0</v>
      </c>
      <c r="V19" s="304">
        <f t="shared" si="12"/>
        <v>0</v>
      </c>
      <c r="W19" s="305" t="e">
        <f t="shared" si="9"/>
        <v>#N/A</v>
      </c>
      <c r="X19" s="244"/>
    </row>
    <row r="20" spans="1:24" ht="13.5" x14ac:dyDescent="0.25">
      <c r="A20" s="9" t="s">
        <v>303</v>
      </c>
      <c r="B20" s="21">
        <v>0.2</v>
      </c>
      <c r="C20" s="55" t="s">
        <v>702</v>
      </c>
      <c r="D20" s="93">
        <f t="shared" si="0"/>
        <v>0.2</v>
      </c>
      <c r="E20" s="90">
        <f t="shared" si="1"/>
        <v>0.2</v>
      </c>
      <c r="F20" s="54">
        <f t="shared" si="2"/>
        <v>0.2</v>
      </c>
      <c r="G20" s="93">
        <f t="shared" si="3"/>
        <v>0</v>
      </c>
      <c r="H20" s="64" t="str">
        <f t="shared" si="4"/>
        <v>Pass</v>
      </c>
      <c r="I20" s="90">
        <f t="shared" si="5"/>
        <v>5</v>
      </c>
      <c r="J20" s="64" t="str">
        <f t="shared" si="6"/>
        <v>Pass</v>
      </c>
      <c r="K20" s="291"/>
      <c r="L20" s="291"/>
      <c r="Q20" s="244"/>
      <c r="R20" s="304">
        <f t="shared" si="10"/>
        <v>-1000000</v>
      </c>
      <c r="S20" s="304">
        <f t="shared" si="11"/>
        <v>1000000</v>
      </c>
      <c r="T20" s="304" t="str">
        <f t="shared" si="7"/>
        <v/>
      </c>
      <c r="U20" s="304">
        <f t="shared" si="8"/>
        <v>1</v>
      </c>
      <c r="V20" s="304">
        <f t="shared" si="12"/>
        <v>1</v>
      </c>
      <c r="W20" s="305">
        <f t="shared" si="9"/>
        <v>2</v>
      </c>
      <c r="X20" s="244"/>
    </row>
    <row r="21" spans="1:24" ht="13.5" x14ac:dyDescent="0.25">
      <c r="A21" s="9" t="s">
        <v>285</v>
      </c>
      <c r="B21" s="21">
        <v>0.21</v>
      </c>
      <c r="C21" s="55" t="s">
        <v>702</v>
      </c>
      <c r="D21" s="93">
        <f t="shared" si="0"/>
        <v>0.21</v>
      </c>
      <c r="E21" s="90">
        <f t="shared" si="1"/>
        <v>0.21</v>
      </c>
      <c r="F21" s="54">
        <f t="shared" si="2"/>
        <v>0.21</v>
      </c>
      <c r="G21" s="93">
        <f t="shared" si="3"/>
        <v>0</v>
      </c>
      <c r="H21" s="64" t="str">
        <f t="shared" si="4"/>
        <v>Pass</v>
      </c>
      <c r="I21" s="90">
        <f t="shared" si="5"/>
        <v>5</v>
      </c>
      <c r="J21" s="64" t="str">
        <f t="shared" si="6"/>
        <v>Pass</v>
      </c>
      <c r="K21" s="291"/>
      <c r="L21" s="291"/>
      <c r="Q21" s="244"/>
      <c r="R21" s="304">
        <f t="shared" si="10"/>
        <v>-1000000</v>
      </c>
      <c r="S21" s="304">
        <f t="shared" si="11"/>
        <v>1000000</v>
      </c>
      <c r="T21" s="304" t="str">
        <f t="shared" si="7"/>
        <v/>
      </c>
      <c r="U21" s="304">
        <f t="shared" si="8"/>
        <v>1</v>
      </c>
      <c r="V21" s="304">
        <f t="shared" si="12"/>
        <v>1</v>
      </c>
      <c r="W21" s="305">
        <f t="shared" si="9"/>
        <v>2</v>
      </c>
      <c r="X21" s="244"/>
    </row>
    <row r="22" spans="1:24" ht="13.5" x14ac:dyDescent="0.25">
      <c r="A22" s="9" t="s">
        <v>677</v>
      </c>
      <c r="B22" s="21"/>
      <c r="C22" s="55"/>
      <c r="D22" s="93" t="str">
        <f t="shared" si="0"/>
        <v/>
      </c>
      <c r="E22" s="90" t="str">
        <f t="shared" si="1"/>
        <v/>
      </c>
      <c r="F22" s="54" t="str">
        <f t="shared" si="2"/>
        <v/>
      </c>
      <c r="G22" s="93" t="str">
        <f t="shared" si="3"/>
        <v/>
      </c>
      <c r="H22" s="64" t="str">
        <f t="shared" si="4"/>
        <v/>
      </c>
      <c r="I22" s="90" t="str">
        <f t="shared" si="5"/>
        <v/>
      </c>
      <c r="J22" s="64" t="str">
        <f t="shared" si="6"/>
        <v/>
      </c>
      <c r="K22" s="291"/>
      <c r="L22" s="291"/>
      <c r="Q22" s="244"/>
      <c r="R22" s="304">
        <f t="shared" si="10"/>
        <v>-1000000</v>
      </c>
      <c r="S22" s="304">
        <f t="shared" si="11"/>
        <v>1000000</v>
      </c>
      <c r="T22" s="304" t="e">
        <f t="shared" si="7"/>
        <v>#N/A</v>
      </c>
      <c r="U22" s="304">
        <f t="shared" si="8"/>
        <v>0</v>
      </c>
      <c r="V22" s="304">
        <f t="shared" si="12"/>
        <v>0</v>
      </c>
      <c r="W22" s="305" t="e">
        <f t="shared" si="9"/>
        <v>#N/A</v>
      </c>
      <c r="X22" s="244"/>
    </row>
    <row r="23" spans="1:24" ht="13.5" x14ac:dyDescent="0.25">
      <c r="A23" s="9" t="s">
        <v>286</v>
      </c>
      <c r="B23" s="21">
        <v>29</v>
      </c>
      <c r="C23" s="55" t="s">
        <v>703</v>
      </c>
      <c r="D23" s="93">
        <f t="shared" si="0"/>
        <v>29</v>
      </c>
      <c r="E23" s="90">
        <f t="shared" si="1"/>
        <v>29</v>
      </c>
      <c r="F23" s="54">
        <f t="shared" si="2"/>
        <v>29</v>
      </c>
      <c r="G23" s="93">
        <f t="shared" si="3"/>
        <v>26</v>
      </c>
      <c r="H23" s="64" t="str">
        <f t="shared" si="4"/>
        <v>Pass</v>
      </c>
      <c r="I23" s="90">
        <f t="shared" si="5"/>
        <v>32</v>
      </c>
      <c r="J23" s="64" t="str">
        <f t="shared" si="6"/>
        <v>Pass</v>
      </c>
      <c r="K23" s="291"/>
      <c r="L23" s="291"/>
      <c r="Q23" s="244"/>
      <c r="R23" s="304">
        <f t="shared" si="10"/>
        <v>-1000000</v>
      </c>
      <c r="S23" s="304">
        <f t="shared" si="11"/>
        <v>1000000</v>
      </c>
      <c r="T23" s="304" t="str">
        <f t="shared" si="7"/>
        <v/>
      </c>
      <c r="U23" s="304">
        <f t="shared" si="8"/>
        <v>5</v>
      </c>
      <c r="V23" s="304">
        <f t="shared" si="12"/>
        <v>5</v>
      </c>
      <c r="W23" s="305">
        <f t="shared" si="9"/>
        <v>1</v>
      </c>
      <c r="X23" s="244"/>
    </row>
    <row r="24" spans="1:24" ht="13.5" x14ac:dyDescent="0.25">
      <c r="A24" s="9" t="s">
        <v>287</v>
      </c>
      <c r="B24" s="21">
        <v>17</v>
      </c>
      <c r="C24" s="55" t="s">
        <v>703</v>
      </c>
      <c r="D24" s="93">
        <f t="shared" si="0"/>
        <v>17</v>
      </c>
      <c r="E24" s="90">
        <f t="shared" si="1"/>
        <v>17</v>
      </c>
      <c r="F24" s="54">
        <f t="shared" si="2"/>
        <v>17</v>
      </c>
      <c r="G24" s="93">
        <f t="shared" si="3"/>
        <v>16</v>
      </c>
      <c r="H24" s="64" t="str">
        <f t="shared" si="4"/>
        <v>Pass</v>
      </c>
      <c r="I24" s="90">
        <f t="shared" si="5"/>
        <v>19</v>
      </c>
      <c r="J24" s="64" t="str">
        <f t="shared" si="6"/>
        <v>Pass</v>
      </c>
      <c r="K24" s="291"/>
      <c r="L24" s="291"/>
      <c r="Q24" s="244"/>
      <c r="R24" s="304">
        <f t="shared" si="10"/>
        <v>-1000000</v>
      </c>
      <c r="S24" s="304">
        <f t="shared" si="11"/>
        <v>1000000</v>
      </c>
      <c r="T24" s="304" t="str">
        <f t="shared" si="7"/>
        <v/>
      </c>
      <c r="U24" s="304">
        <f t="shared" si="8"/>
        <v>5</v>
      </c>
      <c r="V24" s="304">
        <f t="shared" si="12"/>
        <v>5</v>
      </c>
      <c r="W24" s="305">
        <f t="shared" si="9"/>
        <v>1</v>
      </c>
      <c r="X24" s="244"/>
    </row>
    <row r="25" spans="1:24" ht="13.5" x14ac:dyDescent="0.25">
      <c r="A25" s="9" t="s">
        <v>91</v>
      </c>
      <c r="B25" s="21">
        <v>29</v>
      </c>
      <c r="C25" s="55" t="s">
        <v>703</v>
      </c>
      <c r="D25" s="93">
        <f t="shared" si="0"/>
        <v>29</v>
      </c>
      <c r="E25" s="90">
        <f t="shared" si="1"/>
        <v>29</v>
      </c>
      <c r="F25" s="54">
        <f t="shared" si="2"/>
        <v>29</v>
      </c>
      <c r="G25" s="93">
        <f t="shared" si="3"/>
        <v>26</v>
      </c>
      <c r="H25" s="64" t="str">
        <f t="shared" si="4"/>
        <v>Pass</v>
      </c>
      <c r="I25" s="90">
        <f t="shared" si="5"/>
        <v>33</v>
      </c>
      <c r="J25" s="64" t="str">
        <f t="shared" si="6"/>
        <v>Pass</v>
      </c>
      <c r="K25" s="291"/>
      <c r="L25" s="291"/>
      <c r="Q25" s="244"/>
      <c r="R25" s="304">
        <f t="shared" si="10"/>
        <v>-1000000</v>
      </c>
      <c r="S25" s="304">
        <f t="shared" si="11"/>
        <v>1000000</v>
      </c>
      <c r="T25" s="304" t="str">
        <f t="shared" si="7"/>
        <v/>
      </c>
      <c r="U25" s="304">
        <f t="shared" si="8"/>
        <v>3</v>
      </c>
      <c r="V25" s="304">
        <f t="shared" si="12"/>
        <v>3</v>
      </c>
      <c r="W25" s="305">
        <f t="shared" si="9"/>
        <v>1</v>
      </c>
      <c r="X25" s="244"/>
    </row>
    <row r="26" spans="1:24" ht="13.5" x14ac:dyDescent="0.25">
      <c r="A26" s="9" t="s">
        <v>288</v>
      </c>
      <c r="B26" s="21">
        <v>0.1</v>
      </c>
      <c r="C26" s="55" t="s">
        <v>704</v>
      </c>
      <c r="D26" s="93">
        <f t="shared" si="0"/>
        <v>0.1</v>
      </c>
      <c r="E26" s="90">
        <f t="shared" si="1"/>
        <v>0.1</v>
      </c>
      <c r="F26" s="54">
        <f t="shared" si="2"/>
        <v>0.1</v>
      </c>
      <c r="G26" s="93">
        <f t="shared" si="3"/>
        <v>0</v>
      </c>
      <c r="H26" s="64" t="str">
        <f t="shared" si="4"/>
        <v>Pass</v>
      </c>
      <c r="I26" s="90">
        <f t="shared" si="5"/>
        <v>10</v>
      </c>
      <c r="J26" s="64" t="str">
        <f t="shared" si="6"/>
        <v>Pass</v>
      </c>
      <c r="K26" s="291"/>
      <c r="L26" s="291"/>
      <c r="Q26" s="244"/>
      <c r="R26" s="304">
        <f t="shared" si="10"/>
        <v>-1000000</v>
      </c>
      <c r="S26" s="304">
        <f t="shared" si="11"/>
        <v>1000000</v>
      </c>
      <c r="T26" s="304" t="str">
        <f t="shared" si="7"/>
        <v/>
      </c>
      <c r="U26" s="304">
        <f t="shared" si="8"/>
        <v>3</v>
      </c>
      <c r="V26" s="304">
        <f t="shared" si="12"/>
        <v>3</v>
      </c>
      <c r="W26" s="305">
        <f t="shared" si="9"/>
        <v>1</v>
      </c>
      <c r="X26" s="244"/>
    </row>
    <row r="27" spans="1:24" ht="13.5" x14ac:dyDescent="0.25">
      <c r="A27" s="9" t="s">
        <v>182</v>
      </c>
      <c r="B27" s="21">
        <v>0</v>
      </c>
      <c r="C27" s="55" t="s">
        <v>701</v>
      </c>
      <c r="D27" s="93">
        <f t="shared" si="0"/>
        <v>0</v>
      </c>
      <c r="E27" s="90">
        <f t="shared" si="1"/>
        <v>0</v>
      </c>
      <c r="F27" s="54">
        <f t="shared" si="2"/>
        <v>0</v>
      </c>
      <c r="G27" s="93">
        <f t="shared" si="3"/>
        <v>0</v>
      </c>
      <c r="H27" s="64" t="str">
        <f t="shared" si="4"/>
        <v>Pass</v>
      </c>
      <c r="I27" s="90">
        <f t="shared" si="5"/>
        <v>0</v>
      </c>
      <c r="J27" s="64" t="str">
        <f t="shared" si="6"/>
        <v>Pass</v>
      </c>
      <c r="K27" s="291"/>
      <c r="L27" s="291"/>
      <c r="Q27" s="244"/>
      <c r="R27" s="304">
        <f t="shared" si="10"/>
        <v>-1000000</v>
      </c>
      <c r="S27" s="304">
        <f t="shared" si="11"/>
        <v>1000000</v>
      </c>
      <c r="T27" s="304" t="str">
        <f t="shared" si="7"/>
        <v/>
      </c>
      <c r="U27" s="304">
        <f t="shared" si="8"/>
        <v>3</v>
      </c>
      <c r="V27" s="304">
        <f t="shared" si="12"/>
        <v>3</v>
      </c>
      <c r="W27" s="305">
        <f t="shared" si="9"/>
        <v>1</v>
      </c>
      <c r="X27" s="244"/>
    </row>
    <row r="28" spans="1:24" ht="13.5" x14ac:dyDescent="0.25">
      <c r="A28" s="9" t="s">
        <v>649</v>
      </c>
      <c r="B28" s="21">
        <v>0</v>
      </c>
      <c r="C28" s="55" t="s">
        <v>701</v>
      </c>
      <c r="D28" s="93">
        <f t="shared" si="0"/>
        <v>0</v>
      </c>
      <c r="E28" s="90">
        <f t="shared" si="1"/>
        <v>0</v>
      </c>
      <c r="F28" s="54">
        <f t="shared" si="2"/>
        <v>0</v>
      </c>
      <c r="G28" s="93">
        <f t="shared" si="3"/>
        <v>0</v>
      </c>
      <c r="H28" s="64" t="str">
        <f t="shared" si="4"/>
        <v>Pass</v>
      </c>
      <c r="I28" s="90">
        <f t="shared" si="5"/>
        <v>0</v>
      </c>
      <c r="J28" s="64" t="str">
        <f t="shared" si="6"/>
        <v>Pass</v>
      </c>
      <c r="K28" s="291"/>
      <c r="L28" s="291"/>
      <c r="Q28" s="244"/>
      <c r="R28" s="304">
        <f>IF(H28="Info",G28,IF(J28="Info",G28,-1000000))</f>
        <v>-1000000</v>
      </c>
      <c r="S28" s="304">
        <f>IF(H28="Info",I28,IF(J28="Info",I28,1000000))</f>
        <v>1000000</v>
      </c>
      <c r="T28" s="304" t="str">
        <f t="shared" si="7"/>
        <v/>
      </c>
      <c r="U28" s="304">
        <f t="shared" si="8"/>
        <v>5</v>
      </c>
      <c r="V28" s="304">
        <f>IF(H28="Pass",IF(J28="Pass",U28,0),0)</f>
        <v>5</v>
      </c>
      <c r="W28" s="305">
        <f t="shared" si="9"/>
        <v>0</v>
      </c>
      <c r="X28" s="244"/>
    </row>
    <row r="29" spans="1:24" ht="13.5" x14ac:dyDescent="0.25">
      <c r="A29" s="9" t="s">
        <v>678</v>
      </c>
      <c r="B29" s="21"/>
      <c r="C29" s="55"/>
      <c r="D29" s="93" t="str">
        <f t="shared" si="0"/>
        <v/>
      </c>
      <c r="E29" s="90" t="str">
        <f t="shared" si="1"/>
        <v/>
      </c>
      <c r="F29" s="54" t="str">
        <f t="shared" si="2"/>
        <v/>
      </c>
      <c r="G29" s="93" t="str">
        <f t="shared" si="3"/>
        <v/>
      </c>
      <c r="H29" s="64" t="str">
        <f t="shared" si="4"/>
        <v/>
      </c>
      <c r="I29" s="90" t="str">
        <f t="shared" si="5"/>
        <v/>
      </c>
      <c r="J29" s="64" t="str">
        <f t="shared" si="6"/>
        <v/>
      </c>
      <c r="K29" s="291"/>
      <c r="L29" s="291"/>
      <c r="Q29" s="244"/>
      <c r="R29" s="304">
        <f t="shared" si="10"/>
        <v>-1000000</v>
      </c>
      <c r="S29" s="304">
        <f t="shared" si="11"/>
        <v>1000000</v>
      </c>
      <c r="T29" s="304" t="e">
        <f t="shared" si="7"/>
        <v>#N/A</v>
      </c>
      <c r="U29" s="304">
        <f t="shared" si="8"/>
        <v>0</v>
      </c>
      <c r="V29" s="304">
        <f t="shared" si="12"/>
        <v>0</v>
      </c>
      <c r="W29" s="305" t="e">
        <f t="shared" si="9"/>
        <v>#N/A</v>
      </c>
      <c r="X29" s="244"/>
    </row>
    <row r="30" spans="1:24" ht="13.5" x14ac:dyDescent="0.25">
      <c r="A30" s="9" t="s">
        <v>289</v>
      </c>
      <c r="B30" s="21">
        <v>63</v>
      </c>
      <c r="C30" s="55" t="s">
        <v>705</v>
      </c>
      <c r="D30" s="93">
        <f t="shared" si="0"/>
        <v>63</v>
      </c>
      <c r="E30" s="90">
        <f t="shared" si="1"/>
        <v>63</v>
      </c>
      <c r="F30" s="54">
        <f t="shared" si="2"/>
        <v>63</v>
      </c>
      <c r="G30" s="93">
        <f t="shared" si="3"/>
        <v>-1</v>
      </c>
      <c r="H30" s="64" t="str">
        <f t="shared" si="4"/>
        <v>Pass</v>
      </c>
      <c r="I30" s="90">
        <f t="shared" si="5"/>
        <v>1500</v>
      </c>
      <c r="J30" s="64" t="str">
        <f t="shared" si="6"/>
        <v>Pass</v>
      </c>
      <c r="K30" s="291"/>
      <c r="L30" s="291"/>
      <c r="Q30" s="244"/>
      <c r="R30" s="304">
        <f t="shared" si="10"/>
        <v>-1000000</v>
      </c>
      <c r="S30" s="304">
        <f t="shared" si="11"/>
        <v>1000000</v>
      </c>
      <c r="T30" s="304" t="str">
        <f t="shared" si="7"/>
        <v/>
      </c>
      <c r="U30" s="304">
        <f t="shared" si="8"/>
        <v>1</v>
      </c>
      <c r="V30" s="304">
        <f t="shared" si="12"/>
        <v>1</v>
      </c>
      <c r="W30" s="305">
        <f t="shared" si="9"/>
        <v>1</v>
      </c>
      <c r="X30" s="244"/>
    </row>
    <row r="31" spans="1:24" ht="13.5" x14ac:dyDescent="0.25">
      <c r="A31" s="9" t="s">
        <v>28</v>
      </c>
      <c r="B31" s="21">
        <v>63</v>
      </c>
      <c r="C31" s="55" t="s">
        <v>705</v>
      </c>
      <c r="D31" s="93">
        <f t="shared" si="0"/>
        <v>63</v>
      </c>
      <c r="E31" s="90">
        <f t="shared" si="1"/>
        <v>63</v>
      </c>
      <c r="F31" s="54">
        <f t="shared" si="2"/>
        <v>63</v>
      </c>
      <c r="G31" s="93">
        <f t="shared" si="3"/>
        <v>-1</v>
      </c>
      <c r="H31" s="64" t="str">
        <f t="shared" si="4"/>
        <v>Pass</v>
      </c>
      <c r="I31" s="90">
        <f t="shared" si="5"/>
        <v>1500</v>
      </c>
      <c r="J31" s="64" t="str">
        <f t="shared" si="6"/>
        <v>Pass</v>
      </c>
      <c r="K31" s="291"/>
      <c r="L31" s="291"/>
      <c r="Q31" s="244"/>
      <c r="R31" s="304">
        <f t="shared" si="10"/>
        <v>-1000000</v>
      </c>
      <c r="S31" s="304">
        <f t="shared" si="11"/>
        <v>1000000</v>
      </c>
      <c r="T31" s="304" t="str">
        <f t="shared" si="7"/>
        <v/>
      </c>
      <c r="U31" s="304">
        <f t="shared" si="8"/>
        <v>0</v>
      </c>
      <c r="V31" s="304">
        <f t="shared" si="12"/>
        <v>0</v>
      </c>
      <c r="W31" s="305">
        <f t="shared" si="9"/>
        <v>1</v>
      </c>
      <c r="X31" s="244"/>
    </row>
    <row r="32" spans="1:24" ht="13.5" x14ac:dyDescent="0.25">
      <c r="A32" s="9" t="s">
        <v>64</v>
      </c>
      <c r="B32" s="21">
        <v>0</v>
      </c>
      <c r="C32" s="55" t="s">
        <v>701</v>
      </c>
      <c r="D32" s="93">
        <f t="shared" si="0"/>
        <v>0</v>
      </c>
      <c r="E32" s="90">
        <f t="shared" si="1"/>
        <v>0</v>
      </c>
      <c r="F32" s="54">
        <f t="shared" si="2"/>
        <v>0</v>
      </c>
      <c r="G32" s="93">
        <f t="shared" si="3"/>
        <v>0</v>
      </c>
      <c r="H32" s="64" t="str">
        <f t="shared" si="4"/>
        <v>Pass</v>
      </c>
      <c r="I32" s="90">
        <f t="shared" si="5"/>
        <v>0</v>
      </c>
      <c r="J32" s="64" t="str">
        <f t="shared" si="6"/>
        <v>Pass</v>
      </c>
      <c r="K32" s="291"/>
      <c r="L32" s="291"/>
      <c r="Q32" s="244"/>
      <c r="R32" s="304">
        <f t="shared" si="10"/>
        <v>-1000000</v>
      </c>
      <c r="S32" s="304">
        <f t="shared" si="11"/>
        <v>1000000</v>
      </c>
      <c r="T32" s="304" t="str">
        <f t="shared" si="7"/>
        <v/>
      </c>
      <c r="U32" s="304">
        <f t="shared" si="8"/>
        <v>1</v>
      </c>
      <c r="V32" s="304">
        <f t="shared" si="12"/>
        <v>1</v>
      </c>
      <c r="W32" s="305">
        <f t="shared" si="9"/>
        <v>0</v>
      </c>
      <c r="X32" s="244"/>
    </row>
    <row r="33" spans="1:24" ht="13.5" x14ac:dyDescent="0.25">
      <c r="A33" s="9" t="s">
        <v>290</v>
      </c>
      <c r="B33" s="21">
        <v>303</v>
      </c>
      <c r="C33" s="55" t="s">
        <v>705</v>
      </c>
      <c r="D33" s="93">
        <f t="shared" si="0"/>
        <v>303</v>
      </c>
      <c r="E33" s="90">
        <f t="shared" si="1"/>
        <v>303</v>
      </c>
      <c r="F33" s="54">
        <f t="shared" si="2"/>
        <v>303</v>
      </c>
      <c r="G33" s="93">
        <f t="shared" si="3"/>
        <v>5</v>
      </c>
      <c r="H33" s="64" t="str">
        <f t="shared" si="4"/>
        <v>Pass</v>
      </c>
      <c r="I33" s="90">
        <f t="shared" si="5"/>
        <v>500</v>
      </c>
      <c r="J33" s="64" t="str">
        <f t="shared" si="6"/>
        <v>Pass</v>
      </c>
      <c r="K33" s="291"/>
      <c r="L33" s="291"/>
      <c r="Q33" s="244"/>
      <c r="R33" s="304">
        <f t="shared" si="10"/>
        <v>-1000000</v>
      </c>
      <c r="S33" s="304">
        <f t="shared" si="11"/>
        <v>1000000</v>
      </c>
      <c r="T33" s="304" t="str">
        <f t="shared" si="7"/>
        <v/>
      </c>
      <c r="U33" s="304">
        <f t="shared" si="8"/>
        <v>1</v>
      </c>
      <c r="V33" s="304">
        <f t="shared" si="12"/>
        <v>1</v>
      </c>
      <c r="W33" s="305">
        <f t="shared" si="9"/>
        <v>1</v>
      </c>
      <c r="X33" s="244"/>
    </row>
    <row r="34" spans="1:24" ht="13.5" x14ac:dyDescent="0.25">
      <c r="A34" s="9" t="s">
        <v>291</v>
      </c>
      <c r="B34" s="21">
        <v>307</v>
      </c>
      <c r="C34" s="55" t="s">
        <v>705</v>
      </c>
      <c r="D34" s="93">
        <f t="shared" si="0"/>
        <v>307</v>
      </c>
      <c r="E34" s="90">
        <f t="shared" si="1"/>
        <v>307</v>
      </c>
      <c r="F34" s="54">
        <f t="shared" si="2"/>
        <v>307</v>
      </c>
      <c r="G34" s="93">
        <f t="shared" si="3"/>
        <v>5</v>
      </c>
      <c r="H34" s="64" t="str">
        <f t="shared" si="4"/>
        <v>Pass</v>
      </c>
      <c r="I34" s="90">
        <f t="shared" si="5"/>
        <v>1000</v>
      </c>
      <c r="J34" s="64" t="str">
        <f t="shared" si="6"/>
        <v>Pass</v>
      </c>
      <c r="K34" s="291"/>
      <c r="L34" s="291"/>
      <c r="Q34" s="244"/>
      <c r="R34" s="304">
        <f t="shared" si="10"/>
        <v>-1000000</v>
      </c>
      <c r="S34" s="304">
        <f t="shared" si="11"/>
        <v>1000000</v>
      </c>
      <c r="T34" s="304" t="str">
        <f t="shared" si="7"/>
        <v/>
      </c>
      <c r="U34" s="304">
        <f t="shared" si="8"/>
        <v>0</v>
      </c>
      <c r="V34" s="304">
        <f t="shared" si="12"/>
        <v>0</v>
      </c>
      <c r="W34" s="305">
        <f t="shared" si="9"/>
        <v>1</v>
      </c>
      <c r="X34" s="244"/>
    </row>
    <row r="35" spans="1:24" ht="13.5" x14ac:dyDescent="0.25">
      <c r="A35" s="9" t="s">
        <v>679</v>
      </c>
      <c r="B35" s="21"/>
      <c r="C35" s="55"/>
      <c r="D35" s="93" t="str">
        <f t="shared" si="0"/>
        <v/>
      </c>
      <c r="E35" s="90" t="str">
        <f t="shared" si="1"/>
        <v/>
      </c>
      <c r="F35" s="54" t="str">
        <f t="shared" si="2"/>
        <v/>
      </c>
      <c r="G35" s="93" t="str">
        <f t="shared" si="3"/>
        <v/>
      </c>
      <c r="H35" s="64" t="str">
        <f t="shared" si="4"/>
        <v/>
      </c>
      <c r="I35" s="90" t="str">
        <f t="shared" si="5"/>
        <v/>
      </c>
      <c r="J35" s="64" t="str">
        <f t="shared" si="6"/>
        <v/>
      </c>
      <c r="K35" s="291"/>
      <c r="L35" s="291"/>
      <c r="Q35" s="244"/>
      <c r="R35" s="304">
        <f t="shared" si="10"/>
        <v>-1000000</v>
      </c>
      <c r="S35" s="304">
        <f t="shared" si="11"/>
        <v>1000000</v>
      </c>
      <c r="T35" s="304" t="e">
        <f t="shared" si="7"/>
        <v>#N/A</v>
      </c>
      <c r="U35" s="304">
        <f t="shared" si="8"/>
        <v>0</v>
      </c>
      <c r="V35" s="304">
        <f t="shared" si="12"/>
        <v>0</v>
      </c>
      <c r="W35" s="305" t="e">
        <f t="shared" si="9"/>
        <v>#N/A</v>
      </c>
      <c r="X35" s="244"/>
    </row>
    <row r="36" spans="1:24" ht="13.5" x14ac:dyDescent="0.25">
      <c r="A36" s="9" t="s">
        <v>606</v>
      </c>
      <c r="B36" s="21">
        <v>1</v>
      </c>
      <c r="C36" s="55" t="s">
        <v>701</v>
      </c>
      <c r="D36" s="93">
        <f t="shared" si="0"/>
        <v>1</v>
      </c>
      <c r="E36" s="90">
        <f t="shared" si="1"/>
        <v>1</v>
      </c>
      <c r="F36" s="54">
        <f t="shared" si="2"/>
        <v>1</v>
      </c>
      <c r="G36" s="93">
        <f t="shared" si="3"/>
        <v>0</v>
      </c>
      <c r="H36" s="64" t="str">
        <f t="shared" si="4"/>
        <v>Pass</v>
      </c>
      <c r="I36" s="90">
        <f t="shared" si="5"/>
        <v>1</v>
      </c>
      <c r="J36" s="64" t="str">
        <f t="shared" si="6"/>
        <v>Pass</v>
      </c>
      <c r="K36" s="291"/>
      <c r="L36" s="291"/>
      <c r="Q36" s="244"/>
      <c r="R36" s="304">
        <f t="shared" si="10"/>
        <v>-1000000</v>
      </c>
      <c r="S36" s="304">
        <f t="shared" si="11"/>
        <v>1000000</v>
      </c>
      <c r="T36" s="304" t="str">
        <f t="shared" si="7"/>
        <v/>
      </c>
      <c r="U36" s="304">
        <f t="shared" si="8"/>
        <v>1</v>
      </c>
      <c r="V36" s="304">
        <f t="shared" si="12"/>
        <v>1</v>
      </c>
      <c r="W36" s="305">
        <f t="shared" si="9"/>
        <v>0</v>
      </c>
      <c r="X36" s="244"/>
    </row>
    <row r="37" spans="1:24" ht="13.5" x14ac:dyDescent="0.25">
      <c r="A37" s="9" t="s">
        <v>292</v>
      </c>
      <c r="B37" s="21">
        <v>450</v>
      </c>
      <c r="C37" s="55" t="s">
        <v>703</v>
      </c>
      <c r="D37" s="93">
        <f t="shared" si="0"/>
        <v>450</v>
      </c>
      <c r="E37" s="90">
        <f t="shared" si="1"/>
        <v>450</v>
      </c>
      <c r="F37" s="54">
        <f t="shared" si="2"/>
        <v>450</v>
      </c>
      <c r="G37" s="93">
        <f t="shared" si="3"/>
        <v>45</v>
      </c>
      <c r="H37" s="64" t="str">
        <f t="shared" si="4"/>
        <v>Pass</v>
      </c>
      <c r="I37" s="90">
        <f t="shared" si="5"/>
        <v>2000</v>
      </c>
      <c r="J37" s="64" t="str">
        <f t="shared" si="6"/>
        <v>Pass</v>
      </c>
      <c r="K37" s="291"/>
      <c r="L37" s="291"/>
      <c r="Q37" s="244"/>
      <c r="R37" s="304">
        <f t="shared" si="10"/>
        <v>-1000000</v>
      </c>
      <c r="S37" s="304">
        <f t="shared" si="11"/>
        <v>1000000</v>
      </c>
      <c r="T37" s="304">
        <f t="shared" si="7"/>
        <v>0</v>
      </c>
      <c r="U37" s="304">
        <f t="shared" si="8"/>
        <v>1</v>
      </c>
      <c r="V37" s="304">
        <f t="shared" si="12"/>
        <v>1</v>
      </c>
      <c r="W37" s="305">
        <f t="shared" si="9"/>
        <v>1</v>
      </c>
      <c r="X37" s="244"/>
    </row>
    <row r="38" spans="1:24" ht="13.5" x14ac:dyDescent="0.25">
      <c r="A38" s="9" t="s">
        <v>680</v>
      </c>
      <c r="B38" s="21"/>
      <c r="C38" s="55"/>
      <c r="D38" s="93" t="str">
        <f t="shared" si="0"/>
        <v/>
      </c>
      <c r="E38" s="90" t="str">
        <f t="shared" si="1"/>
        <v/>
      </c>
      <c r="F38" s="54" t="str">
        <f t="shared" si="2"/>
        <v/>
      </c>
      <c r="G38" s="93" t="str">
        <f t="shared" si="3"/>
        <v/>
      </c>
      <c r="H38" s="64" t="str">
        <f t="shared" si="4"/>
        <v/>
      </c>
      <c r="I38" s="90" t="str">
        <f t="shared" si="5"/>
        <v/>
      </c>
      <c r="J38" s="64" t="str">
        <f t="shared" si="6"/>
        <v/>
      </c>
      <c r="K38" s="291"/>
      <c r="L38" s="291"/>
      <c r="Q38" s="244"/>
      <c r="R38" s="304">
        <f t="shared" si="10"/>
        <v>-1000000</v>
      </c>
      <c r="S38" s="304">
        <f t="shared" si="11"/>
        <v>1000000</v>
      </c>
      <c r="T38" s="304" t="e">
        <f t="shared" si="7"/>
        <v>#N/A</v>
      </c>
      <c r="U38" s="304">
        <f t="shared" si="8"/>
        <v>0</v>
      </c>
      <c r="V38" s="304">
        <f t="shared" si="12"/>
        <v>0</v>
      </c>
      <c r="W38" s="305" t="e">
        <f t="shared" si="9"/>
        <v>#N/A</v>
      </c>
      <c r="X38" s="244"/>
    </row>
    <row r="39" spans="1:24" ht="13.5" x14ac:dyDescent="0.25">
      <c r="A39" s="9" t="s">
        <v>636</v>
      </c>
      <c r="B39" s="21">
        <v>18.8</v>
      </c>
      <c r="C39" s="55" t="s">
        <v>698</v>
      </c>
      <c r="D39" s="93">
        <f t="shared" si="0"/>
        <v>18.8</v>
      </c>
      <c r="E39" s="90">
        <f t="shared" si="1"/>
        <v>18.8</v>
      </c>
      <c r="F39" s="54">
        <f t="shared" si="2"/>
        <v>18.8</v>
      </c>
      <c r="G39" s="93">
        <f t="shared" si="3"/>
        <v>15.5</v>
      </c>
      <c r="H39" s="64" t="str">
        <f t="shared" si="4"/>
        <v>Pass</v>
      </c>
      <c r="I39" s="90">
        <f t="shared" si="5"/>
        <v>20.5</v>
      </c>
      <c r="J39" s="64" t="str">
        <f t="shared" si="6"/>
        <v>Pass</v>
      </c>
      <c r="K39" s="291"/>
      <c r="L39" s="291"/>
      <c r="Q39" s="244"/>
      <c r="R39" s="304">
        <f t="shared" si="10"/>
        <v>-1000000</v>
      </c>
      <c r="S39" s="304">
        <f t="shared" si="11"/>
        <v>1000000</v>
      </c>
      <c r="T39" s="304" t="str">
        <f t="shared" si="7"/>
        <v/>
      </c>
      <c r="U39" s="304">
        <f t="shared" si="8"/>
        <v>5</v>
      </c>
      <c r="V39" s="304">
        <f t="shared" si="12"/>
        <v>5</v>
      </c>
      <c r="W39" s="305">
        <f t="shared" si="9"/>
        <v>1</v>
      </c>
      <c r="X39" s="244"/>
    </row>
    <row r="40" spans="1:24" ht="13.5" x14ac:dyDescent="0.25">
      <c r="A40" s="9" t="s">
        <v>93</v>
      </c>
      <c r="B40" s="21">
        <v>18.600000000000001</v>
      </c>
      <c r="C40" s="55" t="s">
        <v>698</v>
      </c>
      <c r="D40" s="93">
        <f t="shared" si="0"/>
        <v>18.600000000000001</v>
      </c>
      <c r="E40" s="90">
        <f t="shared" si="1"/>
        <v>18.600000000000001</v>
      </c>
      <c r="F40" s="54">
        <f t="shared" si="2"/>
        <v>18.600000000000001</v>
      </c>
      <c r="G40" s="93">
        <f t="shared" si="3"/>
        <v>15.5</v>
      </c>
      <c r="H40" s="64" t="str">
        <f t="shared" si="4"/>
        <v>Pass</v>
      </c>
      <c r="I40" s="90">
        <f t="shared" si="5"/>
        <v>20.5</v>
      </c>
      <c r="J40" s="64" t="str">
        <f t="shared" si="6"/>
        <v>Pass</v>
      </c>
      <c r="K40" s="291"/>
      <c r="L40" s="291"/>
      <c r="Q40" s="244"/>
      <c r="R40" s="304">
        <f t="shared" si="10"/>
        <v>-1000000</v>
      </c>
      <c r="S40" s="304">
        <f t="shared" si="11"/>
        <v>1000000</v>
      </c>
      <c r="T40" s="304" t="str">
        <f t="shared" si="7"/>
        <v/>
      </c>
      <c r="U40" s="304">
        <f t="shared" si="8"/>
        <v>5</v>
      </c>
      <c r="V40" s="304">
        <f t="shared" si="12"/>
        <v>5</v>
      </c>
      <c r="W40" s="305">
        <f t="shared" si="9"/>
        <v>1</v>
      </c>
      <c r="X40" s="244"/>
    </row>
    <row r="41" spans="1:24" ht="13.5" x14ac:dyDescent="0.25">
      <c r="A41" s="9" t="s">
        <v>74</v>
      </c>
      <c r="B41" s="21">
        <v>9</v>
      </c>
      <c r="C41" s="55" t="s">
        <v>698</v>
      </c>
      <c r="D41" s="93">
        <f t="shared" ref="D41:D72" si="13">IF(C41="","",MIN(B41:B41))</f>
        <v>9</v>
      </c>
      <c r="E41" s="90">
        <f t="shared" ref="E41:E72" si="14">IF(C41="","",MAX(B41:B41))</f>
        <v>9</v>
      </c>
      <c r="F41" s="54">
        <f t="shared" ref="F41:F72" si="15">IF(C41="","",IF(C41="    N/A","",IF(COUNTIF(B41:B41,"&gt;-1")&gt;0,ROUND((SUM(B41:B41)+COUNTIF(B41:B41,-1))/COUNTIF(B41:B41,"&gt;-1"),W41),ROUND(AVERAGE(B41:B41),W41))))</f>
        <v>9</v>
      </c>
      <c r="G41" s="93">
        <f t="shared" ref="G41:G72" si="16">IF(F41="","",IF(VLOOKUP(A41,Test_Limits,2,FALSE)="","",VLOOKUP(A41,Test_Limits,2,FALSE)))</f>
        <v>7</v>
      </c>
      <c r="H41" s="64" t="str">
        <f t="shared" ref="H41:H72" si="17">IF(G41="","",IF(AND(D41&lt;G41,D41&lt;&gt;T41),IF(VLOOKUP(A41,Test_Limits,5,FALSE)="PF","Fail","Info"),"Pass"))</f>
        <v>Pass</v>
      </c>
      <c r="I41" s="90">
        <f t="shared" ref="I41:I72" si="18">IF(F41="","",IF(VLOOKUP(A41,Test_Limits,3,FALSE)="","",VLOOKUP(A41,Test_Limits,3,FALSE)))</f>
        <v>10</v>
      </c>
      <c r="J41" s="64" t="str">
        <f t="shared" ref="J41:J72" si="19">IF(I41="","",IF(AND(E41&gt;I41,E41&lt;&gt;T41),IF(VLOOKUP(A41,Test_Limits,5,FALSE)="PF","Fail","Info"),"Pass"))</f>
        <v>Pass</v>
      </c>
      <c r="K41" s="291"/>
      <c r="L41" s="291"/>
      <c r="Q41" s="244"/>
      <c r="R41" s="304">
        <f t="shared" si="10"/>
        <v>-1000000</v>
      </c>
      <c r="S41" s="304">
        <f t="shared" si="11"/>
        <v>1000000</v>
      </c>
      <c r="T41" s="304" t="str">
        <f t="shared" ref="T41:T72" si="20">IF(VLOOKUP(A41,Test_Limits,7,FALSE)&lt;&gt;"",VLOOKUP(A41,Test_Limits,7,FALSE),"")</f>
        <v/>
      </c>
      <c r="U41" s="304">
        <f t="shared" ref="U41:U72" si="21">IF(F41="",0,VLOOKUP(A41,Test_Limits,8,FALSE))</f>
        <v>5</v>
      </c>
      <c r="V41" s="304">
        <f t="shared" si="12"/>
        <v>5</v>
      </c>
      <c r="W41" s="305">
        <f t="shared" ref="W41:W72" si="22">VLOOKUP(A41,Test_Limits,6,FALSE)</f>
        <v>1</v>
      </c>
      <c r="X41" s="244"/>
    </row>
    <row r="42" spans="1:24" ht="13.5" x14ac:dyDescent="0.25">
      <c r="A42" s="9" t="s">
        <v>94</v>
      </c>
      <c r="B42" s="21">
        <v>8.8000000000000007</v>
      </c>
      <c r="C42" s="55" t="s">
        <v>698</v>
      </c>
      <c r="D42" s="93">
        <f t="shared" si="13"/>
        <v>8.8000000000000007</v>
      </c>
      <c r="E42" s="90">
        <f t="shared" si="14"/>
        <v>8.8000000000000007</v>
      </c>
      <c r="F42" s="54">
        <f t="shared" si="15"/>
        <v>8.8000000000000007</v>
      </c>
      <c r="G42" s="93">
        <f t="shared" si="16"/>
        <v>7</v>
      </c>
      <c r="H42" s="64" t="str">
        <f t="shared" si="17"/>
        <v>Pass</v>
      </c>
      <c r="I42" s="90">
        <f t="shared" si="18"/>
        <v>10</v>
      </c>
      <c r="J42" s="64" t="str">
        <f t="shared" si="19"/>
        <v>Pass</v>
      </c>
      <c r="K42" s="291"/>
      <c r="L42" s="291"/>
      <c r="Q42" s="244"/>
      <c r="R42" s="304">
        <f t="shared" si="10"/>
        <v>-1000000</v>
      </c>
      <c r="S42" s="304">
        <f t="shared" si="11"/>
        <v>1000000</v>
      </c>
      <c r="T42" s="304" t="str">
        <f t="shared" si="20"/>
        <v/>
      </c>
      <c r="U42" s="304">
        <f t="shared" si="21"/>
        <v>5</v>
      </c>
      <c r="V42" s="304">
        <f t="shared" si="12"/>
        <v>5</v>
      </c>
      <c r="W42" s="305">
        <f t="shared" si="22"/>
        <v>1</v>
      </c>
      <c r="X42" s="244"/>
    </row>
    <row r="43" spans="1:24" ht="13.5" x14ac:dyDescent="0.25">
      <c r="A43" s="9" t="s">
        <v>401</v>
      </c>
      <c r="B43" s="21">
        <v>-1</v>
      </c>
      <c r="C43" s="55" t="s">
        <v>698</v>
      </c>
      <c r="D43" s="93">
        <f t="shared" si="13"/>
        <v>-1</v>
      </c>
      <c r="E43" s="90">
        <f t="shared" si="14"/>
        <v>-1</v>
      </c>
      <c r="F43" s="54">
        <f t="shared" si="15"/>
        <v>-1</v>
      </c>
      <c r="G43" s="93">
        <f t="shared" si="16"/>
        <v>-1</v>
      </c>
      <c r="H43" s="64" t="str">
        <f t="shared" si="17"/>
        <v>Pass</v>
      </c>
      <c r="I43" s="90">
        <f t="shared" si="18"/>
        <v>2.8</v>
      </c>
      <c r="J43" s="64" t="str">
        <f t="shared" si="19"/>
        <v>Pass</v>
      </c>
      <c r="K43" s="291"/>
      <c r="L43" s="291"/>
      <c r="Q43" s="244"/>
      <c r="R43" s="304">
        <f t="shared" si="10"/>
        <v>-1000000</v>
      </c>
      <c r="S43" s="304">
        <f t="shared" si="11"/>
        <v>1000000</v>
      </c>
      <c r="T43" s="304" t="str">
        <f t="shared" si="20"/>
        <v/>
      </c>
      <c r="U43" s="304">
        <f t="shared" si="21"/>
        <v>5</v>
      </c>
      <c r="V43" s="304">
        <f t="shared" si="12"/>
        <v>5</v>
      </c>
      <c r="W43" s="305">
        <f t="shared" si="22"/>
        <v>1</v>
      </c>
      <c r="X43" s="244"/>
    </row>
    <row r="44" spans="1:24" ht="13.5" x14ac:dyDescent="0.25">
      <c r="A44" s="9" t="s">
        <v>681</v>
      </c>
      <c r="B44" s="21"/>
      <c r="C44" s="55"/>
      <c r="D44" s="93" t="str">
        <f t="shared" si="13"/>
        <v/>
      </c>
      <c r="E44" s="90" t="str">
        <f t="shared" si="14"/>
        <v/>
      </c>
      <c r="F44" s="54" t="str">
        <f t="shared" si="15"/>
        <v/>
      </c>
      <c r="G44" s="93" t="str">
        <f t="shared" si="16"/>
        <v/>
      </c>
      <c r="H44" s="64" t="str">
        <f t="shared" si="17"/>
        <v/>
      </c>
      <c r="I44" s="90" t="str">
        <f t="shared" si="18"/>
        <v/>
      </c>
      <c r="J44" s="64" t="str">
        <f t="shared" si="19"/>
        <v/>
      </c>
      <c r="K44" s="291"/>
      <c r="L44" s="291"/>
      <c r="Q44" s="244"/>
      <c r="R44" s="304">
        <f t="shared" si="10"/>
        <v>-1000000</v>
      </c>
      <c r="S44" s="304">
        <f t="shared" si="11"/>
        <v>1000000</v>
      </c>
      <c r="T44" s="304" t="e">
        <f t="shared" si="20"/>
        <v>#N/A</v>
      </c>
      <c r="U44" s="304">
        <f t="shared" si="21"/>
        <v>0</v>
      </c>
      <c r="V44" s="304">
        <f t="shared" si="12"/>
        <v>0</v>
      </c>
      <c r="W44" s="305" t="e">
        <f t="shared" si="22"/>
        <v>#N/A</v>
      </c>
      <c r="X44" s="244"/>
    </row>
    <row r="45" spans="1:24" ht="13.5" x14ac:dyDescent="0.25">
      <c r="A45" s="9" t="s">
        <v>607</v>
      </c>
      <c r="B45" s="21">
        <v>1</v>
      </c>
      <c r="C45" s="55" t="s">
        <v>701</v>
      </c>
      <c r="D45" s="93">
        <f t="shared" si="13"/>
        <v>1</v>
      </c>
      <c r="E45" s="90">
        <f t="shared" si="14"/>
        <v>1</v>
      </c>
      <c r="F45" s="54">
        <f t="shared" si="15"/>
        <v>1</v>
      </c>
      <c r="G45" s="93">
        <f t="shared" si="16"/>
        <v>1</v>
      </c>
      <c r="H45" s="64" t="str">
        <f t="shared" si="17"/>
        <v>Pass</v>
      </c>
      <c r="I45" s="90">
        <f t="shared" si="18"/>
        <v>1</v>
      </c>
      <c r="J45" s="64" t="str">
        <f t="shared" si="19"/>
        <v>Pass</v>
      </c>
      <c r="K45" s="291"/>
      <c r="L45" s="291"/>
      <c r="Q45" s="244"/>
      <c r="R45" s="304">
        <f t="shared" si="10"/>
        <v>-1000000</v>
      </c>
      <c r="S45" s="304">
        <f t="shared" si="11"/>
        <v>1000000</v>
      </c>
      <c r="T45" s="304" t="str">
        <f t="shared" si="20"/>
        <v/>
      </c>
      <c r="U45" s="304">
        <f t="shared" si="21"/>
        <v>5</v>
      </c>
      <c r="V45" s="304">
        <f t="shared" si="12"/>
        <v>5</v>
      </c>
      <c r="W45" s="305">
        <f t="shared" si="22"/>
        <v>0</v>
      </c>
      <c r="X45" s="244"/>
    </row>
    <row r="46" spans="1:24" ht="13.5" x14ac:dyDescent="0.25">
      <c r="A46" s="9" t="s">
        <v>293</v>
      </c>
      <c r="B46" s="21">
        <v>98.6</v>
      </c>
      <c r="C46" s="55" t="s">
        <v>705</v>
      </c>
      <c r="D46" s="93">
        <f t="shared" si="13"/>
        <v>98.6</v>
      </c>
      <c r="E46" s="90">
        <f t="shared" si="14"/>
        <v>98.6</v>
      </c>
      <c r="F46" s="54">
        <f t="shared" si="15"/>
        <v>98.6</v>
      </c>
      <c r="G46" s="93">
        <f t="shared" si="16"/>
        <v>88</v>
      </c>
      <c r="H46" s="64" t="str">
        <f t="shared" si="17"/>
        <v>Pass</v>
      </c>
      <c r="I46" s="90">
        <f t="shared" si="18"/>
        <v>105</v>
      </c>
      <c r="J46" s="64" t="str">
        <f t="shared" si="19"/>
        <v>Pass</v>
      </c>
      <c r="K46" s="291"/>
      <c r="L46" s="291"/>
      <c r="Q46" s="244"/>
      <c r="R46" s="304">
        <f t="shared" si="10"/>
        <v>-1000000</v>
      </c>
      <c r="S46" s="304">
        <f t="shared" si="11"/>
        <v>1000000</v>
      </c>
      <c r="T46" s="304">
        <f t="shared" si="20"/>
        <v>-1</v>
      </c>
      <c r="U46" s="304">
        <f t="shared" si="21"/>
        <v>5</v>
      </c>
      <c r="V46" s="304">
        <f t="shared" si="12"/>
        <v>5</v>
      </c>
      <c r="W46" s="305">
        <f t="shared" si="22"/>
        <v>1</v>
      </c>
      <c r="X46" s="244"/>
    </row>
    <row r="47" spans="1:24" ht="13.5" x14ac:dyDescent="0.25">
      <c r="A47" s="9" t="s">
        <v>608</v>
      </c>
      <c r="B47" s="21">
        <v>3</v>
      </c>
      <c r="C47" s="55" t="s">
        <v>701</v>
      </c>
      <c r="D47" s="93">
        <f t="shared" si="13"/>
        <v>3</v>
      </c>
      <c r="E47" s="90">
        <f t="shared" si="14"/>
        <v>3</v>
      </c>
      <c r="F47" s="54">
        <f t="shared" si="15"/>
        <v>3</v>
      </c>
      <c r="G47" s="93">
        <f t="shared" si="16"/>
        <v>2</v>
      </c>
      <c r="H47" s="64" t="str">
        <f t="shared" si="17"/>
        <v>Pass</v>
      </c>
      <c r="I47" s="90">
        <f t="shared" si="18"/>
        <v>3</v>
      </c>
      <c r="J47" s="64" t="str">
        <f t="shared" si="19"/>
        <v>Pass</v>
      </c>
      <c r="K47" s="291"/>
      <c r="L47" s="291"/>
      <c r="Q47" s="244"/>
      <c r="R47" s="304">
        <f t="shared" si="10"/>
        <v>-1000000</v>
      </c>
      <c r="S47" s="304">
        <f t="shared" si="11"/>
        <v>1000000</v>
      </c>
      <c r="T47" s="304" t="str">
        <f t="shared" si="20"/>
        <v/>
      </c>
      <c r="U47" s="304">
        <f t="shared" si="21"/>
        <v>5</v>
      </c>
      <c r="V47" s="304">
        <f t="shared" si="12"/>
        <v>5</v>
      </c>
      <c r="W47" s="305">
        <f t="shared" si="22"/>
        <v>0</v>
      </c>
      <c r="X47" s="244"/>
    </row>
    <row r="48" spans="1:24" ht="13.5" x14ac:dyDescent="0.25">
      <c r="A48" s="9" t="s">
        <v>432</v>
      </c>
      <c r="B48" s="21">
        <v>98.3</v>
      </c>
      <c r="C48" s="55" t="s">
        <v>705</v>
      </c>
      <c r="D48" s="93">
        <f t="shared" si="13"/>
        <v>98.3</v>
      </c>
      <c r="E48" s="90">
        <f t="shared" si="14"/>
        <v>98.3</v>
      </c>
      <c r="F48" s="54">
        <f t="shared" si="15"/>
        <v>98.3</v>
      </c>
      <c r="G48" s="93">
        <f t="shared" si="16"/>
        <v>88</v>
      </c>
      <c r="H48" s="64" t="str">
        <f t="shared" si="17"/>
        <v>Pass</v>
      </c>
      <c r="I48" s="90">
        <f t="shared" si="18"/>
        <v>105</v>
      </c>
      <c r="J48" s="64" t="str">
        <f t="shared" si="19"/>
        <v>Pass</v>
      </c>
      <c r="K48" s="291"/>
      <c r="L48" s="291"/>
      <c r="Q48" s="244"/>
      <c r="R48" s="304">
        <f t="shared" si="10"/>
        <v>-1000000</v>
      </c>
      <c r="S48" s="304">
        <f t="shared" si="11"/>
        <v>1000000</v>
      </c>
      <c r="T48" s="304" t="str">
        <f t="shared" si="20"/>
        <v/>
      </c>
      <c r="U48" s="304">
        <f t="shared" si="21"/>
        <v>5</v>
      </c>
      <c r="V48" s="304">
        <f t="shared" si="12"/>
        <v>5</v>
      </c>
      <c r="W48" s="305">
        <f t="shared" si="22"/>
        <v>1</v>
      </c>
      <c r="X48" s="244"/>
    </row>
    <row r="49" spans="1:24" ht="13.5" x14ac:dyDescent="0.25">
      <c r="A49" s="9" t="s">
        <v>71</v>
      </c>
      <c r="B49" s="21">
        <v>9.8000000000000007</v>
      </c>
      <c r="C49" s="55" t="s">
        <v>705</v>
      </c>
      <c r="D49" s="93">
        <f t="shared" si="13"/>
        <v>9.8000000000000007</v>
      </c>
      <c r="E49" s="90">
        <f t="shared" si="14"/>
        <v>9.8000000000000007</v>
      </c>
      <c r="F49" s="54">
        <f t="shared" si="15"/>
        <v>9.8000000000000007</v>
      </c>
      <c r="G49" s="93">
        <f t="shared" si="16"/>
        <v>6</v>
      </c>
      <c r="H49" s="64" t="str">
        <f t="shared" si="17"/>
        <v>Pass</v>
      </c>
      <c r="I49" s="90">
        <f t="shared" si="18"/>
        <v>20</v>
      </c>
      <c r="J49" s="64" t="str">
        <f t="shared" si="19"/>
        <v>Pass</v>
      </c>
      <c r="K49" s="291"/>
      <c r="L49" s="291"/>
      <c r="Q49" s="244"/>
      <c r="R49" s="304">
        <f t="shared" si="10"/>
        <v>-1000000</v>
      </c>
      <c r="S49" s="304">
        <f t="shared" si="11"/>
        <v>1000000</v>
      </c>
      <c r="T49" s="304" t="str">
        <f t="shared" si="20"/>
        <v/>
      </c>
      <c r="U49" s="304">
        <f t="shared" si="21"/>
        <v>5</v>
      </c>
      <c r="V49" s="304">
        <f t="shared" si="12"/>
        <v>5</v>
      </c>
      <c r="W49" s="305">
        <f t="shared" si="22"/>
        <v>1</v>
      </c>
      <c r="X49" s="244"/>
    </row>
    <row r="50" spans="1:24" ht="13.5" x14ac:dyDescent="0.25">
      <c r="A50" s="9" t="s">
        <v>654</v>
      </c>
      <c r="B50" s="21">
        <v>9.8000000000000007</v>
      </c>
      <c r="C50" s="55" t="s">
        <v>705</v>
      </c>
      <c r="D50" s="93">
        <f t="shared" si="13"/>
        <v>9.8000000000000007</v>
      </c>
      <c r="E50" s="90">
        <f t="shared" si="14"/>
        <v>9.8000000000000007</v>
      </c>
      <c r="F50" s="54">
        <f t="shared" si="15"/>
        <v>9.8000000000000007</v>
      </c>
      <c r="G50" s="93">
        <f t="shared" si="16"/>
        <v>6</v>
      </c>
      <c r="H50" s="64" t="str">
        <f t="shared" si="17"/>
        <v>Pass</v>
      </c>
      <c r="I50" s="90">
        <f t="shared" si="18"/>
        <v>20</v>
      </c>
      <c r="J50" s="64" t="str">
        <f t="shared" si="19"/>
        <v>Pass</v>
      </c>
      <c r="K50" s="291"/>
      <c r="L50" s="291"/>
      <c r="Q50" s="244"/>
      <c r="R50" s="304">
        <f t="shared" si="10"/>
        <v>-1000000</v>
      </c>
      <c r="S50" s="304">
        <f t="shared" si="11"/>
        <v>1000000</v>
      </c>
      <c r="T50" s="304" t="str">
        <f t="shared" si="20"/>
        <v/>
      </c>
      <c r="U50" s="304">
        <f t="shared" si="21"/>
        <v>5</v>
      </c>
      <c r="V50" s="304">
        <f t="shared" si="12"/>
        <v>5</v>
      </c>
      <c r="W50" s="305">
        <f t="shared" si="22"/>
        <v>1</v>
      </c>
      <c r="X50" s="244"/>
    </row>
    <row r="51" spans="1:24" ht="13.5" x14ac:dyDescent="0.25">
      <c r="A51" s="9" t="s">
        <v>72</v>
      </c>
      <c r="B51" s="21">
        <v>7.4</v>
      </c>
      <c r="C51" s="55" t="s">
        <v>705</v>
      </c>
      <c r="D51" s="93">
        <f t="shared" si="13"/>
        <v>7.4</v>
      </c>
      <c r="E51" s="90">
        <f t="shared" si="14"/>
        <v>7.4</v>
      </c>
      <c r="F51" s="54">
        <f t="shared" si="15"/>
        <v>7.4</v>
      </c>
      <c r="G51" s="93">
        <f t="shared" si="16"/>
        <v>6</v>
      </c>
      <c r="H51" s="64" t="str">
        <f t="shared" si="17"/>
        <v>Pass</v>
      </c>
      <c r="I51" s="90">
        <f t="shared" si="18"/>
        <v>12</v>
      </c>
      <c r="J51" s="64" t="str">
        <f t="shared" si="19"/>
        <v>Pass</v>
      </c>
      <c r="K51" s="291"/>
      <c r="L51" s="291"/>
      <c r="Q51" s="244"/>
      <c r="R51" s="304">
        <f t="shared" si="10"/>
        <v>-1000000</v>
      </c>
      <c r="S51" s="304">
        <f t="shared" si="11"/>
        <v>1000000</v>
      </c>
      <c r="T51" s="304" t="str">
        <f t="shared" si="20"/>
        <v/>
      </c>
      <c r="U51" s="304">
        <f t="shared" si="21"/>
        <v>5</v>
      </c>
      <c r="V51" s="304">
        <f t="shared" si="12"/>
        <v>5</v>
      </c>
      <c r="W51" s="305">
        <f t="shared" si="22"/>
        <v>1</v>
      </c>
      <c r="X51" s="244"/>
    </row>
    <row r="52" spans="1:24" ht="13.5" x14ac:dyDescent="0.25">
      <c r="A52" s="9" t="s">
        <v>73</v>
      </c>
      <c r="B52" s="21">
        <v>7.4</v>
      </c>
      <c r="C52" s="55" t="s">
        <v>705</v>
      </c>
      <c r="D52" s="93">
        <f t="shared" si="13"/>
        <v>7.4</v>
      </c>
      <c r="E52" s="90">
        <f t="shared" si="14"/>
        <v>7.4</v>
      </c>
      <c r="F52" s="54">
        <f t="shared" si="15"/>
        <v>7.4</v>
      </c>
      <c r="G52" s="93">
        <f t="shared" si="16"/>
        <v>6</v>
      </c>
      <c r="H52" s="64" t="str">
        <f t="shared" si="17"/>
        <v>Pass</v>
      </c>
      <c r="I52" s="90">
        <f t="shared" si="18"/>
        <v>12</v>
      </c>
      <c r="J52" s="64" t="str">
        <f t="shared" si="19"/>
        <v>Pass</v>
      </c>
      <c r="K52" s="291"/>
      <c r="L52" s="291"/>
      <c r="Q52" s="244"/>
      <c r="R52" s="304">
        <f t="shared" si="10"/>
        <v>-1000000</v>
      </c>
      <c r="S52" s="304">
        <f t="shared" si="11"/>
        <v>1000000</v>
      </c>
      <c r="T52" s="304" t="str">
        <f t="shared" si="20"/>
        <v/>
      </c>
      <c r="U52" s="304">
        <f t="shared" si="21"/>
        <v>5</v>
      </c>
      <c r="V52" s="304">
        <f t="shared" si="12"/>
        <v>5</v>
      </c>
      <c r="W52" s="305">
        <f t="shared" si="22"/>
        <v>1</v>
      </c>
      <c r="X52" s="244"/>
    </row>
    <row r="53" spans="1:24" ht="13.5" x14ac:dyDescent="0.25">
      <c r="A53" s="9" t="s">
        <v>655</v>
      </c>
      <c r="B53" s="21">
        <v>7.4</v>
      </c>
      <c r="C53" s="55" t="s">
        <v>705</v>
      </c>
      <c r="D53" s="93">
        <f t="shared" si="13"/>
        <v>7.4</v>
      </c>
      <c r="E53" s="90">
        <f t="shared" si="14"/>
        <v>7.4</v>
      </c>
      <c r="F53" s="54">
        <f t="shared" si="15"/>
        <v>7.4</v>
      </c>
      <c r="G53" s="93">
        <f t="shared" si="16"/>
        <v>6</v>
      </c>
      <c r="H53" s="64" t="str">
        <f t="shared" si="17"/>
        <v>Pass</v>
      </c>
      <c r="I53" s="90">
        <f t="shared" si="18"/>
        <v>376</v>
      </c>
      <c r="J53" s="64" t="str">
        <f t="shared" si="19"/>
        <v>Pass</v>
      </c>
      <c r="K53" s="291"/>
      <c r="L53" s="291"/>
      <c r="Q53" s="244"/>
      <c r="R53" s="304">
        <f t="shared" si="10"/>
        <v>-1000000</v>
      </c>
      <c r="S53" s="304">
        <f t="shared" si="11"/>
        <v>1000000</v>
      </c>
      <c r="T53" s="304" t="str">
        <f t="shared" si="20"/>
        <v/>
      </c>
      <c r="U53" s="304">
        <f t="shared" si="21"/>
        <v>5</v>
      </c>
      <c r="V53" s="304">
        <f t="shared" si="12"/>
        <v>5</v>
      </c>
      <c r="W53" s="305">
        <f t="shared" si="22"/>
        <v>1</v>
      </c>
      <c r="X53" s="244"/>
    </row>
    <row r="54" spans="1:24" ht="13.5" x14ac:dyDescent="0.25">
      <c r="A54" s="9" t="s">
        <v>643</v>
      </c>
      <c r="B54" s="21">
        <v>7</v>
      </c>
      <c r="C54" s="55" t="s">
        <v>705</v>
      </c>
      <c r="D54" s="93">
        <f t="shared" si="13"/>
        <v>7</v>
      </c>
      <c r="E54" s="90">
        <f t="shared" si="14"/>
        <v>7</v>
      </c>
      <c r="F54" s="54">
        <f t="shared" si="15"/>
        <v>7</v>
      </c>
      <c r="G54" s="93">
        <f t="shared" si="16"/>
        <v>6</v>
      </c>
      <c r="H54" s="64" t="str">
        <f t="shared" si="17"/>
        <v>Pass</v>
      </c>
      <c r="I54" s="90">
        <f t="shared" si="18"/>
        <v>12</v>
      </c>
      <c r="J54" s="64" t="str">
        <f t="shared" si="19"/>
        <v>Pass</v>
      </c>
      <c r="K54" s="291"/>
      <c r="L54" s="291"/>
      <c r="Q54" s="244"/>
      <c r="R54" s="304">
        <f t="shared" si="10"/>
        <v>-1000000</v>
      </c>
      <c r="S54" s="304">
        <f t="shared" si="11"/>
        <v>1000000</v>
      </c>
      <c r="T54" s="304" t="str">
        <f t="shared" si="20"/>
        <v/>
      </c>
      <c r="U54" s="304">
        <f t="shared" si="21"/>
        <v>5</v>
      </c>
      <c r="V54" s="304">
        <f t="shared" si="12"/>
        <v>5</v>
      </c>
      <c r="W54" s="305">
        <f t="shared" si="22"/>
        <v>1</v>
      </c>
      <c r="X54" s="244"/>
    </row>
    <row r="55" spans="1:24" ht="13.5" x14ac:dyDescent="0.25">
      <c r="A55" s="9" t="s">
        <v>399</v>
      </c>
      <c r="B55" s="21">
        <v>10000</v>
      </c>
      <c r="C55" s="55" t="s">
        <v>705</v>
      </c>
      <c r="D55" s="93">
        <f t="shared" si="13"/>
        <v>10000</v>
      </c>
      <c r="E55" s="90">
        <f t="shared" si="14"/>
        <v>10000</v>
      </c>
      <c r="F55" s="54">
        <f t="shared" si="15"/>
        <v>10000</v>
      </c>
      <c r="G55" s="93">
        <f t="shared" si="16"/>
        <v>15</v>
      </c>
      <c r="H55" s="64" t="str">
        <f t="shared" si="17"/>
        <v>Pass</v>
      </c>
      <c r="I55" s="90">
        <f t="shared" si="18"/>
        <v>10000</v>
      </c>
      <c r="J55" s="64" t="str">
        <f t="shared" si="19"/>
        <v>Pass</v>
      </c>
      <c r="K55" s="291"/>
      <c r="L55" s="291"/>
      <c r="Q55" s="244"/>
      <c r="R55" s="304">
        <f t="shared" si="10"/>
        <v>-1000000</v>
      </c>
      <c r="S55" s="304">
        <f t="shared" si="11"/>
        <v>1000000</v>
      </c>
      <c r="T55" s="304" t="str">
        <f t="shared" si="20"/>
        <v/>
      </c>
      <c r="U55" s="304">
        <f t="shared" si="21"/>
        <v>5</v>
      </c>
      <c r="V55" s="304">
        <f t="shared" si="12"/>
        <v>5</v>
      </c>
      <c r="W55" s="305">
        <f t="shared" si="22"/>
        <v>1</v>
      </c>
      <c r="X55" s="244"/>
    </row>
    <row r="56" spans="1:24" ht="13.5" x14ac:dyDescent="0.25">
      <c r="A56" s="9" t="s">
        <v>400</v>
      </c>
      <c r="B56" s="21">
        <v>0</v>
      </c>
      <c r="C56" s="55" t="s">
        <v>701</v>
      </c>
      <c r="D56" s="93">
        <f t="shared" si="13"/>
        <v>0</v>
      </c>
      <c r="E56" s="90">
        <f t="shared" si="14"/>
        <v>0</v>
      </c>
      <c r="F56" s="54">
        <f t="shared" si="15"/>
        <v>0</v>
      </c>
      <c r="G56" s="93">
        <f t="shared" si="16"/>
        <v>0</v>
      </c>
      <c r="H56" s="64" t="str">
        <f t="shared" si="17"/>
        <v>Pass</v>
      </c>
      <c r="I56" s="90">
        <f t="shared" si="18"/>
        <v>3</v>
      </c>
      <c r="J56" s="64" t="str">
        <f t="shared" si="19"/>
        <v>Pass</v>
      </c>
      <c r="K56" s="291"/>
      <c r="L56" s="291"/>
      <c r="Q56" s="244"/>
      <c r="R56" s="304">
        <f t="shared" si="10"/>
        <v>-1000000</v>
      </c>
      <c r="S56" s="304">
        <f t="shared" si="11"/>
        <v>1000000</v>
      </c>
      <c r="T56" s="304" t="str">
        <f t="shared" si="20"/>
        <v/>
      </c>
      <c r="U56" s="304">
        <f t="shared" si="21"/>
        <v>5</v>
      </c>
      <c r="V56" s="304">
        <f t="shared" si="12"/>
        <v>5</v>
      </c>
      <c r="W56" s="305">
        <f t="shared" si="22"/>
        <v>1</v>
      </c>
      <c r="X56" s="244"/>
    </row>
    <row r="57" spans="1:24" ht="13.5" x14ac:dyDescent="0.25">
      <c r="A57" s="9" t="s">
        <v>95</v>
      </c>
      <c r="B57" s="21"/>
      <c r="C57" s="55"/>
      <c r="D57" s="93" t="str">
        <f t="shared" si="13"/>
        <v/>
      </c>
      <c r="E57" s="90" t="str">
        <f t="shared" si="14"/>
        <v/>
      </c>
      <c r="F57" s="54" t="str">
        <f t="shared" si="15"/>
        <v/>
      </c>
      <c r="G57" s="93" t="str">
        <f t="shared" si="16"/>
        <v/>
      </c>
      <c r="H57" s="64" t="str">
        <f t="shared" si="17"/>
        <v/>
      </c>
      <c r="I57" s="90" t="str">
        <f t="shared" si="18"/>
        <v/>
      </c>
      <c r="J57" s="64" t="str">
        <f t="shared" si="19"/>
        <v/>
      </c>
      <c r="K57" s="291"/>
      <c r="L57" s="291"/>
      <c r="Q57" s="244"/>
      <c r="R57" s="304">
        <f t="shared" si="10"/>
        <v>-1000000</v>
      </c>
      <c r="S57" s="304">
        <f t="shared" si="11"/>
        <v>1000000</v>
      </c>
      <c r="T57" s="304" t="str">
        <f t="shared" si="20"/>
        <v/>
      </c>
      <c r="U57" s="304">
        <f t="shared" si="21"/>
        <v>0</v>
      </c>
      <c r="V57" s="304">
        <f t="shared" si="12"/>
        <v>0</v>
      </c>
      <c r="W57" s="305">
        <f t="shared" si="22"/>
        <v>0</v>
      </c>
      <c r="X57" s="244"/>
    </row>
    <row r="58" spans="1:24" ht="13.5" x14ac:dyDescent="0.25">
      <c r="A58" s="9" t="s">
        <v>96</v>
      </c>
      <c r="B58" s="21">
        <v>76</v>
      </c>
      <c r="C58" s="55" t="s">
        <v>702</v>
      </c>
      <c r="D58" s="93">
        <f t="shared" si="13"/>
        <v>76</v>
      </c>
      <c r="E58" s="90">
        <f t="shared" si="14"/>
        <v>76</v>
      </c>
      <c r="F58" s="54">
        <f t="shared" si="15"/>
        <v>76</v>
      </c>
      <c r="G58" s="93">
        <f t="shared" si="16"/>
        <v>51</v>
      </c>
      <c r="H58" s="64" t="str">
        <f t="shared" si="17"/>
        <v>Pass</v>
      </c>
      <c r="I58" s="90">
        <f t="shared" si="18"/>
        <v>100</v>
      </c>
      <c r="J58" s="64" t="str">
        <f t="shared" si="19"/>
        <v>Pass</v>
      </c>
      <c r="K58" s="291"/>
      <c r="L58" s="291"/>
      <c r="Q58" s="244"/>
      <c r="R58" s="304">
        <f t="shared" si="10"/>
        <v>-1000000</v>
      </c>
      <c r="S58" s="304">
        <f t="shared" si="11"/>
        <v>1000000</v>
      </c>
      <c r="T58" s="304" t="str">
        <f t="shared" si="20"/>
        <v/>
      </c>
      <c r="U58" s="304">
        <f t="shared" si="21"/>
        <v>1</v>
      </c>
      <c r="V58" s="304">
        <f t="shared" si="12"/>
        <v>1</v>
      </c>
      <c r="W58" s="305">
        <f t="shared" si="22"/>
        <v>0</v>
      </c>
      <c r="X58" s="244"/>
    </row>
    <row r="59" spans="1:24" ht="13.5" x14ac:dyDescent="0.25">
      <c r="A59" s="9" t="s">
        <v>387</v>
      </c>
      <c r="B59" s="21">
        <v>0</v>
      </c>
      <c r="C59" s="55" t="s">
        <v>701</v>
      </c>
      <c r="D59" s="93">
        <f t="shared" si="13"/>
        <v>0</v>
      </c>
      <c r="E59" s="90">
        <f t="shared" si="14"/>
        <v>0</v>
      </c>
      <c r="F59" s="54">
        <f t="shared" si="15"/>
        <v>0</v>
      </c>
      <c r="G59" s="93">
        <f t="shared" si="16"/>
        <v>0</v>
      </c>
      <c r="H59" s="64" t="str">
        <f t="shared" si="17"/>
        <v>Pass</v>
      </c>
      <c r="I59" s="90">
        <f t="shared" si="18"/>
        <v>0</v>
      </c>
      <c r="J59" s="64" t="str">
        <f t="shared" si="19"/>
        <v>Pass</v>
      </c>
      <c r="K59" s="291"/>
      <c r="L59" s="291"/>
      <c r="Q59" s="244"/>
      <c r="R59" s="304">
        <f t="shared" si="10"/>
        <v>-1000000</v>
      </c>
      <c r="S59" s="304">
        <f t="shared" si="11"/>
        <v>1000000</v>
      </c>
      <c r="T59" s="304" t="str">
        <f t="shared" si="20"/>
        <v/>
      </c>
      <c r="U59" s="304">
        <f t="shared" si="21"/>
        <v>1</v>
      </c>
      <c r="V59" s="304">
        <f t="shared" si="12"/>
        <v>1</v>
      </c>
      <c r="W59" s="305">
        <f t="shared" si="22"/>
        <v>1</v>
      </c>
      <c r="X59" s="244"/>
    </row>
    <row r="60" spans="1:24" ht="13.5" x14ac:dyDescent="0.25">
      <c r="A60" s="9" t="s">
        <v>386</v>
      </c>
      <c r="B60" s="21">
        <v>0</v>
      </c>
      <c r="C60" s="55" t="s">
        <v>701</v>
      </c>
      <c r="D60" s="93">
        <f t="shared" si="13"/>
        <v>0</v>
      </c>
      <c r="E60" s="90">
        <f t="shared" si="14"/>
        <v>0</v>
      </c>
      <c r="F60" s="54">
        <f t="shared" si="15"/>
        <v>0</v>
      </c>
      <c r="G60" s="93">
        <f t="shared" si="16"/>
        <v>0</v>
      </c>
      <c r="H60" s="64" t="str">
        <f t="shared" si="17"/>
        <v>Pass</v>
      </c>
      <c r="I60" s="90">
        <f t="shared" si="18"/>
        <v>0</v>
      </c>
      <c r="J60" s="64" t="str">
        <f t="shared" si="19"/>
        <v>Pass</v>
      </c>
      <c r="K60" s="291"/>
      <c r="L60" s="291"/>
      <c r="Q60" s="244"/>
      <c r="R60" s="304">
        <f t="shared" si="10"/>
        <v>-1000000</v>
      </c>
      <c r="S60" s="304">
        <f t="shared" si="11"/>
        <v>1000000</v>
      </c>
      <c r="T60" s="304" t="str">
        <f t="shared" si="20"/>
        <v/>
      </c>
      <c r="U60" s="304">
        <f t="shared" si="21"/>
        <v>1</v>
      </c>
      <c r="V60" s="304">
        <f t="shared" si="12"/>
        <v>1</v>
      </c>
      <c r="W60" s="305">
        <f t="shared" si="22"/>
        <v>1</v>
      </c>
      <c r="X60" s="244"/>
    </row>
    <row r="61" spans="1:24" ht="13.5" x14ac:dyDescent="0.25">
      <c r="A61" s="9" t="s">
        <v>682</v>
      </c>
      <c r="B61" s="21">
        <v>6</v>
      </c>
      <c r="C61" s="55" t="s">
        <v>702</v>
      </c>
      <c r="D61" s="93">
        <f t="shared" si="13"/>
        <v>6</v>
      </c>
      <c r="E61" s="90">
        <f t="shared" si="14"/>
        <v>6</v>
      </c>
      <c r="F61" s="54">
        <f t="shared" si="15"/>
        <v>6</v>
      </c>
      <c r="G61" s="93">
        <f t="shared" si="16"/>
        <v>5</v>
      </c>
      <c r="H61" s="64" t="str">
        <f t="shared" si="17"/>
        <v>Pass</v>
      </c>
      <c r="I61" s="90">
        <f t="shared" si="18"/>
        <v>100</v>
      </c>
      <c r="J61" s="64" t="str">
        <f t="shared" si="19"/>
        <v>Pass</v>
      </c>
      <c r="K61" s="291"/>
      <c r="L61" s="291"/>
      <c r="Q61" s="244"/>
      <c r="R61" s="304">
        <f t="shared" si="10"/>
        <v>-1000000</v>
      </c>
      <c r="S61" s="304">
        <f t="shared" si="11"/>
        <v>1000000</v>
      </c>
      <c r="T61" s="304" t="str">
        <f t="shared" si="20"/>
        <v/>
      </c>
      <c r="U61" s="304">
        <f t="shared" si="21"/>
        <v>1</v>
      </c>
      <c r="V61" s="304">
        <f t="shared" si="12"/>
        <v>1</v>
      </c>
      <c r="W61" s="305">
        <f t="shared" si="22"/>
        <v>1</v>
      </c>
      <c r="X61" s="244"/>
    </row>
    <row r="62" spans="1:24" ht="13.5" x14ac:dyDescent="0.25">
      <c r="A62" s="9" t="s">
        <v>385</v>
      </c>
      <c r="B62" s="21">
        <v>0</v>
      </c>
      <c r="C62" s="55" t="s">
        <v>701</v>
      </c>
      <c r="D62" s="93">
        <f t="shared" si="13"/>
        <v>0</v>
      </c>
      <c r="E62" s="90">
        <f t="shared" si="14"/>
        <v>0</v>
      </c>
      <c r="F62" s="54">
        <f t="shared" si="15"/>
        <v>0</v>
      </c>
      <c r="G62" s="93">
        <f t="shared" si="16"/>
        <v>0</v>
      </c>
      <c r="H62" s="64" t="str">
        <f t="shared" si="17"/>
        <v>Pass</v>
      </c>
      <c r="I62" s="90">
        <f t="shared" si="18"/>
        <v>0</v>
      </c>
      <c r="J62" s="64" t="str">
        <f t="shared" si="19"/>
        <v>Pass</v>
      </c>
      <c r="K62" s="291"/>
      <c r="L62" s="291"/>
      <c r="Q62" s="244"/>
      <c r="R62" s="304">
        <f t="shared" si="10"/>
        <v>-1000000</v>
      </c>
      <c r="S62" s="304">
        <f t="shared" si="11"/>
        <v>1000000</v>
      </c>
      <c r="T62" s="304" t="str">
        <f t="shared" si="20"/>
        <v/>
      </c>
      <c r="U62" s="304">
        <f t="shared" si="21"/>
        <v>3</v>
      </c>
      <c r="V62" s="304">
        <f t="shared" si="12"/>
        <v>3</v>
      </c>
      <c r="W62" s="305">
        <f t="shared" si="22"/>
        <v>1</v>
      </c>
      <c r="X62" s="244"/>
    </row>
    <row r="63" spans="1:24" ht="13.5" x14ac:dyDescent="0.25">
      <c r="A63" s="9" t="s">
        <v>98</v>
      </c>
      <c r="B63" s="21">
        <v>76</v>
      </c>
      <c r="C63" s="55" t="s">
        <v>705</v>
      </c>
      <c r="D63" s="93">
        <f t="shared" si="13"/>
        <v>76</v>
      </c>
      <c r="E63" s="90">
        <f t="shared" si="14"/>
        <v>76</v>
      </c>
      <c r="F63" s="54">
        <f t="shared" si="15"/>
        <v>76</v>
      </c>
      <c r="G63" s="93">
        <f t="shared" si="16"/>
        <v>15</v>
      </c>
      <c r="H63" s="64" t="str">
        <f t="shared" si="17"/>
        <v>Pass</v>
      </c>
      <c r="I63" s="90">
        <f t="shared" si="18"/>
        <v>10000</v>
      </c>
      <c r="J63" s="64" t="str">
        <f t="shared" si="19"/>
        <v>Pass</v>
      </c>
      <c r="K63" s="291"/>
      <c r="L63" s="291"/>
      <c r="Q63" s="244"/>
      <c r="R63" s="304">
        <f t="shared" si="10"/>
        <v>-1000000</v>
      </c>
      <c r="S63" s="304">
        <f t="shared" si="11"/>
        <v>1000000</v>
      </c>
      <c r="T63" s="304" t="str">
        <f t="shared" si="20"/>
        <v/>
      </c>
      <c r="U63" s="304">
        <f t="shared" si="21"/>
        <v>1</v>
      </c>
      <c r="V63" s="304">
        <f t="shared" si="12"/>
        <v>1</v>
      </c>
      <c r="W63" s="305">
        <f t="shared" si="22"/>
        <v>1</v>
      </c>
      <c r="X63" s="244"/>
    </row>
    <row r="64" spans="1:24" ht="13.5" x14ac:dyDescent="0.25">
      <c r="A64" s="9" t="s">
        <v>683</v>
      </c>
      <c r="B64" s="21"/>
      <c r="C64" s="55"/>
      <c r="D64" s="93" t="str">
        <f t="shared" si="13"/>
        <v/>
      </c>
      <c r="E64" s="90" t="str">
        <f t="shared" si="14"/>
        <v/>
      </c>
      <c r="F64" s="54" t="str">
        <f t="shared" si="15"/>
        <v/>
      </c>
      <c r="G64" s="93" t="str">
        <f t="shared" si="16"/>
        <v/>
      </c>
      <c r="H64" s="64" t="str">
        <f t="shared" si="17"/>
        <v/>
      </c>
      <c r="I64" s="90" t="str">
        <f t="shared" si="18"/>
        <v/>
      </c>
      <c r="J64" s="64" t="str">
        <f t="shared" si="19"/>
        <v/>
      </c>
      <c r="K64" s="291"/>
      <c r="L64" s="291"/>
      <c r="Q64" s="244"/>
      <c r="R64" s="304">
        <f t="shared" si="10"/>
        <v>-1000000</v>
      </c>
      <c r="S64" s="304">
        <f t="shared" si="11"/>
        <v>1000000</v>
      </c>
      <c r="T64" s="304" t="e">
        <f t="shared" si="20"/>
        <v>#N/A</v>
      </c>
      <c r="U64" s="304">
        <f t="shared" si="21"/>
        <v>0</v>
      </c>
      <c r="V64" s="304">
        <f t="shared" si="12"/>
        <v>0</v>
      </c>
      <c r="W64" s="305" t="e">
        <f t="shared" si="22"/>
        <v>#N/A</v>
      </c>
      <c r="X64" s="244"/>
    </row>
    <row r="65" spans="1:24" ht="13.5" x14ac:dyDescent="0.25">
      <c r="A65" s="9" t="s">
        <v>609</v>
      </c>
      <c r="B65" s="21">
        <v>42</v>
      </c>
      <c r="C65" s="55" t="s">
        <v>706</v>
      </c>
      <c r="D65" s="93">
        <f t="shared" si="13"/>
        <v>42</v>
      </c>
      <c r="E65" s="90">
        <f t="shared" si="14"/>
        <v>42</v>
      </c>
      <c r="F65" s="54">
        <f t="shared" si="15"/>
        <v>42</v>
      </c>
      <c r="G65" s="93">
        <f t="shared" si="16"/>
        <v>15</v>
      </c>
      <c r="H65" s="64" t="str">
        <f t="shared" si="17"/>
        <v>Pass</v>
      </c>
      <c r="I65" s="90">
        <f t="shared" si="18"/>
        <v>50000</v>
      </c>
      <c r="J65" s="64" t="str">
        <f t="shared" si="19"/>
        <v>Pass</v>
      </c>
      <c r="K65" s="291"/>
      <c r="L65" s="291"/>
      <c r="Q65" s="244"/>
      <c r="R65" s="304">
        <f t="shared" si="10"/>
        <v>-1000000</v>
      </c>
      <c r="S65" s="304">
        <f t="shared" si="11"/>
        <v>1000000</v>
      </c>
      <c r="T65" s="304" t="str">
        <f t="shared" si="20"/>
        <v/>
      </c>
      <c r="U65" s="304">
        <f t="shared" si="21"/>
        <v>1</v>
      </c>
      <c r="V65" s="304">
        <f t="shared" si="12"/>
        <v>1</v>
      </c>
      <c r="W65" s="305">
        <f t="shared" si="22"/>
        <v>0</v>
      </c>
      <c r="X65" s="244"/>
    </row>
    <row r="66" spans="1:24" ht="13.5" x14ac:dyDescent="0.25">
      <c r="A66" s="9" t="s">
        <v>610</v>
      </c>
      <c r="B66" s="21">
        <v>105.5</v>
      </c>
      <c r="C66" s="55" t="s">
        <v>705</v>
      </c>
      <c r="D66" s="93">
        <f t="shared" si="13"/>
        <v>105.5</v>
      </c>
      <c r="E66" s="90">
        <f t="shared" si="14"/>
        <v>105.5</v>
      </c>
      <c r="F66" s="54">
        <f t="shared" si="15"/>
        <v>105.5</v>
      </c>
      <c r="G66" s="93">
        <f t="shared" si="16"/>
        <v>0</v>
      </c>
      <c r="H66" s="64" t="str">
        <f t="shared" si="17"/>
        <v>Pass</v>
      </c>
      <c r="I66" s="90">
        <f t="shared" si="18"/>
        <v>400</v>
      </c>
      <c r="J66" s="64" t="str">
        <f t="shared" si="19"/>
        <v>Pass</v>
      </c>
      <c r="K66" s="291"/>
      <c r="L66" s="291"/>
      <c r="Q66" s="244"/>
      <c r="R66" s="304">
        <f t="shared" si="10"/>
        <v>-1000000</v>
      </c>
      <c r="S66" s="304">
        <f t="shared" si="11"/>
        <v>1000000</v>
      </c>
      <c r="T66" s="304" t="str">
        <f t="shared" si="20"/>
        <v/>
      </c>
      <c r="U66" s="304">
        <f t="shared" si="21"/>
        <v>0</v>
      </c>
      <c r="V66" s="304">
        <f t="shared" si="12"/>
        <v>0</v>
      </c>
      <c r="W66" s="305">
        <f t="shared" si="22"/>
        <v>1</v>
      </c>
      <c r="X66" s="244"/>
    </row>
    <row r="67" spans="1:24" ht="13.5" x14ac:dyDescent="0.25">
      <c r="A67" s="9" t="s">
        <v>612</v>
      </c>
      <c r="B67" s="21">
        <v>46</v>
      </c>
      <c r="C67" s="55" t="s">
        <v>706</v>
      </c>
      <c r="D67" s="93">
        <f t="shared" si="13"/>
        <v>46</v>
      </c>
      <c r="E67" s="90">
        <f t="shared" si="14"/>
        <v>46</v>
      </c>
      <c r="F67" s="54">
        <f t="shared" si="15"/>
        <v>46</v>
      </c>
      <c r="G67" s="93">
        <f t="shared" si="16"/>
        <v>15</v>
      </c>
      <c r="H67" s="64" t="str">
        <f t="shared" si="17"/>
        <v>Pass</v>
      </c>
      <c r="I67" s="90">
        <f t="shared" si="18"/>
        <v>50000</v>
      </c>
      <c r="J67" s="64" t="str">
        <f t="shared" si="19"/>
        <v>Pass</v>
      </c>
      <c r="K67" s="291"/>
      <c r="L67" s="291"/>
      <c r="Q67" s="244"/>
      <c r="R67" s="304">
        <f t="shared" si="10"/>
        <v>-1000000</v>
      </c>
      <c r="S67" s="304">
        <f t="shared" si="11"/>
        <v>1000000</v>
      </c>
      <c r="T67" s="304" t="str">
        <f t="shared" si="20"/>
        <v/>
      </c>
      <c r="U67" s="304">
        <f t="shared" si="21"/>
        <v>1</v>
      </c>
      <c r="V67" s="304">
        <f t="shared" si="12"/>
        <v>1</v>
      </c>
      <c r="W67" s="305">
        <f t="shared" si="22"/>
        <v>0</v>
      </c>
      <c r="X67" s="244"/>
    </row>
    <row r="68" spans="1:24" ht="13.5" x14ac:dyDescent="0.25">
      <c r="A68" s="9" t="s">
        <v>611</v>
      </c>
      <c r="B68" s="21">
        <v>140.6</v>
      </c>
      <c r="C68" s="55" t="s">
        <v>705</v>
      </c>
      <c r="D68" s="93">
        <f t="shared" si="13"/>
        <v>140.6</v>
      </c>
      <c r="E68" s="90">
        <f t="shared" si="14"/>
        <v>140.6</v>
      </c>
      <c r="F68" s="54">
        <f t="shared" si="15"/>
        <v>140.6</v>
      </c>
      <c r="G68" s="93">
        <f t="shared" si="16"/>
        <v>0</v>
      </c>
      <c r="H68" s="64" t="str">
        <f t="shared" si="17"/>
        <v>Pass</v>
      </c>
      <c r="I68" s="90">
        <f t="shared" si="18"/>
        <v>400</v>
      </c>
      <c r="J68" s="64" t="str">
        <f t="shared" si="19"/>
        <v>Pass</v>
      </c>
      <c r="K68" s="291"/>
      <c r="L68" s="291"/>
      <c r="Q68" s="244"/>
      <c r="R68" s="304">
        <f t="shared" si="10"/>
        <v>-1000000</v>
      </c>
      <c r="S68" s="304">
        <f t="shared" si="11"/>
        <v>1000000</v>
      </c>
      <c r="T68" s="304" t="str">
        <f t="shared" si="20"/>
        <v/>
      </c>
      <c r="U68" s="304">
        <f t="shared" si="21"/>
        <v>0</v>
      </c>
      <c r="V68" s="304">
        <f t="shared" si="12"/>
        <v>0</v>
      </c>
      <c r="W68" s="305">
        <f t="shared" si="22"/>
        <v>1</v>
      </c>
      <c r="X68" s="244"/>
    </row>
    <row r="69" spans="1:24" ht="13.5" x14ac:dyDescent="0.25">
      <c r="A69" s="9" t="s">
        <v>684</v>
      </c>
      <c r="B69" s="21"/>
      <c r="C69" s="55"/>
      <c r="D69" s="93" t="str">
        <f t="shared" si="13"/>
        <v/>
      </c>
      <c r="E69" s="90" t="str">
        <f t="shared" si="14"/>
        <v/>
      </c>
      <c r="F69" s="54" t="str">
        <f t="shared" si="15"/>
        <v/>
      </c>
      <c r="G69" s="93" t="str">
        <f t="shared" si="16"/>
        <v/>
      </c>
      <c r="H69" s="64" t="str">
        <f t="shared" si="17"/>
        <v/>
      </c>
      <c r="I69" s="90" t="str">
        <f t="shared" si="18"/>
        <v/>
      </c>
      <c r="J69" s="64" t="str">
        <f t="shared" si="19"/>
        <v/>
      </c>
      <c r="K69" s="291"/>
      <c r="L69" s="291"/>
      <c r="Q69" s="244"/>
      <c r="R69" s="304">
        <f t="shared" si="10"/>
        <v>-1000000</v>
      </c>
      <c r="S69" s="304">
        <f t="shared" si="11"/>
        <v>1000000</v>
      </c>
      <c r="T69" s="304" t="e">
        <f t="shared" si="20"/>
        <v>#N/A</v>
      </c>
      <c r="U69" s="304">
        <f t="shared" si="21"/>
        <v>0</v>
      </c>
      <c r="V69" s="304">
        <f t="shared" si="12"/>
        <v>0</v>
      </c>
      <c r="W69" s="305" t="e">
        <f t="shared" si="22"/>
        <v>#N/A</v>
      </c>
      <c r="X69" s="244"/>
    </row>
    <row r="70" spans="1:24" ht="13.5" x14ac:dyDescent="0.25">
      <c r="A70" s="9" t="s">
        <v>294</v>
      </c>
      <c r="B70" s="21">
        <v>415.75</v>
      </c>
      <c r="C70" s="55" t="s">
        <v>702</v>
      </c>
      <c r="D70" s="93">
        <f t="shared" si="13"/>
        <v>415.75</v>
      </c>
      <c r="E70" s="90">
        <f t="shared" si="14"/>
        <v>415.75</v>
      </c>
      <c r="F70" s="54">
        <f t="shared" si="15"/>
        <v>415.8</v>
      </c>
      <c r="G70" s="93">
        <f t="shared" si="16"/>
        <v>400</v>
      </c>
      <c r="H70" s="64" t="str">
        <f t="shared" si="17"/>
        <v>Pass</v>
      </c>
      <c r="I70" s="90">
        <f t="shared" si="18"/>
        <v>450</v>
      </c>
      <c r="J70" s="64" t="str">
        <f t="shared" si="19"/>
        <v>Pass</v>
      </c>
      <c r="K70" s="291"/>
      <c r="L70" s="291"/>
      <c r="Q70" s="244"/>
      <c r="R70" s="304">
        <f t="shared" si="10"/>
        <v>-1000000</v>
      </c>
      <c r="S70" s="304">
        <f t="shared" si="11"/>
        <v>1000000</v>
      </c>
      <c r="T70" s="304" t="str">
        <f t="shared" si="20"/>
        <v/>
      </c>
      <c r="U70" s="304">
        <f t="shared" si="21"/>
        <v>3</v>
      </c>
      <c r="V70" s="304">
        <f t="shared" si="12"/>
        <v>3</v>
      </c>
      <c r="W70" s="305">
        <f t="shared" si="22"/>
        <v>1</v>
      </c>
      <c r="X70" s="244"/>
    </row>
    <row r="71" spans="1:24" ht="13.5" x14ac:dyDescent="0.25">
      <c r="A71" s="9" t="s">
        <v>111</v>
      </c>
      <c r="B71" s="21">
        <v>414.88</v>
      </c>
      <c r="C71" s="55" t="s">
        <v>702</v>
      </c>
      <c r="D71" s="93">
        <f t="shared" si="13"/>
        <v>414.88</v>
      </c>
      <c r="E71" s="90">
        <f t="shared" si="14"/>
        <v>414.88</v>
      </c>
      <c r="F71" s="54">
        <f t="shared" si="15"/>
        <v>414.9</v>
      </c>
      <c r="G71" s="93">
        <f t="shared" si="16"/>
        <v>400</v>
      </c>
      <c r="H71" s="64" t="str">
        <f t="shared" si="17"/>
        <v>Pass</v>
      </c>
      <c r="I71" s="90">
        <f t="shared" si="18"/>
        <v>450</v>
      </c>
      <c r="J71" s="64" t="str">
        <f t="shared" si="19"/>
        <v>Pass</v>
      </c>
      <c r="K71" s="291"/>
      <c r="L71" s="291"/>
      <c r="Q71" s="244"/>
      <c r="R71" s="304">
        <f t="shared" si="10"/>
        <v>-1000000</v>
      </c>
      <c r="S71" s="304">
        <f t="shared" si="11"/>
        <v>1000000</v>
      </c>
      <c r="T71" s="304" t="str">
        <f t="shared" si="20"/>
        <v/>
      </c>
      <c r="U71" s="304">
        <f t="shared" si="21"/>
        <v>3</v>
      </c>
      <c r="V71" s="304">
        <f t="shared" si="12"/>
        <v>3</v>
      </c>
      <c r="W71" s="305">
        <f t="shared" si="22"/>
        <v>1</v>
      </c>
      <c r="X71" s="244"/>
    </row>
    <row r="72" spans="1:24" ht="13.5" x14ac:dyDescent="0.25">
      <c r="A72" s="9" t="s">
        <v>112</v>
      </c>
      <c r="B72" s="21">
        <v>414.63</v>
      </c>
      <c r="C72" s="55" t="s">
        <v>702</v>
      </c>
      <c r="D72" s="93">
        <f t="shared" si="13"/>
        <v>414.63</v>
      </c>
      <c r="E72" s="90">
        <f t="shared" si="14"/>
        <v>414.63</v>
      </c>
      <c r="F72" s="54">
        <f t="shared" si="15"/>
        <v>414.6</v>
      </c>
      <c r="G72" s="93">
        <f t="shared" si="16"/>
        <v>400</v>
      </c>
      <c r="H72" s="64" t="str">
        <f t="shared" si="17"/>
        <v>Pass</v>
      </c>
      <c r="I72" s="90">
        <f t="shared" si="18"/>
        <v>450</v>
      </c>
      <c r="J72" s="64" t="str">
        <f t="shared" si="19"/>
        <v>Pass</v>
      </c>
      <c r="K72" s="291"/>
      <c r="L72" s="291"/>
      <c r="Q72" s="244"/>
      <c r="R72" s="304">
        <f t="shared" si="10"/>
        <v>-1000000</v>
      </c>
      <c r="S72" s="304">
        <f t="shared" si="11"/>
        <v>1000000</v>
      </c>
      <c r="T72" s="304" t="str">
        <f t="shared" si="20"/>
        <v/>
      </c>
      <c r="U72" s="304">
        <f t="shared" si="21"/>
        <v>3</v>
      </c>
      <c r="V72" s="304">
        <f t="shared" si="12"/>
        <v>3</v>
      </c>
      <c r="W72" s="305">
        <f t="shared" si="22"/>
        <v>1</v>
      </c>
      <c r="X72" s="244"/>
    </row>
    <row r="73" spans="1:24" ht="13.5" x14ac:dyDescent="0.25">
      <c r="A73" s="9" t="s">
        <v>308</v>
      </c>
      <c r="B73" s="21">
        <v>414.25</v>
      </c>
      <c r="C73" s="55" t="s">
        <v>702</v>
      </c>
      <c r="D73" s="93">
        <f t="shared" ref="D73:D104" si="23">IF(C73="","",MIN(B73:B73))</f>
        <v>414.25</v>
      </c>
      <c r="E73" s="90">
        <f t="shared" ref="E73:E104" si="24">IF(C73="","",MAX(B73:B73))</f>
        <v>414.25</v>
      </c>
      <c r="F73" s="54">
        <f t="shared" ref="F73:F104" si="25">IF(C73="","",IF(C73="    N/A","",IF(COUNTIF(B73:B73,"&gt;-1")&gt;0,ROUND((SUM(B73:B73)+COUNTIF(B73:B73,-1))/COUNTIF(B73:B73,"&gt;-1"),W73),ROUND(AVERAGE(B73:B73),W73))))</f>
        <v>414.3</v>
      </c>
      <c r="G73" s="93">
        <f t="shared" ref="G73:G104" si="26">IF(F73="","",IF(VLOOKUP(A73,Test_Limits,2,FALSE)="","",VLOOKUP(A73,Test_Limits,2,FALSE)))</f>
        <v>400</v>
      </c>
      <c r="H73" s="64" t="str">
        <f t="shared" ref="H73:H104" si="27">IF(G73="","",IF(AND(D73&lt;G73,D73&lt;&gt;T73),IF(VLOOKUP(A73,Test_Limits,5,FALSE)="PF","Fail","Info"),"Pass"))</f>
        <v>Pass</v>
      </c>
      <c r="I73" s="90">
        <f t="shared" ref="I73:I104" si="28">IF(F73="","",IF(VLOOKUP(A73,Test_Limits,3,FALSE)="","",VLOOKUP(A73,Test_Limits,3,FALSE)))</f>
        <v>450</v>
      </c>
      <c r="J73" s="64" t="str">
        <f t="shared" ref="J73:J104" si="29">IF(I73="","",IF(AND(E73&gt;I73,E73&lt;&gt;T73),IF(VLOOKUP(A73,Test_Limits,5,FALSE)="PF","Fail","Info"),"Pass"))</f>
        <v>Pass</v>
      </c>
      <c r="K73" s="291"/>
      <c r="L73" s="291"/>
      <c r="Q73" s="244"/>
      <c r="R73" s="304">
        <f t="shared" si="10"/>
        <v>-1000000</v>
      </c>
      <c r="S73" s="304">
        <f t="shared" si="11"/>
        <v>1000000</v>
      </c>
      <c r="T73" s="304" t="str">
        <f t="shared" ref="T73:T104" si="30">IF(VLOOKUP(A73,Test_Limits,7,FALSE)&lt;&gt;"",VLOOKUP(A73,Test_Limits,7,FALSE),"")</f>
        <v/>
      </c>
      <c r="U73" s="304">
        <f t="shared" ref="U73:U104" si="31">IF(F73="",0,VLOOKUP(A73,Test_Limits,8,FALSE))</f>
        <v>5</v>
      </c>
      <c r="V73" s="304">
        <f t="shared" si="12"/>
        <v>5</v>
      </c>
      <c r="W73" s="305">
        <f t="shared" ref="W73:W104" si="32">VLOOKUP(A73,Test_Limits,6,FALSE)</f>
        <v>1</v>
      </c>
      <c r="X73" s="244"/>
    </row>
    <row r="74" spans="1:24" ht="13.5" x14ac:dyDescent="0.25">
      <c r="A74" s="9" t="s">
        <v>99</v>
      </c>
      <c r="B74" s="21">
        <v>60</v>
      </c>
      <c r="C74" s="55" t="s">
        <v>705</v>
      </c>
      <c r="D74" s="93">
        <f t="shared" si="23"/>
        <v>60</v>
      </c>
      <c r="E74" s="90">
        <f t="shared" si="24"/>
        <v>60</v>
      </c>
      <c r="F74" s="54">
        <f t="shared" si="25"/>
        <v>60</v>
      </c>
      <c r="G74" s="93">
        <f t="shared" si="26"/>
        <v>50</v>
      </c>
      <c r="H74" s="64" t="str">
        <f t="shared" si="27"/>
        <v>Pass</v>
      </c>
      <c r="I74" s="90">
        <f t="shared" si="28"/>
        <v>75</v>
      </c>
      <c r="J74" s="64" t="str">
        <f t="shared" si="29"/>
        <v>Pass</v>
      </c>
      <c r="K74" s="291"/>
      <c r="L74" s="291"/>
      <c r="Q74" s="244"/>
      <c r="R74" s="304">
        <f t="shared" si="10"/>
        <v>-1000000</v>
      </c>
      <c r="S74" s="304">
        <f t="shared" si="11"/>
        <v>1000000</v>
      </c>
      <c r="T74" s="304" t="str">
        <f t="shared" si="30"/>
        <v/>
      </c>
      <c r="U74" s="304">
        <f t="shared" si="31"/>
        <v>5</v>
      </c>
      <c r="V74" s="304">
        <f t="shared" si="12"/>
        <v>5</v>
      </c>
      <c r="W74" s="305">
        <f t="shared" si="32"/>
        <v>1</v>
      </c>
      <c r="X74" s="244"/>
    </row>
    <row r="75" spans="1:24" ht="13.5" x14ac:dyDescent="0.25">
      <c r="A75" s="9" t="s">
        <v>100</v>
      </c>
      <c r="B75" s="21">
        <v>53.8</v>
      </c>
      <c r="C75" s="55" t="s">
        <v>698</v>
      </c>
      <c r="D75" s="93">
        <f t="shared" si="23"/>
        <v>53.8</v>
      </c>
      <c r="E75" s="90">
        <f t="shared" si="24"/>
        <v>53.8</v>
      </c>
      <c r="F75" s="54">
        <f t="shared" si="25"/>
        <v>53.8</v>
      </c>
      <c r="G75" s="93">
        <f t="shared" si="26"/>
        <v>50</v>
      </c>
      <c r="H75" s="64" t="str">
        <f t="shared" si="27"/>
        <v>Pass</v>
      </c>
      <c r="I75" s="90">
        <f t="shared" si="28"/>
        <v>57</v>
      </c>
      <c r="J75" s="64" t="str">
        <f t="shared" si="29"/>
        <v>Pass</v>
      </c>
      <c r="K75" s="291"/>
      <c r="L75" s="291"/>
      <c r="Q75" s="244"/>
      <c r="R75" s="304">
        <f t="shared" ref="R75:R86" si="33">IF(H75="Info",G75,IF(J75="Info",G75,-1000000))</f>
        <v>-1000000</v>
      </c>
      <c r="S75" s="304">
        <f t="shared" ref="S75:S86" si="34">IF(H75="Info",I75,IF(J75="Info",I75,1000000))</f>
        <v>1000000</v>
      </c>
      <c r="T75" s="304" t="str">
        <f t="shared" si="30"/>
        <v/>
      </c>
      <c r="U75" s="304">
        <f t="shared" si="31"/>
        <v>5</v>
      </c>
      <c r="V75" s="304">
        <f t="shared" ref="V75:V172" si="35">IF(H75="Pass",IF(J75="Pass",U75,0),0)</f>
        <v>5</v>
      </c>
      <c r="W75" s="305">
        <f t="shared" si="32"/>
        <v>1</v>
      </c>
      <c r="X75" s="244"/>
    </row>
    <row r="76" spans="1:24" ht="13.5" x14ac:dyDescent="0.25">
      <c r="A76" s="9" t="s">
        <v>22</v>
      </c>
      <c r="B76" s="21">
        <v>30.7</v>
      </c>
      <c r="C76" s="55" t="s">
        <v>698</v>
      </c>
      <c r="D76" s="93">
        <f t="shared" si="23"/>
        <v>30.7</v>
      </c>
      <c r="E76" s="90">
        <f t="shared" si="24"/>
        <v>30.7</v>
      </c>
      <c r="F76" s="54">
        <f t="shared" si="25"/>
        <v>30.7</v>
      </c>
      <c r="G76" s="93">
        <f t="shared" si="26"/>
        <v>30</v>
      </c>
      <c r="H76" s="64" t="str">
        <f t="shared" si="27"/>
        <v>Pass</v>
      </c>
      <c r="I76" s="90">
        <f t="shared" si="28"/>
        <v>57</v>
      </c>
      <c r="J76" s="64" t="str">
        <f t="shared" si="29"/>
        <v>Pass</v>
      </c>
      <c r="K76" s="291"/>
      <c r="L76" s="291"/>
      <c r="Q76" s="244"/>
      <c r="R76" s="304">
        <f t="shared" si="33"/>
        <v>-1000000</v>
      </c>
      <c r="S76" s="304">
        <f t="shared" si="34"/>
        <v>1000000</v>
      </c>
      <c r="T76" s="304" t="str">
        <f t="shared" si="30"/>
        <v/>
      </c>
      <c r="U76" s="304">
        <f t="shared" si="31"/>
        <v>3</v>
      </c>
      <c r="V76" s="304">
        <f t="shared" si="35"/>
        <v>3</v>
      </c>
      <c r="W76" s="305">
        <f t="shared" si="32"/>
        <v>1</v>
      </c>
      <c r="X76" s="244"/>
    </row>
    <row r="77" spans="1:24" ht="13.5" x14ac:dyDescent="0.25">
      <c r="A77" s="9" t="s">
        <v>356</v>
      </c>
      <c r="B77" s="21">
        <v>0</v>
      </c>
      <c r="C77" s="55" t="s">
        <v>701</v>
      </c>
      <c r="D77" s="93">
        <f t="shared" si="23"/>
        <v>0</v>
      </c>
      <c r="E77" s="90">
        <f t="shared" si="24"/>
        <v>0</v>
      </c>
      <c r="F77" s="54">
        <f t="shared" si="25"/>
        <v>0</v>
      </c>
      <c r="G77" s="93">
        <f t="shared" si="26"/>
        <v>0</v>
      </c>
      <c r="H77" s="64" t="str">
        <f t="shared" si="27"/>
        <v>Pass</v>
      </c>
      <c r="I77" s="90">
        <f t="shared" si="28"/>
        <v>0</v>
      </c>
      <c r="J77" s="64" t="str">
        <f t="shared" si="29"/>
        <v>Pass</v>
      </c>
      <c r="K77" s="291"/>
      <c r="L77" s="291"/>
      <c r="Q77" s="244"/>
      <c r="R77" s="304">
        <f t="shared" si="33"/>
        <v>-1000000</v>
      </c>
      <c r="S77" s="304">
        <f t="shared" si="34"/>
        <v>1000000</v>
      </c>
      <c r="T77" s="304" t="str">
        <f t="shared" si="30"/>
        <v/>
      </c>
      <c r="U77" s="304">
        <f t="shared" si="31"/>
        <v>5</v>
      </c>
      <c r="V77" s="304">
        <f t="shared" si="35"/>
        <v>5</v>
      </c>
      <c r="W77" s="305">
        <f t="shared" si="32"/>
        <v>0</v>
      </c>
      <c r="X77" s="244"/>
    </row>
    <row r="78" spans="1:24" ht="13.5" x14ac:dyDescent="0.25">
      <c r="A78" s="9" t="s">
        <v>357</v>
      </c>
      <c r="B78" s="21">
        <v>0</v>
      </c>
      <c r="C78" s="55" t="s">
        <v>701</v>
      </c>
      <c r="D78" s="93">
        <f t="shared" si="23"/>
        <v>0</v>
      </c>
      <c r="E78" s="90">
        <f t="shared" si="24"/>
        <v>0</v>
      </c>
      <c r="F78" s="54">
        <f t="shared" si="25"/>
        <v>0</v>
      </c>
      <c r="G78" s="93">
        <f t="shared" si="26"/>
        <v>0</v>
      </c>
      <c r="H78" s="64" t="str">
        <f t="shared" si="27"/>
        <v>Pass</v>
      </c>
      <c r="I78" s="90">
        <f t="shared" si="28"/>
        <v>0</v>
      </c>
      <c r="J78" s="64" t="str">
        <f t="shared" si="29"/>
        <v>Pass</v>
      </c>
      <c r="K78" s="291"/>
      <c r="L78" s="291"/>
      <c r="Q78" s="244"/>
      <c r="R78" s="304">
        <f t="shared" si="33"/>
        <v>-1000000</v>
      </c>
      <c r="S78" s="304">
        <f t="shared" si="34"/>
        <v>1000000</v>
      </c>
      <c r="T78" s="304" t="str">
        <f t="shared" si="30"/>
        <v/>
      </c>
      <c r="U78" s="304">
        <f t="shared" si="31"/>
        <v>1</v>
      </c>
      <c r="V78" s="304">
        <f t="shared" si="35"/>
        <v>1</v>
      </c>
      <c r="W78" s="305">
        <f t="shared" si="32"/>
        <v>0</v>
      </c>
      <c r="X78" s="244"/>
    </row>
    <row r="79" spans="1:24" ht="13.5" x14ac:dyDescent="0.25">
      <c r="A79" s="9" t="s">
        <v>662</v>
      </c>
      <c r="B79" s="21">
        <v>240</v>
      </c>
      <c r="C79" s="55" t="s">
        <v>702</v>
      </c>
      <c r="D79" s="93">
        <f t="shared" si="23"/>
        <v>240</v>
      </c>
      <c r="E79" s="90">
        <f t="shared" si="24"/>
        <v>240</v>
      </c>
      <c r="F79" s="54">
        <f t="shared" si="25"/>
        <v>240</v>
      </c>
      <c r="G79" s="93">
        <f t="shared" si="26"/>
        <v>60</v>
      </c>
      <c r="H79" s="64" t="str">
        <f t="shared" si="27"/>
        <v>Pass</v>
      </c>
      <c r="I79" s="90">
        <f t="shared" si="28"/>
        <v>450</v>
      </c>
      <c r="J79" s="64" t="str">
        <f t="shared" si="29"/>
        <v>Pass</v>
      </c>
      <c r="K79" s="291"/>
      <c r="L79" s="291"/>
      <c r="Q79" s="244"/>
      <c r="R79" s="304">
        <f t="shared" si="33"/>
        <v>-1000000</v>
      </c>
      <c r="S79" s="304">
        <f t="shared" si="34"/>
        <v>1000000</v>
      </c>
      <c r="T79" s="304" t="str">
        <f t="shared" si="30"/>
        <v/>
      </c>
      <c r="U79" s="304">
        <f t="shared" si="31"/>
        <v>5</v>
      </c>
      <c r="V79" s="304">
        <f t="shared" si="35"/>
        <v>5</v>
      </c>
      <c r="W79" s="305">
        <f t="shared" si="32"/>
        <v>0</v>
      </c>
      <c r="X79" s="244"/>
    </row>
    <row r="80" spans="1:24" ht="13.5" x14ac:dyDescent="0.25">
      <c r="A80" s="9" t="s">
        <v>685</v>
      </c>
      <c r="B80" s="21"/>
      <c r="C80" s="55"/>
      <c r="D80" s="93" t="str">
        <f t="shared" si="23"/>
        <v/>
      </c>
      <c r="E80" s="90" t="str">
        <f t="shared" si="24"/>
        <v/>
      </c>
      <c r="F80" s="54" t="str">
        <f t="shared" si="25"/>
        <v/>
      </c>
      <c r="G80" s="93" t="str">
        <f t="shared" si="26"/>
        <v/>
      </c>
      <c r="H80" s="64" t="str">
        <f t="shared" si="27"/>
        <v/>
      </c>
      <c r="I80" s="90" t="str">
        <f t="shared" si="28"/>
        <v/>
      </c>
      <c r="J80" s="64" t="str">
        <f t="shared" si="29"/>
        <v/>
      </c>
      <c r="K80" s="291"/>
      <c r="L80" s="291"/>
      <c r="Q80" s="244"/>
      <c r="R80" s="304">
        <f t="shared" si="33"/>
        <v>-1000000</v>
      </c>
      <c r="S80" s="304">
        <f t="shared" si="34"/>
        <v>1000000</v>
      </c>
      <c r="T80" s="304" t="e">
        <f t="shared" si="30"/>
        <v>#N/A</v>
      </c>
      <c r="U80" s="304">
        <f t="shared" si="31"/>
        <v>0</v>
      </c>
      <c r="V80" s="304">
        <f t="shared" si="35"/>
        <v>0</v>
      </c>
      <c r="W80" s="305" t="e">
        <f t="shared" si="32"/>
        <v>#N/A</v>
      </c>
      <c r="X80" s="244"/>
    </row>
    <row r="81" spans="1:24" ht="13.5" x14ac:dyDescent="0.25">
      <c r="A81" s="9" t="s">
        <v>614</v>
      </c>
      <c r="B81" s="21">
        <v>53</v>
      </c>
      <c r="C81" s="55" t="s">
        <v>698</v>
      </c>
      <c r="D81" s="93">
        <f t="shared" si="23"/>
        <v>53</v>
      </c>
      <c r="E81" s="90">
        <f t="shared" si="24"/>
        <v>53</v>
      </c>
      <c r="F81" s="54">
        <f t="shared" si="25"/>
        <v>53</v>
      </c>
      <c r="G81" s="93">
        <f t="shared" si="26"/>
        <v>50</v>
      </c>
      <c r="H81" s="64" t="str">
        <f t="shared" si="27"/>
        <v>Pass</v>
      </c>
      <c r="I81" s="90">
        <f t="shared" si="28"/>
        <v>57</v>
      </c>
      <c r="J81" s="64" t="str">
        <f t="shared" si="29"/>
        <v>Pass</v>
      </c>
      <c r="K81" s="291"/>
      <c r="L81" s="291"/>
      <c r="Q81" s="244"/>
      <c r="R81" s="304">
        <f t="shared" si="33"/>
        <v>-1000000</v>
      </c>
      <c r="S81" s="304">
        <f t="shared" si="34"/>
        <v>1000000</v>
      </c>
      <c r="T81" s="304" t="str">
        <f t="shared" si="30"/>
        <v/>
      </c>
      <c r="U81" s="304">
        <f t="shared" si="31"/>
        <v>5</v>
      </c>
      <c r="V81" s="304">
        <f t="shared" si="35"/>
        <v>5</v>
      </c>
      <c r="W81" s="305">
        <f t="shared" si="32"/>
        <v>1</v>
      </c>
      <c r="X81" s="244"/>
    </row>
    <row r="82" spans="1:24" ht="13.5" x14ac:dyDescent="0.25">
      <c r="A82" s="9" t="s">
        <v>613</v>
      </c>
      <c r="B82" s="21">
        <v>53.9</v>
      </c>
      <c r="C82" s="55" t="s">
        <v>698</v>
      </c>
      <c r="D82" s="93">
        <f t="shared" si="23"/>
        <v>53.9</v>
      </c>
      <c r="E82" s="90">
        <f t="shared" si="24"/>
        <v>53.9</v>
      </c>
      <c r="F82" s="54">
        <f t="shared" si="25"/>
        <v>53.9</v>
      </c>
      <c r="G82" s="93">
        <f t="shared" si="26"/>
        <v>50</v>
      </c>
      <c r="H82" s="64" t="str">
        <f t="shared" si="27"/>
        <v>Pass</v>
      </c>
      <c r="I82" s="90">
        <f t="shared" si="28"/>
        <v>57</v>
      </c>
      <c r="J82" s="64" t="str">
        <f t="shared" si="29"/>
        <v>Pass</v>
      </c>
      <c r="K82" s="291"/>
      <c r="L82" s="291"/>
      <c r="Q82" s="244"/>
      <c r="R82" s="304">
        <f t="shared" si="33"/>
        <v>-1000000</v>
      </c>
      <c r="S82" s="304">
        <f t="shared" si="34"/>
        <v>1000000</v>
      </c>
      <c r="T82" s="304" t="str">
        <f t="shared" si="30"/>
        <v/>
      </c>
      <c r="U82" s="304">
        <f t="shared" si="31"/>
        <v>5</v>
      </c>
      <c r="V82" s="304">
        <f t="shared" si="35"/>
        <v>5</v>
      </c>
      <c r="W82" s="305">
        <f t="shared" si="32"/>
        <v>1</v>
      </c>
      <c r="X82" s="244"/>
    </row>
    <row r="83" spans="1:24" ht="13.5" x14ac:dyDescent="0.25">
      <c r="A83" s="9" t="s">
        <v>615</v>
      </c>
      <c r="B83" s="21">
        <v>23</v>
      </c>
      <c r="C83" s="55" t="s">
        <v>707</v>
      </c>
      <c r="D83" s="93">
        <f t="shared" si="23"/>
        <v>23</v>
      </c>
      <c r="E83" s="90">
        <f t="shared" si="24"/>
        <v>23</v>
      </c>
      <c r="F83" s="54">
        <f t="shared" si="25"/>
        <v>23</v>
      </c>
      <c r="G83" s="93">
        <f t="shared" si="26"/>
        <v>0</v>
      </c>
      <c r="H83" s="64" t="str">
        <f t="shared" si="27"/>
        <v>Pass</v>
      </c>
      <c r="I83" s="90">
        <f t="shared" si="28"/>
        <v>500</v>
      </c>
      <c r="J83" s="64" t="str">
        <f t="shared" si="29"/>
        <v>Pass</v>
      </c>
      <c r="K83" s="291"/>
      <c r="L83" s="291"/>
      <c r="Q83" s="244"/>
      <c r="R83" s="304">
        <f t="shared" si="33"/>
        <v>-1000000</v>
      </c>
      <c r="S83" s="304">
        <f t="shared" si="34"/>
        <v>1000000</v>
      </c>
      <c r="T83" s="304" t="str">
        <f t="shared" si="30"/>
        <v/>
      </c>
      <c r="U83" s="304">
        <f t="shared" si="31"/>
        <v>3</v>
      </c>
      <c r="V83" s="304">
        <f t="shared" si="35"/>
        <v>3</v>
      </c>
      <c r="W83" s="305">
        <f t="shared" si="32"/>
        <v>1</v>
      </c>
      <c r="X83" s="244"/>
    </row>
    <row r="84" spans="1:24" ht="13.5" x14ac:dyDescent="0.25">
      <c r="A84" s="9" t="s">
        <v>616</v>
      </c>
      <c r="B84" s="21">
        <v>50</v>
      </c>
      <c r="C84" s="55" t="s">
        <v>707</v>
      </c>
      <c r="D84" s="93">
        <f t="shared" si="23"/>
        <v>50</v>
      </c>
      <c r="E84" s="90">
        <f t="shared" si="24"/>
        <v>50</v>
      </c>
      <c r="F84" s="54">
        <f t="shared" si="25"/>
        <v>50</v>
      </c>
      <c r="G84" s="93">
        <f t="shared" si="26"/>
        <v>0</v>
      </c>
      <c r="H84" s="64" t="str">
        <f t="shared" si="27"/>
        <v>Pass</v>
      </c>
      <c r="I84" s="90">
        <f t="shared" si="28"/>
        <v>200</v>
      </c>
      <c r="J84" s="64" t="str">
        <f t="shared" si="29"/>
        <v>Pass</v>
      </c>
      <c r="K84" s="291"/>
      <c r="L84" s="291"/>
      <c r="Q84" s="244"/>
      <c r="R84" s="304">
        <f t="shared" si="33"/>
        <v>-1000000</v>
      </c>
      <c r="S84" s="304">
        <f t="shared" si="34"/>
        <v>1000000</v>
      </c>
      <c r="T84" s="304" t="str">
        <f t="shared" si="30"/>
        <v/>
      </c>
      <c r="U84" s="304">
        <f t="shared" si="31"/>
        <v>3</v>
      </c>
      <c r="V84" s="304">
        <f t="shared" si="35"/>
        <v>3</v>
      </c>
      <c r="W84" s="305">
        <f t="shared" si="32"/>
        <v>1</v>
      </c>
      <c r="X84" s="244"/>
    </row>
    <row r="85" spans="1:24" ht="13.5" x14ac:dyDescent="0.25">
      <c r="A85" s="9" t="s">
        <v>617</v>
      </c>
      <c r="B85" s="21">
        <v>53</v>
      </c>
      <c r="C85" s="55" t="s">
        <v>698</v>
      </c>
      <c r="D85" s="93">
        <f t="shared" si="23"/>
        <v>53</v>
      </c>
      <c r="E85" s="90">
        <f t="shared" si="24"/>
        <v>53</v>
      </c>
      <c r="F85" s="54">
        <f t="shared" si="25"/>
        <v>53</v>
      </c>
      <c r="G85" s="93">
        <f t="shared" si="26"/>
        <v>50</v>
      </c>
      <c r="H85" s="64" t="str">
        <f t="shared" si="27"/>
        <v>Pass</v>
      </c>
      <c r="I85" s="90">
        <f t="shared" si="28"/>
        <v>57</v>
      </c>
      <c r="J85" s="64" t="str">
        <f t="shared" si="29"/>
        <v>Pass</v>
      </c>
      <c r="K85" s="291"/>
      <c r="L85" s="291"/>
      <c r="Q85" s="244"/>
      <c r="R85" s="304">
        <f t="shared" si="33"/>
        <v>-1000000</v>
      </c>
      <c r="S85" s="304">
        <f t="shared" si="34"/>
        <v>1000000</v>
      </c>
      <c r="T85" s="304" t="str">
        <f t="shared" si="30"/>
        <v/>
      </c>
      <c r="U85" s="304">
        <f t="shared" si="31"/>
        <v>5</v>
      </c>
      <c r="V85" s="304">
        <f t="shared" si="35"/>
        <v>5</v>
      </c>
      <c r="W85" s="305">
        <f t="shared" si="32"/>
        <v>1</v>
      </c>
      <c r="X85" s="244"/>
    </row>
    <row r="86" spans="1:24" ht="13.5" x14ac:dyDescent="0.25">
      <c r="A86" s="9" t="s">
        <v>618</v>
      </c>
      <c r="B86" s="21">
        <v>54</v>
      </c>
      <c r="C86" s="55" t="s">
        <v>698</v>
      </c>
      <c r="D86" s="93">
        <f t="shared" si="23"/>
        <v>54</v>
      </c>
      <c r="E86" s="90">
        <f t="shared" si="24"/>
        <v>54</v>
      </c>
      <c r="F86" s="54">
        <f t="shared" si="25"/>
        <v>54</v>
      </c>
      <c r="G86" s="93">
        <f t="shared" si="26"/>
        <v>50</v>
      </c>
      <c r="H86" s="64" t="str">
        <f t="shared" si="27"/>
        <v>Pass</v>
      </c>
      <c r="I86" s="90">
        <f t="shared" si="28"/>
        <v>57</v>
      </c>
      <c r="J86" s="64" t="str">
        <f t="shared" si="29"/>
        <v>Pass</v>
      </c>
      <c r="K86" s="291"/>
      <c r="L86" s="291"/>
      <c r="Q86" s="244"/>
      <c r="R86" s="304">
        <f t="shared" si="33"/>
        <v>-1000000</v>
      </c>
      <c r="S86" s="304">
        <f t="shared" si="34"/>
        <v>1000000</v>
      </c>
      <c r="T86" s="304" t="str">
        <f t="shared" si="30"/>
        <v/>
      </c>
      <c r="U86" s="304">
        <f t="shared" si="31"/>
        <v>3</v>
      </c>
      <c r="V86" s="304">
        <f t="shared" si="35"/>
        <v>3</v>
      </c>
      <c r="W86" s="305">
        <f t="shared" si="32"/>
        <v>1</v>
      </c>
      <c r="X86" s="244"/>
    </row>
    <row r="87" spans="1:24" ht="13.5" x14ac:dyDescent="0.25">
      <c r="A87" s="9" t="s">
        <v>686</v>
      </c>
      <c r="B87" s="21"/>
      <c r="C87" s="55"/>
      <c r="D87" s="93" t="str">
        <f t="shared" si="23"/>
        <v/>
      </c>
      <c r="E87" s="90" t="str">
        <f t="shared" si="24"/>
        <v/>
      </c>
      <c r="F87" s="54" t="str">
        <f t="shared" si="25"/>
        <v/>
      </c>
      <c r="G87" s="93" t="str">
        <f t="shared" si="26"/>
        <v/>
      </c>
      <c r="H87" s="64" t="str">
        <f t="shared" si="27"/>
        <v/>
      </c>
      <c r="I87" s="90" t="str">
        <f t="shared" si="28"/>
        <v/>
      </c>
      <c r="J87" s="64" t="str">
        <f t="shared" si="29"/>
        <v/>
      </c>
      <c r="K87" s="291"/>
      <c r="L87" s="291"/>
      <c r="Q87" s="244"/>
      <c r="R87" s="304">
        <f>IF(H87="Info",G87,IF(J87="Info",G87,-1000000))</f>
        <v>-1000000</v>
      </c>
      <c r="S87" s="304">
        <f>IF(H87="Info",I87,IF(J87="Info",I87,1000000))</f>
        <v>1000000</v>
      </c>
      <c r="T87" s="304" t="e">
        <f t="shared" si="30"/>
        <v>#N/A</v>
      </c>
      <c r="U87" s="304">
        <f t="shared" si="31"/>
        <v>0</v>
      </c>
      <c r="V87" s="304">
        <f t="shared" si="35"/>
        <v>0</v>
      </c>
      <c r="W87" s="305" t="e">
        <f t="shared" si="32"/>
        <v>#N/A</v>
      </c>
      <c r="X87" s="244"/>
    </row>
    <row r="88" spans="1:24" ht="13.5" x14ac:dyDescent="0.25">
      <c r="A88" s="9" t="s">
        <v>102</v>
      </c>
      <c r="B88" s="21">
        <v>18.600000000000001</v>
      </c>
      <c r="C88" s="55" t="s">
        <v>708</v>
      </c>
      <c r="D88" s="93">
        <f t="shared" si="23"/>
        <v>18.600000000000001</v>
      </c>
      <c r="E88" s="90">
        <f t="shared" si="24"/>
        <v>18.600000000000001</v>
      </c>
      <c r="F88" s="54">
        <f t="shared" si="25"/>
        <v>18.600000000000001</v>
      </c>
      <c r="G88" s="93">
        <f t="shared" si="26"/>
        <v>14.2</v>
      </c>
      <c r="H88" s="64" t="str">
        <f t="shared" si="27"/>
        <v>Pass</v>
      </c>
      <c r="I88" s="90">
        <f t="shared" si="28"/>
        <v>22.7</v>
      </c>
      <c r="J88" s="64" t="str">
        <f t="shared" si="29"/>
        <v>Pass</v>
      </c>
      <c r="K88" s="291"/>
      <c r="L88" s="291"/>
      <c r="Q88" s="244"/>
      <c r="R88" s="304">
        <f>IF(H88="Info",G88,IF(J88="Info",G88,-1000000))</f>
        <v>-1000000</v>
      </c>
      <c r="S88" s="304">
        <f>IF(H88="Info",I88,IF(J88="Info",I88,1000000))</f>
        <v>1000000</v>
      </c>
      <c r="T88" s="304" t="str">
        <f t="shared" si="30"/>
        <v/>
      </c>
      <c r="U88" s="304">
        <f t="shared" si="31"/>
        <v>1</v>
      </c>
      <c r="V88" s="304">
        <f t="shared" si="35"/>
        <v>1</v>
      </c>
      <c r="W88" s="305">
        <f t="shared" si="32"/>
        <v>1</v>
      </c>
      <c r="X88" s="244"/>
    </row>
    <row r="89" spans="1:24" ht="13.5" x14ac:dyDescent="0.25">
      <c r="A89" s="9" t="s">
        <v>337</v>
      </c>
      <c r="B89" s="21">
        <v>134.6</v>
      </c>
      <c r="C89" s="55" t="s">
        <v>709</v>
      </c>
      <c r="D89" s="93">
        <f t="shared" si="23"/>
        <v>134.6</v>
      </c>
      <c r="E89" s="90">
        <f t="shared" si="24"/>
        <v>134.6</v>
      </c>
      <c r="F89" s="54">
        <f t="shared" si="25"/>
        <v>134.6</v>
      </c>
      <c r="G89" s="93">
        <f t="shared" si="26"/>
        <v>100</v>
      </c>
      <c r="H89" s="64" t="str">
        <f t="shared" si="27"/>
        <v>Pass</v>
      </c>
      <c r="I89" s="90">
        <f t="shared" si="28"/>
        <v>9999</v>
      </c>
      <c r="J89" s="64" t="str">
        <f t="shared" si="29"/>
        <v>Pass</v>
      </c>
      <c r="K89" s="291"/>
      <c r="L89" s="291"/>
      <c r="Q89" s="244"/>
      <c r="R89" s="304">
        <f>IF(H89="Info",G89,IF(J89="Info",G89,-1000000))</f>
        <v>-1000000</v>
      </c>
      <c r="S89" s="304">
        <f>IF(H89="Info",I89,IF(J89="Info",I89,1000000))</f>
        <v>1000000</v>
      </c>
      <c r="T89" s="304" t="str">
        <f t="shared" si="30"/>
        <v/>
      </c>
      <c r="U89" s="304">
        <f t="shared" si="31"/>
        <v>5</v>
      </c>
      <c r="V89" s="304">
        <f t="shared" si="35"/>
        <v>5</v>
      </c>
      <c r="W89" s="305">
        <f t="shared" si="32"/>
        <v>1</v>
      </c>
      <c r="X89" s="244"/>
    </row>
    <row r="90" spans="1:24" ht="13.5" x14ac:dyDescent="0.25">
      <c r="A90" s="9" t="s">
        <v>106</v>
      </c>
      <c r="B90" s="21">
        <v>18.5</v>
      </c>
      <c r="C90" s="55" t="s">
        <v>708</v>
      </c>
      <c r="D90" s="93">
        <f t="shared" si="23"/>
        <v>18.5</v>
      </c>
      <c r="E90" s="90">
        <f t="shared" si="24"/>
        <v>18.5</v>
      </c>
      <c r="F90" s="54">
        <f t="shared" si="25"/>
        <v>18.5</v>
      </c>
      <c r="G90" s="93">
        <f t="shared" si="26"/>
        <v>3.9</v>
      </c>
      <c r="H90" s="64" t="str">
        <f t="shared" si="27"/>
        <v>Pass</v>
      </c>
      <c r="I90" s="90">
        <f t="shared" si="28"/>
        <v>22.7</v>
      </c>
      <c r="J90" s="64" t="str">
        <f t="shared" si="29"/>
        <v>Pass</v>
      </c>
      <c r="K90" s="291"/>
      <c r="L90" s="291"/>
      <c r="Q90" s="244"/>
      <c r="R90" s="304">
        <f t="shared" ref="R90:R172" si="36">IF(H90="Info",G90,IF(J90="Info",G90,-1000000))</f>
        <v>-1000000</v>
      </c>
      <c r="S90" s="304">
        <f t="shared" ref="S90:S172" si="37">IF(H90="Info",I90,IF(J90="Info",I90,1000000))</f>
        <v>1000000</v>
      </c>
      <c r="T90" s="304" t="str">
        <f t="shared" si="30"/>
        <v/>
      </c>
      <c r="U90" s="304">
        <f t="shared" si="31"/>
        <v>1</v>
      </c>
      <c r="V90" s="304">
        <f t="shared" si="35"/>
        <v>1</v>
      </c>
      <c r="W90" s="305">
        <f t="shared" si="32"/>
        <v>1</v>
      </c>
      <c r="X90" s="244"/>
    </row>
    <row r="91" spans="1:24" ht="13.5" x14ac:dyDescent="0.25">
      <c r="A91" s="9" t="s">
        <v>338</v>
      </c>
      <c r="B91" s="21">
        <v>473.6</v>
      </c>
      <c r="C91" s="55" t="s">
        <v>709</v>
      </c>
      <c r="D91" s="93">
        <f t="shared" si="23"/>
        <v>473.6</v>
      </c>
      <c r="E91" s="90">
        <f t="shared" si="24"/>
        <v>473.6</v>
      </c>
      <c r="F91" s="54">
        <f t="shared" si="25"/>
        <v>473.6</v>
      </c>
      <c r="G91" s="93">
        <f t="shared" si="26"/>
        <v>100</v>
      </c>
      <c r="H91" s="64" t="str">
        <f t="shared" si="27"/>
        <v>Pass</v>
      </c>
      <c r="I91" s="90">
        <f t="shared" si="28"/>
        <v>9999</v>
      </c>
      <c r="J91" s="64" t="str">
        <f t="shared" si="29"/>
        <v>Pass</v>
      </c>
      <c r="K91" s="291"/>
      <c r="L91" s="291"/>
      <c r="Q91" s="244"/>
      <c r="R91" s="304">
        <f t="shared" si="36"/>
        <v>-1000000</v>
      </c>
      <c r="S91" s="304">
        <f t="shared" si="37"/>
        <v>1000000</v>
      </c>
      <c r="T91" s="304" t="str">
        <f t="shared" si="30"/>
        <v/>
      </c>
      <c r="U91" s="304">
        <f t="shared" si="31"/>
        <v>5</v>
      </c>
      <c r="V91" s="304">
        <f t="shared" si="35"/>
        <v>5</v>
      </c>
      <c r="W91" s="305">
        <f t="shared" si="32"/>
        <v>1</v>
      </c>
      <c r="X91" s="244"/>
    </row>
    <row r="92" spans="1:24" ht="13.5" x14ac:dyDescent="0.25">
      <c r="A92" s="9" t="s">
        <v>107</v>
      </c>
      <c r="B92" s="21">
        <v>18.5</v>
      </c>
      <c r="C92" s="55" t="s">
        <v>708</v>
      </c>
      <c r="D92" s="93">
        <f t="shared" si="23"/>
        <v>18.5</v>
      </c>
      <c r="E92" s="90">
        <f t="shared" si="24"/>
        <v>18.5</v>
      </c>
      <c r="F92" s="54">
        <f t="shared" si="25"/>
        <v>18.5</v>
      </c>
      <c r="G92" s="93">
        <f t="shared" si="26"/>
        <v>6.8</v>
      </c>
      <c r="H92" s="64" t="str">
        <f t="shared" si="27"/>
        <v>Pass</v>
      </c>
      <c r="I92" s="90">
        <f t="shared" si="28"/>
        <v>22.7</v>
      </c>
      <c r="J92" s="64" t="str">
        <f t="shared" si="29"/>
        <v>Pass</v>
      </c>
      <c r="K92" s="291"/>
      <c r="L92" s="291"/>
      <c r="Q92" s="244"/>
      <c r="R92" s="304">
        <f t="shared" si="36"/>
        <v>-1000000</v>
      </c>
      <c r="S92" s="304">
        <f t="shared" si="37"/>
        <v>1000000</v>
      </c>
      <c r="T92" s="304" t="str">
        <f t="shared" si="30"/>
        <v/>
      </c>
      <c r="U92" s="304">
        <f t="shared" si="31"/>
        <v>1</v>
      </c>
      <c r="V92" s="304">
        <f t="shared" si="35"/>
        <v>1</v>
      </c>
      <c r="W92" s="305">
        <f t="shared" si="32"/>
        <v>1</v>
      </c>
      <c r="X92" s="244"/>
    </row>
    <row r="93" spans="1:24" ht="13.5" x14ac:dyDescent="0.25">
      <c r="A93" s="9" t="s">
        <v>339</v>
      </c>
      <c r="B93" s="21">
        <v>276.60000000000002</v>
      </c>
      <c r="C93" s="55" t="s">
        <v>709</v>
      </c>
      <c r="D93" s="93">
        <f t="shared" si="23"/>
        <v>276.60000000000002</v>
      </c>
      <c r="E93" s="90">
        <f t="shared" si="24"/>
        <v>276.60000000000002</v>
      </c>
      <c r="F93" s="54">
        <f t="shared" si="25"/>
        <v>276.60000000000002</v>
      </c>
      <c r="G93" s="93">
        <f t="shared" si="26"/>
        <v>100</v>
      </c>
      <c r="H93" s="64" t="str">
        <f t="shared" si="27"/>
        <v>Pass</v>
      </c>
      <c r="I93" s="90">
        <f t="shared" si="28"/>
        <v>9999</v>
      </c>
      <c r="J93" s="64" t="str">
        <f t="shared" si="29"/>
        <v>Pass</v>
      </c>
      <c r="K93" s="291"/>
      <c r="L93" s="291"/>
      <c r="Q93" s="244"/>
      <c r="R93" s="304">
        <f t="shared" si="36"/>
        <v>-1000000</v>
      </c>
      <c r="S93" s="304">
        <f t="shared" si="37"/>
        <v>1000000</v>
      </c>
      <c r="T93" s="304" t="str">
        <f t="shared" si="30"/>
        <v/>
      </c>
      <c r="U93" s="304">
        <f t="shared" si="31"/>
        <v>5</v>
      </c>
      <c r="V93" s="304">
        <f t="shared" si="35"/>
        <v>5</v>
      </c>
      <c r="W93" s="305">
        <f t="shared" si="32"/>
        <v>1</v>
      </c>
      <c r="X93" s="244"/>
    </row>
    <row r="94" spans="1:24" ht="13.5" x14ac:dyDescent="0.25">
      <c r="A94" s="9" t="s">
        <v>108</v>
      </c>
      <c r="B94" s="21">
        <v>18.600000000000001</v>
      </c>
      <c r="C94" s="55" t="s">
        <v>708</v>
      </c>
      <c r="D94" s="93">
        <f t="shared" si="23"/>
        <v>18.600000000000001</v>
      </c>
      <c r="E94" s="90">
        <f t="shared" si="24"/>
        <v>18.600000000000001</v>
      </c>
      <c r="F94" s="54">
        <f t="shared" si="25"/>
        <v>18.600000000000001</v>
      </c>
      <c r="G94" s="93">
        <f t="shared" si="26"/>
        <v>14.2</v>
      </c>
      <c r="H94" s="64" t="str">
        <f t="shared" si="27"/>
        <v>Pass</v>
      </c>
      <c r="I94" s="90">
        <f t="shared" si="28"/>
        <v>22.7</v>
      </c>
      <c r="J94" s="64" t="str">
        <f t="shared" si="29"/>
        <v>Pass</v>
      </c>
      <c r="K94" s="291"/>
      <c r="L94" s="291"/>
      <c r="Q94" s="244"/>
      <c r="R94" s="304">
        <f t="shared" si="36"/>
        <v>-1000000</v>
      </c>
      <c r="S94" s="304">
        <f t="shared" si="37"/>
        <v>1000000</v>
      </c>
      <c r="T94" s="304" t="str">
        <f t="shared" si="30"/>
        <v/>
      </c>
      <c r="U94" s="304">
        <f t="shared" si="31"/>
        <v>1</v>
      </c>
      <c r="V94" s="304">
        <f t="shared" si="35"/>
        <v>1</v>
      </c>
      <c r="W94" s="305">
        <f t="shared" si="32"/>
        <v>1</v>
      </c>
      <c r="X94" s="244"/>
    </row>
    <row r="95" spans="1:24" ht="13.5" x14ac:dyDescent="0.25">
      <c r="A95" s="9" t="s">
        <v>340</v>
      </c>
      <c r="B95" s="21">
        <v>134.6</v>
      </c>
      <c r="C95" s="55" t="s">
        <v>709</v>
      </c>
      <c r="D95" s="93">
        <f t="shared" si="23"/>
        <v>134.6</v>
      </c>
      <c r="E95" s="90">
        <f t="shared" si="24"/>
        <v>134.6</v>
      </c>
      <c r="F95" s="54">
        <f t="shared" si="25"/>
        <v>134.6</v>
      </c>
      <c r="G95" s="93">
        <f t="shared" si="26"/>
        <v>100</v>
      </c>
      <c r="H95" s="64" t="str">
        <f t="shared" si="27"/>
        <v>Pass</v>
      </c>
      <c r="I95" s="90">
        <f t="shared" si="28"/>
        <v>9999</v>
      </c>
      <c r="J95" s="64" t="str">
        <f t="shared" si="29"/>
        <v>Pass</v>
      </c>
      <c r="K95" s="291"/>
      <c r="L95" s="291"/>
      <c r="Q95" s="244"/>
      <c r="R95" s="304">
        <f t="shared" si="36"/>
        <v>-1000000</v>
      </c>
      <c r="S95" s="304">
        <f t="shared" si="37"/>
        <v>1000000</v>
      </c>
      <c r="T95" s="304" t="str">
        <f t="shared" si="30"/>
        <v/>
      </c>
      <c r="U95" s="304">
        <f t="shared" si="31"/>
        <v>5</v>
      </c>
      <c r="V95" s="304">
        <f t="shared" si="35"/>
        <v>5</v>
      </c>
      <c r="W95" s="305">
        <f t="shared" si="32"/>
        <v>1</v>
      </c>
      <c r="X95" s="244"/>
    </row>
    <row r="96" spans="1:24" ht="13.5" x14ac:dyDescent="0.25">
      <c r="A96" s="9" t="s">
        <v>109</v>
      </c>
      <c r="B96" s="21">
        <v>29.8</v>
      </c>
      <c r="C96" s="55" t="s">
        <v>708</v>
      </c>
      <c r="D96" s="93">
        <f t="shared" si="23"/>
        <v>29.8</v>
      </c>
      <c r="E96" s="90">
        <f t="shared" si="24"/>
        <v>29.8</v>
      </c>
      <c r="F96" s="54">
        <f t="shared" si="25"/>
        <v>29.8</v>
      </c>
      <c r="G96" s="93">
        <f t="shared" si="26"/>
        <v>28.7</v>
      </c>
      <c r="H96" s="64" t="str">
        <f t="shared" si="27"/>
        <v>Pass</v>
      </c>
      <c r="I96" s="90">
        <f t="shared" si="28"/>
        <v>38.9</v>
      </c>
      <c r="J96" s="64" t="str">
        <f t="shared" si="29"/>
        <v>Pass</v>
      </c>
      <c r="K96" s="291"/>
      <c r="L96" s="291"/>
      <c r="Q96" s="244"/>
      <c r="R96" s="304">
        <f t="shared" si="36"/>
        <v>-1000000</v>
      </c>
      <c r="S96" s="304">
        <f t="shared" si="37"/>
        <v>1000000</v>
      </c>
      <c r="T96" s="304" t="str">
        <f t="shared" si="30"/>
        <v/>
      </c>
      <c r="U96" s="304">
        <f t="shared" si="31"/>
        <v>1</v>
      </c>
      <c r="V96" s="304">
        <f t="shared" si="35"/>
        <v>1</v>
      </c>
      <c r="W96" s="305">
        <f t="shared" si="32"/>
        <v>1</v>
      </c>
      <c r="X96" s="244"/>
    </row>
    <row r="97" spans="1:24" ht="13.5" x14ac:dyDescent="0.25">
      <c r="A97" s="9" t="s">
        <v>341</v>
      </c>
      <c r="B97" s="21">
        <v>101.8</v>
      </c>
      <c r="C97" s="55" t="s">
        <v>709</v>
      </c>
      <c r="D97" s="93">
        <f t="shared" si="23"/>
        <v>101.8</v>
      </c>
      <c r="E97" s="90">
        <f t="shared" si="24"/>
        <v>101.8</v>
      </c>
      <c r="F97" s="54">
        <f t="shared" si="25"/>
        <v>101.8</v>
      </c>
      <c r="G97" s="93">
        <f t="shared" si="26"/>
        <v>100</v>
      </c>
      <c r="H97" s="64" t="str">
        <f t="shared" si="27"/>
        <v>Pass</v>
      </c>
      <c r="I97" s="90">
        <f t="shared" si="28"/>
        <v>9999</v>
      </c>
      <c r="J97" s="64" t="str">
        <f t="shared" si="29"/>
        <v>Pass</v>
      </c>
      <c r="K97" s="291"/>
      <c r="L97" s="291"/>
      <c r="Q97" s="244"/>
      <c r="R97" s="304">
        <f t="shared" si="36"/>
        <v>-1000000</v>
      </c>
      <c r="S97" s="304">
        <f t="shared" si="37"/>
        <v>1000000</v>
      </c>
      <c r="T97" s="304" t="str">
        <f t="shared" si="30"/>
        <v/>
      </c>
      <c r="U97" s="304">
        <f t="shared" si="31"/>
        <v>5</v>
      </c>
      <c r="V97" s="304">
        <f t="shared" si="35"/>
        <v>5</v>
      </c>
      <c r="W97" s="305">
        <f t="shared" si="32"/>
        <v>1</v>
      </c>
      <c r="X97" s="244"/>
    </row>
    <row r="98" spans="1:24" ht="13.5" x14ac:dyDescent="0.25">
      <c r="A98" s="9" t="s">
        <v>110</v>
      </c>
      <c r="B98" s="21">
        <v>1</v>
      </c>
      <c r="C98" s="55" t="s">
        <v>701</v>
      </c>
      <c r="D98" s="93">
        <f t="shared" si="23"/>
        <v>1</v>
      </c>
      <c r="E98" s="90">
        <f t="shared" si="24"/>
        <v>1</v>
      </c>
      <c r="F98" s="54">
        <f t="shared" si="25"/>
        <v>1</v>
      </c>
      <c r="G98" s="93">
        <f t="shared" si="26"/>
        <v>1</v>
      </c>
      <c r="H98" s="64" t="str">
        <f t="shared" si="27"/>
        <v>Pass</v>
      </c>
      <c r="I98" s="90">
        <f t="shared" si="28"/>
        <v>1</v>
      </c>
      <c r="J98" s="64" t="str">
        <f t="shared" si="29"/>
        <v>Pass</v>
      </c>
      <c r="K98" s="291"/>
      <c r="L98" s="291"/>
      <c r="Q98" s="244"/>
      <c r="R98" s="304">
        <f t="shared" si="36"/>
        <v>-1000000</v>
      </c>
      <c r="S98" s="304">
        <f t="shared" si="37"/>
        <v>1000000</v>
      </c>
      <c r="T98" s="304" t="str">
        <f t="shared" si="30"/>
        <v/>
      </c>
      <c r="U98" s="304">
        <f t="shared" si="31"/>
        <v>5</v>
      </c>
      <c r="V98" s="304">
        <f t="shared" si="35"/>
        <v>5</v>
      </c>
      <c r="W98" s="305">
        <f t="shared" si="32"/>
        <v>0</v>
      </c>
      <c r="X98" s="244"/>
    </row>
    <row r="99" spans="1:24" ht="13.5" x14ac:dyDescent="0.25">
      <c r="A99" s="9" t="s">
        <v>687</v>
      </c>
      <c r="B99" s="21"/>
      <c r="C99" s="55"/>
      <c r="D99" s="93" t="str">
        <f t="shared" si="23"/>
        <v/>
      </c>
      <c r="E99" s="90" t="str">
        <f t="shared" si="24"/>
        <v/>
      </c>
      <c r="F99" s="54" t="str">
        <f t="shared" si="25"/>
        <v/>
      </c>
      <c r="G99" s="93" t="str">
        <f t="shared" si="26"/>
        <v/>
      </c>
      <c r="H99" s="64" t="str">
        <f t="shared" si="27"/>
        <v/>
      </c>
      <c r="I99" s="90" t="str">
        <f t="shared" si="28"/>
        <v/>
      </c>
      <c r="J99" s="64" t="str">
        <f t="shared" si="29"/>
        <v/>
      </c>
      <c r="K99" s="291"/>
      <c r="L99" s="291"/>
      <c r="Q99" s="244"/>
      <c r="R99" s="304">
        <f t="shared" si="36"/>
        <v>-1000000</v>
      </c>
      <c r="S99" s="304">
        <f t="shared" si="37"/>
        <v>1000000</v>
      </c>
      <c r="T99" s="304" t="e">
        <f t="shared" si="30"/>
        <v>#N/A</v>
      </c>
      <c r="U99" s="304">
        <f t="shared" si="31"/>
        <v>0</v>
      </c>
      <c r="V99" s="304">
        <f t="shared" si="35"/>
        <v>0</v>
      </c>
      <c r="W99" s="305" t="e">
        <f t="shared" si="32"/>
        <v>#N/A</v>
      </c>
      <c r="X99" s="244"/>
    </row>
    <row r="100" spans="1:24" ht="13.5" x14ac:dyDescent="0.25">
      <c r="A100" s="9" t="s">
        <v>619</v>
      </c>
      <c r="B100" s="21">
        <v>201.8</v>
      </c>
      <c r="C100" s="55" t="s">
        <v>702</v>
      </c>
      <c r="D100" s="93">
        <f t="shared" si="23"/>
        <v>201.8</v>
      </c>
      <c r="E100" s="90">
        <f t="shared" si="24"/>
        <v>201.8</v>
      </c>
      <c r="F100" s="54">
        <f t="shared" si="25"/>
        <v>201.8</v>
      </c>
      <c r="G100" s="93">
        <f t="shared" si="26"/>
        <v>0</v>
      </c>
      <c r="H100" s="64" t="str">
        <f t="shared" si="27"/>
        <v>Pass</v>
      </c>
      <c r="I100" s="90">
        <f t="shared" si="28"/>
        <v>1750</v>
      </c>
      <c r="J100" s="64" t="str">
        <f t="shared" si="29"/>
        <v>Pass</v>
      </c>
      <c r="K100" s="291"/>
      <c r="L100" s="291"/>
      <c r="Q100" s="244"/>
      <c r="R100" s="304">
        <f t="shared" si="36"/>
        <v>-1000000</v>
      </c>
      <c r="S100" s="304">
        <f t="shared" si="37"/>
        <v>1000000</v>
      </c>
      <c r="T100" s="304" t="str">
        <f t="shared" si="30"/>
        <v/>
      </c>
      <c r="U100" s="304">
        <f t="shared" si="31"/>
        <v>3</v>
      </c>
      <c r="V100" s="304">
        <f t="shared" si="35"/>
        <v>3</v>
      </c>
      <c r="W100" s="305">
        <f t="shared" si="32"/>
        <v>1</v>
      </c>
      <c r="X100" s="244"/>
    </row>
    <row r="101" spans="1:24" ht="13.5" x14ac:dyDescent="0.25">
      <c r="A101" s="9" t="s">
        <v>193</v>
      </c>
      <c r="B101" s="21">
        <v>402.8</v>
      </c>
      <c r="C101" s="55" t="s">
        <v>702</v>
      </c>
      <c r="D101" s="93">
        <f t="shared" si="23"/>
        <v>402.8</v>
      </c>
      <c r="E101" s="90">
        <f t="shared" si="24"/>
        <v>402.8</v>
      </c>
      <c r="F101" s="54">
        <f t="shared" si="25"/>
        <v>402.8</v>
      </c>
      <c r="G101" s="93">
        <f t="shared" si="26"/>
        <v>400</v>
      </c>
      <c r="H101" s="64" t="str">
        <f t="shared" si="27"/>
        <v>Pass</v>
      </c>
      <c r="I101" s="90">
        <f t="shared" si="28"/>
        <v>1750</v>
      </c>
      <c r="J101" s="64" t="str">
        <f t="shared" si="29"/>
        <v>Pass</v>
      </c>
      <c r="K101" s="291"/>
      <c r="L101" s="291"/>
      <c r="Q101" s="244"/>
      <c r="R101" s="304">
        <f t="shared" si="36"/>
        <v>-1000000</v>
      </c>
      <c r="S101" s="304">
        <f t="shared" si="37"/>
        <v>1000000</v>
      </c>
      <c r="T101" s="304" t="str">
        <f t="shared" si="30"/>
        <v/>
      </c>
      <c r="U101" s="304">
        <f t="shared" si="31"/>
        <v>5</v>
      </c>
      <c r="V101" s="304">
        <f t="shared" si="35"/>
        <v>5</v>
      </c>
      <c r="W101" s="305">
        <f t="shared" si="32"/>
        <v>1</v>
      </c>
      <c r="X101" s="244"/>
    </row>
    <row r="102" spans="1:24" ht="13.5" x14ac:dyDescent="0.25">
      <c r="A102" s="9" t="s">
        <v>434</v>
      </c>
      <c r="B102" s="21">
        <v>9999</v>
      </c>
      <c r="C102" s="55" t="s">
        <v>705</v>
      </c>
      <c r="D102" s="93">
        <f t="shared" si="23"/>
        <v>9999</v>
      </c>
      <c r="E102" s="90">
        <f t="shared" si="24"/>
        <v>9999</v>
      </c>
      <c r="F102" s="54">
        <f t="shared" si="25"/>
        <v>9999</v>
      </c>
      <c r="G102" s="93">
        <f t="shared" si="26"/>
        <v>10</v>
      </c>
      <c r="H102" s="64" t="str">
        <f t="shared" si="27"/>
        <v>Pass</v>
      </c>
      <c r="I102" s="90">
        <f t="shared" si="28"/>
        <v>9999</v>
      </c>
      <c r="J102" s="64" t="str">
        <f t="shared" si="29"/>
        <v>Pass</v>
      </c>
      <c r="K102" s="291"/>
      <c r="L102" s="291"/>
      <c r="Q102" s="244"/>
      <c r="R102" s="304">
        <f t="shared" si="36"/>
        <v>-1000000</v>
      </c>
      <c r="S102" s="304">
        <f t="shared" si="37"/>
        <v>1000000</v>
      </c>
      <c r="T102" s="304" t="str">
        <f t="shared" si="30"/>
        <v/>
      </c>
      <c r="U102" s="304">
        <f t="shared" si="31"/>
        <v>3</v>
      </c>
      <c r="V102" s="304">
        <f t="shared" si="35"/>
        <v>3</v>
      </c>
      <c r="W102" s="305">
        <f t="shared" si="32"/>
        <v>1</v>
      </c>
      <c r="X102" s="244"/>
    </row>
    <row r="103" spans="1:24" ht="13.5" x14ac:dyDescent="0.25">
      <c r="A103" s="9" t="s">
        <v>436</v>
      </c>
      <c r="B103" s="21">
        <v>60.9</v>
      </c>
      <c r="C103" s="55" t="s">
        <v>705</v>
      </c>
      <c r="D103" s="93">
        <f t="shared" si="23"/>
        <v>60.9</v>
      </c>
      <c r="E103" s="90">
        <f t="shared" si="24"/>
        <v>60.9</v>
      </c>
      <c r="F103" s="54">
        <f t="shared" si="25"/>
        <v>60.9</v>
      </c>
      <c r="G103" s="93">
        <f t="shared" si="26"/>
        <v>0</v>
      </c>
      <c r="H103" s="64" t="str">
        <f t="shared" si="27"/>
        <v>Pass</v>
      </c>
      <c r="I103" s="90">
        <f t="shared" si="28"/>
        <v>75</v>
      </c>
      <c r="J103" s="64" t="str">
        <f t="shared" si="29"/>
        <v>Pass</v>
      </c>
      <c r="K103" s="291"/>
      <c r="L103" s="291"/>
      <c r="Q103" s="244"/>
      <c r="R103" s="304">
        <f t="shared" si="36"/>
        <v>-1000000</v>
      </c>
      <c r="S103" s="304">
        <f t="shared" si="37"/>
        <v>1000000</v>
      </c>
      <c r="T103" s="304" t="str">
        <f t="shared" si="30"/>
        <v/>
      </c>
      <c r="U103" s="304">
        <f t="shared" si="31"/>
        <v>3</v>
      </c>
      <c r="V103" s="304">
        <f t="shared" si="35"/>
        <v>3</v>
      </c>
      <c r="W103" s="305">
        <f t="shared" si="32"/>
        <v>1</v>
      </c>
      <c r="X103" s="244"/>
    </row>
    <row r="104" spans="1:24" ht="13.5" x14ac:dyDescent="0.25">
      <c r="A104" s="9" t="s">
        <v>195</v>
      </c>
      <c r="B104" s="21">
        <v>53.2</v>
      </c>
      <c r="C104" s="55" t="s">
        <v>698</v>
      </c>
      <c r="D104" s="93">
        <f t="shared" si="23"/>
        <v>53.2</v>
      </c>
      <c r="E104" s="90">
        <f t="shared" si="24"/>
        <v>53.2</v>
      </c>
      <c r="F104" s="54">
        <f t="shared" si="25"/>
        <v>53.2</v>
      </c>
      <c r="G104" s="93">
        <f t="shared" si="26"/>
        <v>50</v>
      </c>
      <c r="H104" s="64" t="str">
        <f t="shared" si="27"/>
        <v>Pass</v>
      </c>
      <c r="I104" s="90">
        <f t="shared" si="28"/>
        <v>57</v>
      </c>
      <c r="J104" s="64" t="str">
        <f t="shared" si="29"/>
        <v>Pass</v>
      </c>
      <c r="K104" s="291"/>
      <c r="L104" s="291"/>
      <c r="Q104" s="244"/>
      <c r="R104" s="304">
        <f t="shared" si="36"/>
        <v>-1000000</v>
      </c>
      <c r="S104" s="304">
        <f t="shared" si="37"/>
        <v>1000000</v>
      </c>
      <c r="T104" s="304" t="str">
        <f t="shared" si="30"/>
        <v/>
      </c>
      <c r="U104" s="304">
        <f t="shared" si="31"/>
        <v>5</v>
      </c>
      <c r="V104" s="304">
        <f t="shared" si="35"/>
        <v>5</v>
      </c>
      <c r="W104" s="305">
        <f t="shared" si="32"/>
        <v>1</v>
      </c>
      <c r="X104" s="244"/>
    </row>
    <row r="105" spans="1:24" ht="13.5" x14ac:dyDescent="0.25">
      <c r="A105" s="9" t="s">
        <v>196</v>
      </c>
      <c r="B105" s="21">
        <v>700.3</v>
      </c>
      <c r="C105" s="55" t="s">
        <v>702</v>
      </c>
      <c r="D105" s="93">
        <f t="shared" ref="D105:D136" si="38">IF(C105="","",MIN(B105:B105))</f>
        <v>700.3</v>
      </c>
      <c r="E105" s="90">
        <f t="shared" ref="E105:E136" si="39">IF(C105="","",MAX(B105:B105))</f>
        <v>700.3</v>
      </c>
      <c r="F105" s="54">
        <f t="shared" ref="F105:F136" si="40">IF(C105="","",IF(C105="    N/A","",IF(COUNTIF(B105:B105,"&gt;-1")&gt;0,ROUND((SUM(B105:B105)+COUNTIF(B105:B105,-1))/COUNTIF(B105:B105,"&gt;-1"),W105),ROUND(AVERAGE(B105:B105),W105))))</f>
        <v>700.3</v>
      </c>
      <c r="G105" s="93">
        <f t="shared" ref="G105:G136" si="41">IF(F105="","",IF(VLOOKUP(A105,Test_Limits,2,FALSE)="","",VLOOKUP(A105,Test_Limits,2,FALSE)))</f>
        <v>400</v>
      </c>
      <c r="H105" s="64" t="str">
        <f t="shared" ref="H105:H136" si="42">IF(G105="","",IF(AND(D105&lt;G105,D105&lt;&gt;T105),IF(VLOOKUP(A105,Test_Limits,5,FALSE)="PF","Fail","Info"),"Pass"))</f>
        <v>Pass</v>
      </c>
      <c r="I105" s="90">
        <f t="shared" ref="I105:I136" si="43">IF(F105="","",IF(VLOOKUP(A105,Test_Limits,3,FALSE)="","",VLOOKUP(A105,Test_Limits,3,FALSE)))</f>
        <v>1750</v>
      </c>
      <c r="J105" s="64" t="str">
        <f t="shared" ref="J105:J136" si="44">IF(I105="","",IF(AND(E105&gt;I105,E105&lt;&gt;T105),IF(VLOOKUP(A105,Test_Limits,5,FALSE)="PF","Fail","Info"),"Pass"))</f>
        <v>Pass</v>
      </c>
      <c r="K105" s="291"/>
      <c r="L105" s="291"/>
      <c r="Q105" s="244"/>
      <c r="R105" s="304">
        <f t="shared" si="36"/>
        <v>-1000000</v>
      </c>
      <c r="S105" s="304">
        <f t="shared" si="37"/>
        <v>1000000</v>
      </c>
      <c r="T105" s="304" t="str">
        <f t="shared" ref="T105:T136" si="45">IF(VLOOKUP(A105,Test_Limits,7,FALSE)&lt;&gt;"",VLOOKUP(A105,Test_Limits,7,FALSE),"")</f>
        <v/>
      </c>
      <c r="U105" s="304">
        <f t="shared" ref="U105:U136" si="46">IF(F105="",0,VLOOKUP(A105,Test_Limits,8,FALSE))</f>
        <v>1</v>
      </c>
      <c r="V105" s="304">
        <f t="shared" si="35"/>
        <v>1</v>
      </c>
      <c r="W105" s="305">
        <f t="shared" ref="W105:W136" si="47">VLOOKUP(A105,Test_Limits,6,FALSE)</f>
        <v>1</v>
      </c>
      <c r="X105" s="244"/>
    </row>
    <row r="106" spans="1:24" ht="13.5" x14ac:dyDescent="0.25">
      <c r="A106" s="9" t="s">
        <v>332</v>
      </c>
      <c r="B106" s="21">
        <v>106.4</v>
      </c>
      <c r="C106" s="55" t="s">
        <v>709</v>
      </c>
      <c r="D106" s="93">
        <f t="shared" si="38"/>
        <v>106.4</v>
      </c>
      <c r="E106" s="90">
        <f t="shared" si="39"/>
        <v>106.4</v>
      </c>
      <c r="F106" s="54">
        <f t="shared" si="40"/>
        <v>106.4</v>
      </c>
      <c r="G106" s="93">
        <f t="shared" si="41"/>
        <v>92.4</v>
      </c>
      <c r="H106" s="64" t="str">
        <f t="shared" si="42"/>
        <v>Pass</v>
      </c>
      <c r="I106" s="90">
        <f t="shared" si="43"/>
        <v>115</v>
      </c>
      <c r="J106" s="64" t="str">
        <f t="shared" si="44"/>
        <v>Pass</v>
      </c>
      <c r="K106" s="291"/>
      <c r="L106" s="291"/>
      <c r="Q106" s="244"/>
      <c r="R106" s="304">
        <f t="shared" si="36"/>
        <v>-1000000</v>
      </c>
      <c r="S106" s="304">
        <f t="shared" si="37"/>
        <v>1000000</v>
      </c>
      <c r="T106" s="304" t="str">
        <f t="shared" si="45"/>
        <v/>
      </c>
      <c r="U106" s="304">
        <f t="shared" si="46"/>
        <v>3</v>
      </c>
      <c r="V106" s="304">
        <f t="shared" si="35"/>
        <v>3</v>
      </c>
      <c r="W106" s="305">
        <f t="shared" si="47"/>
        <v>1</v>
      </c>
      <c r="X106" s="244"/>
    </row>
    <row r="107" spans="1:24" ht="13.5" x14ac:dyDescent="0.25">
      <c r="A107" s="9" t="s">
        <v>620</v>
      </c>
      <c r="B107" s="21">
        <v>200.8</v>
      </c>
      <c r="C107" s="55" t="s">
        <v>702</v>
      </c>
      <c r="D107" s="93">
        <f t="shared" si="38"/>
        <v>200.8</v>
      </c>
      <c r="E107" s="90">
        <f t="shared" si="39"/>
        <v>200.8</v>
      </c>
      <c r="F107" s="54">
        <f t="shared" si="40"/>
        <v>200.8</v>
      </c>
      <c r="G107" s="93">
        <f t="shared" si="41"/>
        <v>0</v>
      </c>
      <c r="H107" s="64" t="str">
        <f t="shared" si="42"/>
        <v>Pass</v>
      </c>
      <c r="I107" s="90">
        <f t="shared" si="43"/>
        <v>1750</v>
      </c>
      <c r="J107" s="64" t="str">
        <f t="shared" si="44"/>
        <v>Pass</v>
      </c>
      <c r="K107" s="291"/>
      <c r="L107" s="291"/>
      <c r="Q107" s="244"/>
      <c r="R107" s="304">
        <f t="shared" si="36"/>
        <v>-1000000</v>
      </c>
      <c r="S107" s="304">
        <f t="shared" si="37"/>
        <v>1000000</v>
      </c>
      <c r="T107" s="304" t="str">
        <f t="shared" si="45"/>
        <v/>
      </c>
      <c r="U107" s="304">
        <f t="shared" si="46"/>
        <v>3</v>
      </c>
      <c r="V107" s="304">
        <f t="shared" si="35"/>
        <v>3</v>
      </c>
      <c r="W107" s="305">
        <f t="shared" si="47"/>
        <v>1</v>
      </c>
      <c r="X107" s="244"/>
    </row>
    <row r="108" spans="1:24" ht="13.5" x14ac:dyDescent="0.25">
      <c r="A108" s="9" t="s">
        <v>197</v>
      </c>
      <c r="B108" s="21">
        <v>686.8</v>
      </c>
      <c r="C108" s="55" t="s">
        <v>702</v>
      </c>
      <c r="D108" s="93">
        <f t="shared" si="38"/>
        <v>686.8</v>
      </c>
      <c r="E108" s="90">
        <f t="shared" si="39"/>
        <v>686.8</v>
      </c>
      <c r="F108" s="54">
        <f t="shared" si="40"/>
        <v>686.8</v>
      </c>
      <c r="G108" s="93">
        <f t="shared" si="41"/>
        <v>683</v>
      </c>
      <c r="H108" s="64" t="str">
        <f t="shared" si="42"/>
        <v>Pass</v>
      </c>
      <c r="I108" s="90">
        <f t="shared" si="43"/>
        <v>1750</v>
      </c>
      <c r="J108" s="64" t="str">
        <f t="shared" si="44"/>
        <v>Pass</v>
      </c>
      <c r="K108" s="291"/>
      <c r="L108" s="291"/>
      <c r="Q108" s="244"/>
      <c r="R108" s="304">
        <f t="shared" si="36"/>
        <v>-1000000</v>
      </c>
      <c r="S108" s="304">
        <f t="shared" si="37"/>
        <v>1000000</v>
      </c>
      <c r="T108" s="304" t="str">
        <f t="shared" si="45"/>
        <v/>
      </c>
      <c r="U108" s="304">
        <f t="shared" si="46"/>
        <v>5</v>
      </c>
      <c r="V108" s="304">
        <f t="shared" si="35"/>
        <v>5</v>
      </c>
      <c r="W108" s="305">
        <f t="shared" si="47"/>
        <v>1</v>
      </c>
      <c r="X108" s="244"/>
    </row>
    <row r="109" spans="1:24" ht="13.5" x14ac:dyDescent="0.25">
      <c r="A109" s="9" t="s">
        <v>435</v>
      </c>
      <c r="B109" s="21">
        <v>60.5</v>
      </c>
      <c r="C109" s="55" t="s">
        <v>705</v>
      </c>
      <c r="D109" s="93">
        <f t="shared" si="38"/>
        <v>60.5</v>
      </c>
      <c r="E109" s="90">
        <f t="shared" si="39"/>
        <v>60.5</v>
      </c>
      <c r="F109" s="54">
        <f t="shared" si="40"/>
        <v>60.5</v>
      </c>
      <c r="G109" s="93">
        <f t="shared" si="41"/>
        <v>10</v>
      </c>
      <c r="H109" s="64" t="str">
        <f t="shared" si="42"/>
        <v>Pass</v>
      </c>
      <c r="I109" s="90">
        <f t="shared" si="43"/>
        <v>9999</v>
      </c>
      <c r="J109" s="64" t="str">
        <f t="shared" si="44"/>
        <v>Pass</v>
      </c>
      <c r="K109" s="291"/>
      <c r="L109" s="291"/>
      <c r="Q109" s="244"/>
      <c r="R109" s="304">
        <f t="shared" si="36"/>
        <v>-1000000</v>
      </c>
      <c r="S109" s="304">
        <f t="shared" si="37"/>
        <v>1000000</v>
      </c>
      <c r="T109" s="304" t="str">
        <f t="shared" si="45"/>
        <v/>
      </c>
      <c r="U109" s="304">
        <f t="shared" si="46"/>
        <v>3</v>
      </c>
      <c r="V109" s="304">
        <f t="shared" si="35"/>
        <v>3</v>
      </c>
      <c r="W109" s="305">
        <f t="shared" si="47"/>
        <v>1</v>
      </c>
      <c r="X109" s="244"/>
    </row>
    <row r="110" spans="1:24" ht="13.5" x14ac:dyDescent="0.25">
      <c r="A110" s="9" t="s">
        <v>437</v>
      </c>
      <c r="B110" s="21">
        <v>61.3</v>
      </c>
      <c r="C110" s="55" t="s">
        <v>705</v>
      </c>
      <c r="D110" s="93">
        <f t="shared" si="38"/>
        <v>61.3</v>
      </c>
      <c r="E110" s="90">
        <f t="shared" si="39"/>
        <v>61.3</v>
      </c>
      <c r="F110" s="54">
        <f t="shared" si="40"/>
        <v>61.3</v>
      </c>
      <c r="G110" s="93">
        <f t="shared" si="41"/>
        <v>0</v>
      </c>
      <c r="H110" s="64" t="str">
        <f t="shared" si="42"/>
        <v>Pass</v>
      </c>
      <c r="I110" s="90">
        <f t="shared" si="43"/>
        <v>75</v>
      </c>
      <c r="J110" s="64" t="str">
        <f t="shared" si="44"/>
        <v>Pass</v>
      </c>
      <c r="K110" s="291"/>
      <c r="L110" s="291"/>
      <c r="Q110" s="244"/>
      <c r="R110" s="304">
        <f t="shared" si="36"/>
        <v>-1000000</v>
      </c>
      <c r="S110" s="304">
        <f t="shared" si="37"/>
        <v>1000000</v>
      </c>
      <c r="T110" s="304" t="str">
        <f t="shared" si="45"/>
        <v/>
      </c>
      <c r="U110" s="304">
        <f t="shared" si="46"/>
        <v>3</v>
      </c>
      <c r="V110" s="304">
        <f t="shared" si="35"/>
        <v>3</v>
      </c>
      <c r="W110" s="305">
        <f t="shared" si="47"/>
        <v>1</v>
      </c>
      <c r="X110" s="244"/>
    </row>
    <row r="111" spans="1:24" ht="13.5" x14ac:dyDescent="0.25">
      <c r="A111" s="9" t="s">
        <v>199</v>
      </c>
      <c r="B111" s="21">
        <v>52.7</v>
      </c>
      <c r="C111" s="55" t="s">
        <v>698</v>
      </c>
      <c r="D111" s="93">
        <f t="shared" si="38"/>
        <v>52.7</v>
      </c>
      <c r="E111" s="90">
        <f t="shared" si="39"/>
        <v>52.7</v>
      </c>
      <c r="F111" s="54">
        <f t="shared" si="40"/>
        <v>52.7</v>
      </c>
      <c r="G111" s="93">
        <f t="shared" si="41"/>
        <v>50</v>
      </c>
      <c r="H111" s="64" t="str">
        <f t="shared" si="42"/>
        <v>Pass</v>
      </c>
      <c r="I111" s="90">
        <f t="shared" si="43"/>
        <v>57</v>
      </c>
      <c r="J111" s="64" t="str">
        <f t="shared" si="44"/>
        <v>Pass</v>
      </c>
      <c r="K111" s="291"/>
      <c r="L111" s="291"/>
      <c r="Q111" s="244"/>
      <c r="R111" s="304">
        <f t="shared" si="36"/>
        <v>-1000000</v>
      </c>
      <c r="S111" s="304">
        <f t="shared" si="37"/>
        <v>1000000</v>
      </c>
      <c r="T111" s="304" t="str">
        <f t="shared" si="45"/>
        <v/>
      </c>
      <c r="U111" s="304">
        <f t="shared" si="46"/>
        <v>5</v>
      </c>
      <c r="V111" s="304">
        <f t="shared" si="35"/>
        <v>5</v>
      </c>
      <c r="W111" s="305">
        <f t="shared" si="47"/>
        <v>1</v>
      </c>
      <c r="X111" s="244"/>
    </row>
    <row r="112" spans="1:24" ht="13.5" x14ac:dyDescent="0.25">
      <c r="A112" s="9" t="s">
        <v>200</v>
      </c>
      <c r="B112" s="21">
        <v>950.3</v>
      </c>
      <c r="C112" s="55" t="s">
        <v>702</v>
      </c>
      <c r="D112" s="93">
        <f t="shared" si="38"/>
        <v>950.3</v>
      </c>
      <c r="E112" s="90">
        <f t="shared" si="39"/>
        <v>950.3</v>
      </c>
      <c r="F112" s="54">
        <f t="shared" si="40"/>
        <v>950.3</v>
      </c>
      <c r="G112" s="93">
        <f t="shared" si="41"/>
        <v>683</v>
      </c>
      <c r="H112" s="64" t="str">
        <f t="shared" si="42"/>
        <v>Pass</v>
      </c>
      <c r="I112" s="90">
        <f t="shared" si="43"/>
        <v>1750</v>
      </c>
      <c r="J112" s="64" t="str">
        <f t="shared" si="44"/>
        <v>Pass</v>
      </c>
      <c r="K112" s="291"/>
      <c r="L112" s="291"/>
      <c r="Q112" s="244"/>
      <c r="R112" s="304">
        <f t="shared" si="36"/>
        <v>-1000000</v>
      </c>
      <c r="S112" s="304">
        <f t="shared" si="37"/>
        <v>1000000</v>
      </c>
      <c r="T112" s="304" t="str">
        <f t="shared" si="45"/>
        <v/>
      </c>
      <c r="U112" s="304">
        <f t="shared" si="46"/>
        <v>1</v>
      </c>
      <c r="V112" s="304">
        <f t="shared" si="35"/>
        <v>1</v>
      </c>
      <c r="W112" s="305">
        <f t="shared" si="47"/>
        <v>1</v>
      </c>
      <c r="X112" s="244"/>
    </row>
    <row r="113" spans="1:24" ht="13.5" x14ac:dyDescent="0.25">
      <c r="A113" s="9" t="s">
        <v>333</v>
      </c>
      <c r="B113" s="21">
        <v>105.4</v>
      </c>
      <c r="C113" s="55" t="s">
        <v>709</v>
      </c>
      <c r="D113" s="93">
        <f t="shared" si="38"/>
        <v>105.4</v>
      </c>
      <c r="E113" s="90">
        <f t="shared" si="39"/>
        <v>105.4</v>
      </c>
      <c r="F113" s="54">
        <f t="shared" si="40"/>
        <v>105.4</v>
      </c>
      <c r="G113" s="93">
        <f t="shared" si="41"/>
        <v>92.4</v>
      </c>
      <c r="H113" s="64" t="str">
        <f t="shared" si="42"/>
        <v>Pass</v>
      </c>
      <c r="I113" s="90">
        <f t="shared" si="43"/>
        <v>115</v>
      </c>
      <c r="J113" s="64" t="str">
        <f t="shared" si="44"/>
        <v>Pass</v>
      </c>
      <c r="K113" s="291"/>
      <c r="L113" s="291"/>
      <c r="Q113" s="244"/>
      <c r="R113" s="304">
        <f t="shared" si="36"/>
        <v>-1000000</v>
      </c>
      <c r="S113" s="304">
        <f t="shared" si="37"/>
        <v>1000000</v>
      </c>
      <c r="T113" s="304" t="str">
        <f t="shared" si="45"/>
        <v/>
      </c>
      <c r="U113" s="304">
        <f t="shared" si="46"/>
        <v>3</v>
      </c>
      <c r="V113" s="304">
        <f t="shared" si="35"/>
        <v>3</v>
      </c>
      <c r="W113" s="305">
        <f t="shared" si="47"/>
        <v>1</v>
      </c>
      <c r="X113" s="244"/>
    </row>
    <row r="114" spans="1:24" ht="13.5" x14ac:dyDescent="0.25">
      <c r="A114" s="9" t="s">
        <v>688</v>
      </c>
      <c r="B114" s="21"/>
      <c r="C114" s="55"/>
      <c r="D114" s="93" t="str">
        <f t="shared" si="38"/>
        <v/>
      </c>
      <c r="E114" s="90" t="str">
        <f t="shared" si="39"/>
        <v/>
      </c>
      <c r="F114" s="54" t="str">
        <f t="shared" si="40"/>
        <v/>
      </c>
      <c r="G114" s="93" t="str">
        <f t="shared" si="41"/>
        <v/>
      </c>
      <c r="H114" s="64" t="str">
        <f t="shared" si="42"/>
        <v/>
      </c>
      <c r="I114" s="90" t="str">
        <f t="shared" si="43"/>
        <v/>
      </c>
      <c r="J114" s="64" t="str">
        <f t="shared" si="44"/>
        <v/>
      </c>
      <c r="K114" s="291"/>
      <c r="L114" s="291"/>
      <c r="Q114" s="244"/>
      <c r="R114" s="304">
        <f t="shared" si="36"/>
        <v>-1000000</v>
      </c>
      <c r="S114" s="304">
        <f t="shared" si="37"/>
        <v>1000000</v>
      </c>
      <c r="T114" s="304" t="e">
        <f t="shared" si="45"/>
        <v>#N/A</v>
      </c>
      <c r="U114" s="304">
        <f t="shared" si="46"/>
        <v>0</v>
      </c>
      <c r="V114" s="304">
        <f t="shared" si="35"/>
        <v>0</v>
      </c>
      <c r="W114" s="305" t="e">
        <f t="shared" si="47"/>
        <v>#N/A</v>
      </c>
      <c r="X114" s="244"/>
    </row>
    <row r="115" spans="1:24" ht="13.5" x14ac:dyDescent="0.25">
      <c r="A115" s="9" t="s">
        <v>203</v>
      </c>
      <c r="B115" s="21">
        <v>125</v>
      </c>
      <c r="C115" s="55" t="s">
        <v>709</v>
      </c>
      <c r="D115" s="93">
        <f t="shared" si="38"/>
        <v>125</v>
      </c>
      <c r="E115" s="90">
        <f t="shared" si="39"/>
        <v>125</v>
      </c>
      <c r="F115" s="54">
        <f t="shared" si="40"/>
        <v>125</v>
      </c>
      <c r="G115" s="93">
        <f t="shared" si="41"/>
        <v>100</v>
      </c>
      <c r="H115" s="64" t="str">
        <f t="shared" si="42"/>
        <v>Pass</v>
      </c>
      <c r="I115" s="90">
        <f t="shared" si="43"/>
        <v>125</v>
      </c>
      <c r="J115" s="64" t="str">
        <f t="shared" si="44"/>
        <v>Pass</v>
      </c>
      <c r="K115" s="291"/>
      <c r="L115" s="291"/>
      <c r="Q115" s="244"/>
      <c r="R115" s="304">
        <f t="shared" si="36"/>
        <v>-1000000</v>
      </c>
      <c r="S115" s="304">
        <f t="shared" si="37"/>
        <v>1000000</v>
      </c>
      <c r="T115" s="304" t="str">
        <f t="shared" si="45"/>
        <v/>
      </c>
      <c r="U115" s="304">
        <f t="shared" si="46"/>
        <v>5</v>
      </c>
      <c r="V115" s="304">
        <f t="shared" si="35"/>
        <v>5</v>
      </c>
      <c r="W115" s="305">
        <f t="shared" si="47"/>
        <v>1</v>
      </c>
      <c r="X115" s="244"/>
    </row>
    <row r="116" spans="1:24" ht="13.5" x14ac:dyDescent="0.25">
      <c r="A116" s="9" t="s">
        <v>204</v>
      </c>
      <c r="B116" s="21">
        <v>53.4</v>
      </c>
      <c r="C116" s="55" t="s">
        <v>698</v>
      </c>
      <c r="D116" s="93">
        <f t="shared" si="38"/>
        <v>53.4</v>
      </c>
      <c r="E116" s="90">
        <f t="shared" si="39"/>
        <v>53.4</v>
      </c>
      <c r="F116" s="54">
        <f t="shared" si="40"/>
        <v>53.4</v>
      </c>
      <c r="G116" s="93">
        <f t="shared" si="41"/>
        <v>50</v>
      </c>
      <c r="H116" s="64" t="str">
        <f t="shared" si="42"/>
        <v>Pass</v>
      </c>
      <c r="I116" s="90">
        <f t="shared" si="43"/>
        <v>57</v>
      </c>
      <c r="J116" s="64" t="str">
        <f t="shared" si="44"/>
        <v>Pass</v>
      </c>
      <c r="K116" s="291"/>
      <c r="L116" s="291"/>
      <c r="Q116" s="244"/>
      <c r="R116" s="304">
        <f t="shared" si="36"/>
        <v>-1000000</v>
      </c>
      <c r="S116" s="304">
        <f t="shared" si="37"/>
        <v>1000000</v>
      </c>
      <c r="T116" s="304" t="str">
        <f t="shared" si="45"/>
        <v/>
      </c>
      <c r="U116" s="304">
        <f t="shared" si="46"/>
        <v>5</v>
      </c>
      <c r="V116" s="304">
        <f t="shared" si="35"/>
        <v>5</v>
      </c>
      <c r="W116" s="305">
        <f t="shared" si="47"/>
        <v>1</v>
      </c>
      <c r="X116" s="244"/>
    </row>
    <row r="117" spans="1:24" ht="13.5" x14ac:dyDescent="0.25">
      <c r="A117" s="9" t="s">
        <v>205</v>
      </c>
      <c r="B117" s="21">
        <v>53.4</v>
      </c>
      <c r="C117" s="55" t="s">
        <v>698</v>
      </c>
      <c r="D117" s="93">
        <f t="shared" si="38"/>
        <v>53.4</v>
      </c>
      <c r="E117" s="90">
        <f t="shared" si="39"/>
        <v>53.4</v>
      </c>
      <c r="F117" s="54">
        <f t="shared" si="40"/>
        <v>53.4</v>
      </c>
      <c r="G117" s="93">
        <f t="shared" si="41"/>
        <v>50</v>
      </c>
      <c r="H117" s="64" t="str">
        <f t="shared" si="42"/>
        <v>Pass</v>
      </c>
      <c r="I117" s="90">
        <f t="shared" si="43"/>
        <v>57</v>
      </c>
      <c r="J117" s="64" t="str">
        <f t="shared" si="44"/>
        <v>Pass</v>
      </c>
      <c r="K117" s="291"/>
      <c r="L117" s="291"/>
      <c r="Q117" s="244"/>
      <c r="R117" s="304">
        <f t="shared" si="36"/>
        <v>-1000000</v>
      </c>
      <c r="S117" s="304">
        <f t="shared" si="37"/>
        <v>1000000</v>
      </c>
      <c r="T117" s="304" t="str">
        <f t="shared" si="45"/>
        <v/>
      </c>
      <c r="U117" s="304">
        <f t="shared" si="46"/>
        <v>5</v>
      </c>
      <c r="V117" s="304">
        <f t="shared" si="35"/>
        <v>5</v>
      </c>
      <c r="W117" s="305">
        <f t="shared" si="47"/>
        <v>1</v>
      </c>
      <c r="X117" s="244"/>
    </row>
    <row r="118" spans="1:24" ht="13.5" x14ac:dyDescent="0.25">
      <c r="A118" s="9" t="s">
        <v>206</v>
      </c>
      <c r="B118" s="21">
        <v>125</v>
      </c>
      <c r="C118" s="55" t="s">
        <v>709</v>
      </c>
      <c r="D118" s="93">
        <f t="shared" si="38"/>
        <v>125</v>
      </c>
      <c r="E118" s="90">
        <f t="shared" si="39"/>
        <v>125</v>
      </c>
      <c r="F118" s="54">
        <f t="shared" si="40"/>
        <v>125</v>
      </c>
      <c r="G118" s="93">
        <f t="shared" si="41"/>
        <v>100</v>
      </c>
      <c r="H118" s="64" t="str">
        <f t="shared" si="42"/>
        <v>Pass</v>
      </c>
      <c r="I118" s="90">
        <f t="shared" si="43"/>
        <v>125</v>
      </c>
      <c r="J118" s="64" t="str">
        <f t="shared" si="44"/>
        <v>Pass</v>
      </c>
      <c r="K118" s="291"/>
      <c r="L118" s="291"/>
      <c r="Q118" s="244"/>
      <c r="R118" s="304">
        <f t="shared" si="36"/>
        <v>-1000000</v>
      </c>
      <c r="S118" s="304">
        <f t="shared" si="37"/>
        <v>1000000</v>
      </c>
      <c r="T118" s="304" t="str">
        <f t="shared" si="45"/>
        <v/>
      </c>
      <c r="U118" s="304">
        <f t="shared" si="46"/>
        <v>5</v>
      </c>
      <c r="V118" s="304">
        <f t="shared" si="35"/>
        <v>5</v>
      </c>
      <c r="W118" s="305">
        <f t="shared" si="47"/>
        <v>1</v>
      </c>
      <c r="X118" s="244"/>
    </row>
    <row r="119" spans="1:24" ht="13.5" x14ac:dyDescent="0.25">
      <c r="A119" s="9" t="s">
        <v>207</v>
      </c>
      <c r="B119" s="21">
        <v>52.8</v>
      </c>
      <c r="C119" s="55" t="s">
        <v>698</v>
      </c>
      <c r="D119" s="93">
        <f t="shared" si="38"/>
        <v>52.8</v>
      </c>
      <c r="E119" s="90">
        <f t="shared" si="39"/>
        <v>52.8</v>
      </c>
      <c r="F119" s="54">
        <f t="shared" si="40"/>
        <v>52.8</v>
      </c>
      <c r="G119" s="93">
        <f t="shared" si="41"/>
        <v>50</v>
      </c>
      <c r="H119" s="64" t="str">
        <f t="shared" si="42"/>
        <v>Pass</v>
      </c>
      <c r="I119" s="90">
        <f t="shared" si="43"/>
        <v>57</v>
      </c>
      <c r="J119" s="64" t="str">
        <f t="shared" si="44"/>
        <v>Pass</v>
      </c>
      <c r="K119" s="291"/>
      <c r="L119" s="291"/>
      <c r="Q119" s="244"/>
      <c r="R119" s="304">
        <f t="shared" si="36"/>
        <v>-1000000</v>
      </c>
      <c r="S119" s="304">
        <f t="shared" si="37"/>
        <v>1000000</v>
      </c>
      <c r="T119" s="304" t="str">
        <f t="shared" si="45"/>
        <v/>
      </c>
      <c r="U119" s="304">
        <f t="shared" si="46"/>
        <v>5</v>
      </c>
      <c r="V119" s="304">
        <f t="shared" si="35"/>
        <v>5</v>
      </c>
      <c r="W119" s="305">
        <f t="shared" si="47"/>
        <v>1</v>
      </c>
      <c r="X119" s="244"/>
    </row>
    <row r="120" spans="1:24" ht="13.5" x14ac:dyDescent="0.25">
      <c r="A120" s="9" t="s">
        <v>208</v>
      </c>
      <c r="B120" s="21">
        <v>52.8</v>
      </c>
      <c r="C120" s="55" t="s">
        <v>698</v>
      </c>
      <c r="D120" s="93">
        <f t="shared" si="38"/>
        <v>52.8</v>
      </c>
      <c r="E120" s="90">
        <f t="shared" si="39"/>
        <v>52.8</v>
      </c>
      <c r="F120" s="54">
        <f t="shared" si="40"/>
        <v>52.8</v>
      </c>
      <c r="G120" s="93">
        <f t="shared" si="41"/>
        <v>50</v>
      </c>
      <c r="H120" s="64" t="str">
        <f t="shared" si="42"/>
        <v>Pass</v>
      </c>
      <c r="I120" s="90">
        <f t="shared" si="43"/>
        <v>57</v>
      </c>
      <c r="J120" s="64" t="str">
        <f t="shared" si="44"/>
        <v>Pass</v>
      </c>
      <c r="K120" s="291"/>
      <c r="L120" s="291"/>
      <c r="Q120" s="244"/>
      <c r="R120" s="304">
        <f>IF(H120="Info",G120,IF(J120="Info",G120,-1000000))</f>
        <v>-1000000</v>
      </c>
      <c r="S120" s="304">
        <f>IF(H120="Info",I120,IF(J120="Info",I120,1000000))</f>
        <v>1000000</v>
      </c>
      <c r="T120" s="304" t="str">
        <f t="shared" si="45"/>
        <v/>
      </c>
      <c r="U120" s="304">
        <f t="shared" si="46"/>
        <v>5</v>
      </c>
      <c r="V120" s="304">
        <f>IF(H120="Pass",IF(J120="Pass",U120,0),0)</f>
        <v>5</v>
      </c>
      <c r="W120" s="305">
        <f t="shared" si="47"/>
        <v>1</v>
      </c>
      <c r="X120" s="244"/>
    </row>
    <row r="121" spans="1:24" ht="13.5" x14ac:dyDescent="0.25">
      <c r="A121" s="9" t="s">
        <v>689</v>
      </c>
      <c r="B121" s="21"/>
      <c r="C121" s="55"/>
      <c r="D121" s="93" t="str">
        <f t="shared" si="38"/>
        <v/>
      </c>
      <c r="E121" s="90" t="str">
        <f t="shared" si="39"/>
        <v/>
      </c>
      <c r="F121" s="54" t="str">
        <f t="shared" si="40"/>
        <v/>
      </c>
      <c r="G121" s="93" t="str">
        <f t="shared" si="41"/>
        <v/>
      </c>
      <c r="H121" s="64" t="str">
        <f t="shared" si="42"/>
        <v/>
      </c>
      <c r="I121" s="90" t="str">
        <f t="shared" si="43"/>
        <v/>
      </c>
      <c r="J121" s="64" t="str">
        <f t="shared" si="44"/>
        <v/>
      </c>
      <c r="K121" s="291"/>
      <c r="L121" s="291"/>
      <c r="Q121" s="244"/>
      <c r="R121" s="304">
        <f>IF(H121="Info",G121,IF(J121="Info",G121,-1000000))</f>
        <v>-1000000</v>
      </c>
      <c r="S121" s="304">
        <f>IF(H121="Info",I121,IF(J121="Info",I121,1000000))</f>
        <v>1000000</v>
      </c>
      <c r="T121" s="304" t="e">
        <f t="shared" si="45"/>
        <v>#N/A</v>
      </c>
      <c r="U121" s="304">
        <f t="shared" si="46"/>
        <v>0</v>
      </c>
      <c r="V121" s="304">
        <f>IF(H121="Pass",IF(J121="Pass",U121,0),0)</f>
        <v>0</v>
      </c>
      <c r="W121" s="305" t="e">
        <f t="shared" si="47"/>
        <v>#N/A</v>
      </c>
      <c r="X121" s="244"/>
    </row>
    <row r="122" spans="1:24" ht="13.5" x14ac:dyDescent="0.25">
      <c r="A122" s="9" t="s">
        <v>301</v>
      </c>
      <c r="B122" s="21">
        <v>4</v>
      </c>
      <c r="C122" s="55" t="s">
        <v>705</v>
      </c>
      <c r="D122" s="93">
        <f t="shared" si="38"/>
        <v>4</v>
      </c>
      <c r="E122" s="90">
        <f t="shared" si="39"/>
        <v>4</v>
      </c>
      <c r="F122" s="54">
        <f t="shared" si="40"/>
        <v>4</v>
      </c>
      <c r="G122" s="93">
        <f t="shared" si="41"/>
        <v>1</v>
      </c>
      <c r="H122" s="64" t="str">
        <f t="shared" si="42"/>
        <v>Pass</v>
      </c>
      <c r="I122" s="90">
        <f t="shared" si="43"/>
        <v>6</v>
      </c>
      <c r="J122" s="64" t="str">
        <f t="shared" si="44"/>
        <v>Pass</v>
      </c>
      <c r="K122" s="291"/>
      <c r="L122" s="291"/>
      <c r="Q122" s="244"/>
      <c r="R122" s="304">
        <f t="shared" ref="R122:R135" si="48">IF(H122="Info",G122,IF(J122="Info",G122,-1000000))</f>
        <v>-1000000</v>
      </c>
      <c r="S122" s="304">
        <f t="shared" ref="S122:S135" si="49">IF(H122="Info",I122,IF(J122="Info",I122,1000000))</f>
        <v>1000000</v>
      </c>
      <c r="T122" s="304" t="str">
        <f t="shared" si="45"/>
        <v/>
      </c>
      <c r="U122" s="304">
        <f t="shared" si="46"/>
        <v>5</v>
      </c>
      <c r="V122" s="304">
        <f t="shared" ref="V122:V135" si="50">IF(H122="Pass",IF(J122="Pass",U122,0),0)</f>
        <v>5</v>
      </c>
      <c r="W122" s="305">
        <f t="shared" si="47"/>
        <v>1</v>
      </c>
      <c r="X122" s="244"/>
    </row>
    <row r="123" spans="1:24" ht="13.5" x14ac:dyDescent="0.25">
      <c r="A123" s="9" t="s">
        <v>23</v>
      </c>
      <c r="B123" s="21">
        <v>1</v>
      </c>
      <c r="C123" s="55" t="s">
        <v>701</v>
      </c>
      <c r="D123" s="93">
        <f t="shared" si="38"/>
        <v>1</v>
      </c>
      <c r="E123" s="90">
        <f t="shared" si="39"/>
        <v>1</v>
      </c>
      <c r="F123" s="54">
        <f t="shared" si="40"/>
        <v>1</v>
      </c>
      <c r="G123" s="93">
        <f t="shared" si="41"/>
        <v>1</v>
      </c>
      <c r="H123" s="64" t="str">
        <f t="shared" si="42"/>
        <v>Pass</v>
      </c>
      <c r="I123" s="90">
        <f t="shared" si="43"/>
        <v>1</v>
      </c>
      <c r="J123" s="64" t="str">
        <f t="shared" si="44"/>
        <v>Pass</v>
      </c>
      <c r="K123" s="291"/>
      <c r="L123" s="291"/>
      <c r="Q123" s="244"/>
      <c r="R123" s="304">
        <f t="shared" si="48"/>
        <v>-1000000</v>
      </c>
      <c r="S123" s="304">
        <f t="shared" si="49"/>
        <v>1000000</v>
      </c>
      <c r="T123" s="304" t="str">
        <f t="shared" si="45"/>
        <v/>
      </c>
      <c r="U123" s="304">
        <f t="shared" si="46"/>
        <v>5</v>
      </c>
      <c r="V123" s="304">
        <f t="shared" si="50"/>
        <v>5</v>
      </c>
      <c r="W123" s="305">
        <f t="shared" si="47"/>
        <v>0</v>
      </c>
      <c r="X123" s="244"/>
    </row>
    <row r="124" spans="1:24" ht="13.5" x14ac:dyDescent="0.25">
      <c r="A124" s="9" t="s">
        <v>690</v>
      </c>
      <c r="B124" s="21"/>
      <c r="C124" s="55"/>
      <c r="D124" s="93" t="str">
        <f t="shared" si="38"/>
        <v/>
      </c>
      <c r="E124" s="90" t="str">
        <f t="shared" si="39"/>
        <v/>
      </c>
      <c r="F124" s="54" t="str">
        <f t="shared" si="40"/>
        <v/>
      </c>
      <c r="G124" s="93" t="str">
        <f t="shared" si="41"/>
        <v/>
      </c>
      <c r="H124" s="64" t="str">
        <f t="shared" si="42"/>
        <v/>
      </c>
      <c r="I124" s="90" t="str">
        <f t="shared" si="43"/>
        <v/>
      </c>
      <c r="J124" s="64" t="str">
        <f t="shared" si="44"/>
        <v/>
      </c>
      <c r="K124" s="291"/>
      <c r="L124" s="291"/>
      <c r="Q124" s="244"/>
      <c r="R124" s="304">
        <f t="shared" si="48"/>
        <v>-1000000</v>
      </c>
      <c r="S124" s="304">
        <f t="shared" si="49"/>
        <v>1000000</v>
      </c>
      <c r="T124" s="304" t="e">
        <f t="shared" si="45"/>
        <v>#N/A</v>
      </c>
      <c r="U124" s="304">
        <f t="shared" si="46"/>
        <v>0</v>
      </c>
      <c r="V124" s="304">
        <f t="shared" si="50"/>
        <v>0</v>
      </c>
      <c r="W124" s="305" t="e">
        <f t="shared" si="47"/>
        <v>#N/A</v>
      </c>
      <c r="X124" s="244"/>
    </row>
    <row r="125" spans="1:24" ht="13.5" x14ac:dyDescent="0.25">
      <c r="A125" s="9" t="s">
        <v>24</v>
      </c>
      <c r="B125" s="21">
        <v>7</v>
      </c>
      <c r="C125" s="55" t="s">
        <v>702</v>
      </c>
      <c r="D125" s="93">
        <f t="shared" si="38"/>
        <v>7</v>
      </c>
      <c r="E125" s="90">
        <f t="shared" si="39"/>
        <v>7</v>
      </c>
      <c r="F125" s="54">
        <f t="shared" si="40"/>
        <v>7</v>
      </c>
      <c r="G125" s="93">
        <f t="shared" si="41"/>
        <v>4</v>
      </c>
      <c r="H125" s="64" t="str">
        <f t="shared" si="42"/>
        <v>Pass</v>
      </c>
      <c r="I125" s="90">
        <f t="shared" si="43"/>
        <v>9</v>
      </c>
      <c r="J125" s="64" t="str">
        <f t="shared" si="44"/>
        <v>Pass</v>
      </c>
      <c r="K125" s="291"/>
      <c r="L125" s="291"/>
      <c r="Q125" s="244"/>
      <c r="R125" s="304">
        <f t="shared" si="48"/>
        <v>-1000000</v>
      </c>
      <c r="S125" s="304">
        <f t="shared" si="49"/>
        <v>1000000</v>
      </c>
      <c r="T125" s="304" t="str">
        <f t="shared" si="45"/>
        <v/>
      </c>
      <c r="U125" s="304">
        <f t="shared" si="46"/>
        <v>5</v>
      </c>
      <c r="V125" s="304">
        <f t="shared" si="50"/>
        <v>5</v>
      </c>
      <c r="W125" s="305">
        <f t="shared" si="47"/>
        <v>1</v>
      </c>
      <c r="X125" s="244"/>
    </row>
    <row r="126" spans="1:24" ht="13.5" x14ac:dyDescent="0.25">
      <c r="A126" s="9" t="s">
        <v>302</v>
      </c>
      <c r="B126" s="21">
        <v>361</v>
      </c>
      <c r="C126" s="55" t="s">
        <v>705</v>
      </c>
      <c r="D126" s="93">
        <f t="shared" si="38"/>
        <v>361</v>
      </c>
      <c r="E126" s="90">
        <f t="shared" si="39"/>
        <v>361</v>
      </c>
      <c r="F126" s="54">
        <f t="shared" si="40"/>
        <v>361</v>
      </c>
      <c r="G126" s="93">
        <f t="shared" si="41"/>
        <v>320</v>
      </c>
      <c r="H126" s="64" t="str">
        <f t="shared" si="42"/>
        <v>Pass</v>
      </c>
      <c r="I126" s="90">
        <f t="shared" si="43"/>
        <v>400</v>
      </c>
      <c r="J126" s="64" t="str">
        <f t="shared" si="44"/>
        <v>Pass</v>
      </c>
      <c r="K126" s="291"/>
      <c r="L126" s="291"/>
      <c r="Q126" s="244"/>
      <c r="R126" s="304">
        <f t="shared" si="48"/>
        <v>-1000000</v>
      </c>
      <c r="S126" s="304">
        <f t="shared" si="49"/>
        <v>1000000</v>
      </c>
      <c r="T126" s="304" t="str">
        <f t="shared" si="45"/>
        <v/>
      </c>
      <c r="U126" s="304">
        <f t="shared" si="46"/>
        <v>1</v>
      </c>
      <c r="V126" s="304">
        <f t="shared" si="50"/>
        <v>1</v>
      </c>
      <c r="W126" s="305">
        <f t="shared" si="47"/>
        <v>0</v>
      </c>
      <c r="X126" s="244"/>
    </row>
    <row r="127" spans="1:24" ht="13.5" x14ac:dyDescent="0.25">
      <c r="A127" s="9" t="s">
        <v>691</v>
      </c>
      <c r="B127" s="21"/>
      <c r="C127" s="55"/>
      <c r="D127" s="93" t="str">
        <f t="shared" si="38"/>
        <v/>
      </c>
      <c r="E127" s="90" t="str">
        <f t="shared" si="39"/>
        <v/>
      </c>
      <c r="F127" s="54" t="str">
        <f t="shared" si="40"/>
        <v/>
      </c>
      <c r="G127" s="93" t="str">
        <f t="shared" si="41"/>
        <v/>
      </c>
      <c r="H127" s="64" t="str">
        <f t="shared" si="42"/>
        <v/>
      </c>
      <c r="I127" s="90" t="str">
        <f t="shared" si="43"/>
        <v/>
      </c>
      <c r="J127" s="64" t="str">
        <f t="shared" si="44"/>
        <v/>
      </c>
      <c r="K127" s="291"/>
      <c r="L127" s="291"/>
      <c r="Q127" s="244"/>
      <c r="R127" s="304">
        <f t="shared" si="48"/>
        <v>-1000000</v>
      </c>
      <c r="S127" s="304">
        <f t="shared" si="49"/>
        <v>1000000</v>
      </c>
      <c r="T127" s="304" t="e">
        <f t="shared" si="45"/>
        <v>#N/A</v>
      </c>
      <c r="U127" s="304">
        <f t="shared" si="46"/>
        <v>0</v>
      </c>
      <c r="V127" s="304">
        <f t="shared" si="50"/>
        <v>0</v>
      </c>
      <c r="W127" s="305" t="e">
        <f t="shared" si="47"/>
        <v>#N/A</v>
      </c>
      <c r="X127" s="244"/>
    </row>
    <row r="128" spans="1:24" ht="13.5" x14ac:dyDescent="0.25">
      <c r="A128" s="9" t="s">
        <v>184</v>
      </c>
      <c r="B128" s="21">
        <v>-1</v>
      </c>
      <c r="C128" s="55" t="s">
        <v>702</v>
      </c>
      <c r="D128" s="93">
        <f t="shared" si="38"/>
        <v>-1</v>
      </c>
      <c r="E128" s="90">
        <f t="shared" si="39"/>
        <v>-1</v>
      </c>
      <c r="F128" s="54">
        <f t="shared" si="40"/>
        <v>-1</v>
      </c>
      <c r="G128" s="93">
        <f t="shared" si="41"/>
        <v>-1</v>
      </c>
      <c r="H128" s="64" t="str">
        <f t="shared" si="42"/>
        <v>Pass</v>
      </c>
      <c r="I128" s="90">
        <f t="shared" si="43"/>
        <v>1750</v>
      </c>
      <c r="J128" s="64" t="str">
        <f t="shared" si="44"/>
        <v>Pass</v>
      </c>
      <c r="K128" s="291"/>
      <c r="L128" s="291"/>
      <c r="Q128" s="244"/>
      <c r="R128" s="304">
        <f t="shared" si="48"/>
        <v>-1000000</v>
      </c>
      <c r="S128" s="304">
        <f t="shared" si="49"/>
        <v>1000000</v>
      </c>
      <c r="T128" s="304" t="str">
        <f t="shared" si="45"/>
        <v/>
      </c>
      <c r="U128" s="304">
        <f t="shared" si="46"/>
        <v>5</v>
      </c>
      <c r="V128" s="304">
        <f t="shared" si="50"/>
        <v>5</v>
      </c>
      <c r="W128" s="305">
        <f t="shared" si="47"/>
        <v>1</v>
      </c>
      <c r="X128" s="244"/>
    </row>
    <row r="129" spans="1:24" ht="13.5" x14ac:dyDescent="0.25">
      <c r="A129" s="9" t="s">
        <v>185</v>
      </c>
      <c r="B129" s="21">
        <v>9999</v>
      </c>
      <c r="C129" s="55" t="s">
        <v>705</v>
      </c>
      <c r="D129" s="93">
        <f t="shared" si="38"/>
        <v>9999</v>
      </c>
      <c r="E129" s="90">
        <f t="shared" si="39"/>
        <v>9999</v>
      </c>
      <c r="F129" s="54">
        <f t="shared" si="40"/>
        <v>9999</v>
      </c>
      <c r="G129" s="93">
        <f t="shared" si="41"/>
        <v>50</v>
      </c>
      <c r="H129" s="64" t="str">
        <f t="shared" si="42"/>
        <v>Pass</v>
      </c>
      <c r="I129" s="90">
        <f t="shared" si="43"/>
        <v>9999</v>
      </c>
      <c r="J129" s="64" t="str">
        <f t="shared" si="44"/>
        <v>Pass</v>
      </c>
      <c r="K129" s="291"/>
      <c r="L129" s="291"/>
      <c r="Q129" s="244"/>
      <c r="R129" s="304">
        <f t="shared" si="48"/>
        <v>-1000000</v>
      </c>
      <c r="S129" s="304">
        <f t="shared" si="49"/>
        <v>1000000</v>
      </c>
      <c r="T129" s="304" t="str">
        <f t="shared" si="45"/>
        <v/>
      </c>
      <c r="U129" s="304">
        <f t="shared" si="46"/>
        <v>1</v>
      </c>
      <c r="V129" s="304">
        <f t="shared" si="50"/>
        <v>1</v>
      </c>
      <c r="W129" s="305">
        <f t="shared" si="47"/>
        <v>1</v>
      </c>
      <c r="X129" s="244"/>
    </row>
    <row r="130" spans="1:24" ht="13.5" x14ac:dyDescent="0.25">
      <c r="A130" s="9" t="s">
        <v>186</v>
      </c>
      <c r="B130" s="21">
        <v>-1</v>
      </c>
      <c r="C130" s="55" t="s">
        <v>702</v>
      </c>
      <c r="D130" s="93">
        <f t="shared" si="38"/>
        <v>-1</v>
      </c>
      <c r="E130" s="90">
        <f t="shared" si="39"/>
        <v>-1</v>
      </c>
      <c r="F130" s="54">
        <f t="shared" si="40"/>
        <v>-1</v>
      </c>
      <c r="G130" s="93">
        <f t="shared" si="41"/>
        <v>-1</v>
      </c>
      <c r="H130" s="64" t="str">
        <f t="shared" si="42"/>
        <v>Pass</v>
      </c>
      <c r="I130" s="90">
        <f t="shared" si="43"/>
        <v>683</v>
      </c>
      <c r="J130" s="64" t="str">
        <f t="shared" si="44"/>
        <v>Pass</v>
      </c>
      <c r="K130" s="291"/>
      <c r="L130" s="291"/>
      <c r="Q130" s="244"/>
      <c r="R130" s="304">
        <f t="shared" si="48"/>
        <v>-1000000</v>
      </c>
      <c r="S130" s="304">
        <f t="shared" si="49"/>
        <v>1000000</v>
      </c>
      <c r="T130" s="304" t="str">
        <f t="shared" si="45"/>
        <v/>
      </c>
      <c r="U130" s="304">
        <f t="shared" si="46"/>
        <v>5</v>
      </c>
      <c r="V130" s="304">
        <f t="shared" si="50"/>
        <v>5</v>
      </c>
      <c r="W130" s="305">
        <f t="shared" si="47"/>
        <v>1</v>
      </c>
      <c r="X130" s="244"/>
    </row>
    <row r="131" spans="1:24" ht="13.5" x14ac:dyDescent="0.25">
      <c r="A131" s="9" t="s">
        <v>187</v>
      </c>
      <c r="B131" s="21">
        <v>-1</v>
      </c>
      <c r="C131" s="55" t="s">
        <v>705</v>
      </c>
      <c r="D131" s="93">
        <f t="shared" si="38"/>
        <v>-1</v>
      </c>
      <c r="E131" s="90">
        <f t="shared" si="39"/>
        <v>-1</v>
      </c>
      <c r="F131" s="54">
        <f t="shared" si="40"/>
        <v>-1</v>
      </c>
      <c r="G131" s="93">
        <f t="shared" si="41"/>
        <v>-1</v>
      </c>
      <c r="H131" s="64" t="str">
        <f t="shared" si="42"/>
        <v>Pass</v>
      </c>
      <c r="I131" s="90">
        <f t="shared" si="43"/>
        <v>2000</v>
      </c>
      <c r="J131" s="64" t="str">
        <f t="shared" si="44"/>
        <v>Pass</v>
      </c>
      <c r="K131" s="291"/>
      <c r="L131" s="291"/>
      <c r="Q131" s="244"/>
      <c r="R131" s="304">
        <f t="shared" si="48"/>
        <v>-1000000</v>
      </c>
      <c r="S131" s="304">
        <f t="shared" si="49"/>
        <v>1000000</v>
      </c>
      <c r="T131" s="304" t="str">
        <f t="shared" si="45"/>
        <v/>
      </c>
      <c r="U131" s="304">
        <f t="shared" si="46"/>
        <v>1</v>
      </c>
      <c r="V131" s="304">
        <f t="shared" si="50"/>
        <v>1</v>
      </c>
      <c r="W131" s="305">
        <f t="shared" si="47"/>
        <v>1</v>
      </c>
      <c r="X131" s="244"/>
    </row>
    <row r="132" spans="1:24" ht="13.5" x14ac:dyDescent="0.25">
      <c r="A132" s="9" t="s">
        <v>188</v>
      </c>
      <c r="B132" s="21">
        <v>571</v>
      </c>
      <c r="C132" s="55" t="s">
        <v>702</v>
      </c>
      <c r="D132" s="93">
        <f t="shared" si="38"/>
        <v>571</v>
      </c>
      <c r="E132" s="90">
        <f t="shared" si="39"/>
        <v>571</v>
      </c>
      <c r="F132" s="54">
        <f t="shared" si="40"/>
        <v>571</v>
      </c>
      <c r="G132" s="93">
        <f t="shared" si="41"/>
        <v>-1</v>
      </c>
      <c r="H132" s="64" t="str">
        <f t="shared" si="42"/>
        <v>Pass</v>
      </c>
      <c r="I132" s="90">
        <f t="shared" si="43"/>
        <v>1750</v>
      </c>
      <c r="J132" s="64" t="str">
        <f t="shared" si="44"/>
        <v>Pass</v>
      </c>
      <c r="K132" s="291"/>
      <c r="L132" s="291"/>
      <c r="Q132" s="244"/>
      <c r="R132" s="304">
        <f t="shared" si="48"/>
        <v>-1000000</v>
      </c>
      <c r="S132" s="304">
        <f t="shared" si="49"/>
        <v>1000000</v>
      </c>
      <c r="T132" s="304" t="str">
        <f t="shared" si="45"/>
        <v/>
      </c>
      <c r="U132" s="304">
        <f t="shared" si="46"/>
        <v>5</v>
      </c>
      <c r="V132" s="304">
        <f t="shared" si="50"/>
        <v>5</v>
      </c>
      <c r="W132" s="305">
        <f t="shared" si="47"/>
        <v>1</v>
      </c>
      <c r="X132" s="244"/>
    </row>
    <row r="133" spans="1:24" ht="13.5" x14ac:dyDescent="0.25">
      <c r="A133" s="9" t="s">
        <v>189</v>
      </c>
      <c r="B133" s="21">
        <v>62.2</v>
      </c>
      <c r="C133" s="55" t="s">
        <v>705</v>
      </c>
      <c r="D133" s="93">
        <f t="shared" si="38"/>
        <v>62.2</v>
      </c>
      <c r="E133" s="90">
        <f t="shared" si="39"/>
        <v>62.2</v>
      </c>
      <c r="F133" s="54">
        <f t="shared" si="40"/>
        <v>62.2</v>
      </c>
      <c r="G133" s="93">
        <f t="shared" si="41"/>
        <v>10</v>
      </c>
      <c r="H133" s="64" t="str">
        <f t="shared" si="42"/>
        <v>Pass</v>
      </c>
      <c r="I133" s="90">
        <f t="shared" si="43"/>
        <v>9999</v>
      </c>
      <c r="J133" s="64" t="str">
        <f t="shared" si="44"/>
        <v>Pass</v>
      </c>
      <c r="K133" s="291"/>
      <c r="L133" s="291"/>
      <c r="Q133" s="244"/>
      <c r="R133" s="304">
        <f t="shared" si="48"/>
        <v>-1000000</v>
      </c>
      <c r="S133" s="304">
        <f t="shared" si="49"/>
        <v>1000000</v>
      </c>
      <c r="T133" s="304" t="str">
        <f t="shared" si="45"/>
        <v/>
      </c>
      <c r="U133" s="304">
        <f t="shared" si="46"/>
        <v>1</v>
      </c>
      <c r="V133" s="304">
        <f t="shared" si="50"/>
        <v>1</v>
      </c>
      <c r="W133" s="305">
        <f t="shared" si="47"/>
        <v>1</v>
      </c>
      <c r="X133" s="244"/>
    </row>
    <row r="134" spans="1:24" ht="13.5" x14ac:dyDescent="0.25">
      <c r="A134" s="9" t="s">
        <v>190</v>
      </c>
      <c r="B134" s="21">
        <v>-1</v>
      </c>
      <c r="C134" s="55" t="s">
        <v>702</v>
      </c>
      <c r="D134" s="93">
        <f t="shared" si="38"/>
        <v>-1</v>
      </c>
      <c r="E134" s="90">
        <f t="shared" si="39"/>
        <v>-1</v>
      </c>
      <c r="F134" s="54">
        <f t="shared" si="40"/>
        <v>-1</v>
      </c>
      <c r="G134" s="93">
        <f t="shared" si="41"/>
        <v>-1</v>
      </c>
      <c r="H134" s="64" t="str">
        <f t="shared" si="42"/>
        <v>Pass</v>
      </c>
      <c r="I134" s="90">
        <f t="shared" si="43"/>
        <v>683</v>
      </c>
      <c r="J134" s="64" t="str">
        <f t="shared" si="44"/>
        <v>Pass</v>
      </c>
      <c r="K134" s="291"/>
      <c r="L134" s="291"/>
      <c r="Q134" s="244"/>
      <c r="R134" s="304">
        <f t="shared" si="48"/>
        <v>-1000000</v>
      </c>
      <c r="S134" s="304">
        <f t="shared" si="49"/>
        <v>1000000</v>
      </c>
      <c r="T134" s="304" t="str">
        <f t="shared" si="45"/>
        <v/>
      </c>
      <c r="U134" s="304">
        <f t="shared" si="46"/>
        <v>5</v>
      </c>
      <c r="V134" s="304">
        <f t="shared" si="50"/>
        <v>5</v>
      </c>
      <c r="W134" s="305">
        <f t="shared" si="47"/>
        <v>1</v>
      </c>
      <c r="X134" s="244"/>
    </row>
    <row r="135" spans="1:24" ht="13.5" x14ac:dyDescent="0.25">
      <c r="A135" s="9" t="s">
        <v>191</v>
      </c>
      <c r="B135" s="21">
        <v>-1</v>
      </c>
      <c r="C135" s="55" t="s">
        <v>705</v>
      </c>
      <c r="D135" s="93">
        <f t="shared" si="38"/>
        <v>-1</v>
      </c>
      <c r="E135" s="90">
        <f t="shared" si="39"/>
        <v>-1</v>
      </c>
      <c r="F135" s="54">
        <f t="shared" si="40"/>
        <v>-1</v>
      </c>
      <c r="G135" s="93">
        <f t="shared" si="41"/>
        <v>-1</v>
      </c>
      <c r="H135" s="64" t="str">
        <f t="shared" si="42"/>
        <v>Pass</v>
      </c>
      <c r="I135" s="90">
        <f t="shared" si="43"/>
        <v>2000</v>
      </c>
      <c r="J135" s="64" t="str">
        <f t="shared" si="44"/>
        <v>Pass</v>
      </c>
      <c r="K135" s="291"/>
      <c r="L135" s="291"/>
      <c r="Q135" s="244"/>
      <c r="R135" s="304">
        <f t="shared" si="48"/>
        <v>-1000000</v>
      </c>
      <c r="S135" s="304">
        <f t="shared" si="49"/>
        <v>1000000</v>
      </c>
      <c r="T135" s="304" t="str">
        <f t="shared" si="45"/>
        <v/>
      </c>
      <c r="U135" s="304">
        <f t="shared" si="46"/>
        <v>1</v>
      </c>
      <c r="V135" s="304">
        <f t="shared" si="50"/>
        <v>1</v>
      </c>
      <c r="W135" s="305">
        <f t="shared" si="47"/>
        <v>1</v>
      </c>
      <c r="X135" s="244"/>
    </row>
    <row r="136" spans="1:24" ht="13.5" x14ac:dyDescent="0.25">
      <c r="A136" s="9" t="s">
        <v>692</v>
      </c>
      <c r="B136" s="21"/>
      <c r="C136" s="55"/>
      <c r="D136" s="93" t="str">
        <f t="shared" si="38"/>
        <v/>
      </c>
      <c r="E136" s="90" t="str">
        <f t="shared" si="39"/>
        <v/>
      </c>
      <c r="F136" s="54" t="str">
        <f t="shared" si="40"/>
        <v/>
      </c>
      <c r="G136" s="93" t="str">
        <f t="shared" si="41"/>
        <v/>
      </c>
      <c r="H136" s="64" t="str">
        <f t="shared" si="42"/>
        <v/>
      </c>
      <c r="I136" s="90" t="str">
        <f t="shared" si="43"/>
        <v/>
      </c>
      <c r="J136" s="64" t="str">
        <f t="shared" si="44"/>
        <v/>
      </c>
      <c r="K136" s="291"/>
      <c r="L136" s="291"/>
      <c r="Q136" s="244"/>
      <c r="R136" s="304">
        <f>IF(H136="Info",G136,IF(J136="Info",G136,-1000000))</f>
        <v>-1000000</v>
      </c>
      <c r="S136" s="304">
        <f>IF(H136="Info",I136,IF(J136="Info",I136,1000000))</f>
        <v>1000000</v>
      </c>
      <c r="T136" s="304" t="e">
        <f t="shared" si="45"/>
        <v>#N/A</v>
      </c>
      <c r="U136" s="304">
        <f t="shared" si="46"/>
        <v>0</v>
      </c>
      <c r="V136" s="304">
        <f>IF(H136="Pass",IF(J136="Pass",U136,0),0)</f>
        <v>0</v>
      </c>
      <c r="W136" s="305" t="e">
        <f t="shared" si="47"/>
        <v>#N/A</v>
      </c>
      <c r="X136" s="244"/>
    </row>
    <row r="137" spans="1:24" ht="13.5" x14ac:dyDescent="0.25">
      <c r="A137" s="9" t="s">
        <v>300</v>
      </c>
      <c r="B137" s="21">
        <v>21.8</v>
      </c>
      <c r="C137" s="55" t="s">
        <v>705</v>
      </c>
      <c r="D137" s="93">
        <f t="shared" ref="D137:D168" si="51">IF(C137="","",MIN(B137:B137))</f>
        <v>21.8</v>
      </c>
      <c r="E137" s="90">
        <f t="shared" ref="E137:E168" si="52">IF(C137="","",MAX(B137:B137))</f>
        <v>21.8</v>
      </c>
      <c r="F137" s="54">
        <f t="shared" ref="F137:F168" si="53">IF(C137="","",IF(C137="    N/A","",IF(COUNTIF(B137:B137,"&gt;-1")&gt;0,ROUND((SUM(B137:B137)+COUNTIF(B137:B137,-1))/COUNTIF(B137:B137,"&gt;-1"),W137),ROUND(AVERAGE(B137:B137),W137))))</f>
        <v>21.8</v>
      </c>
      <c r="G137" s="93">
        <f t="shared" ref="G137:G168" si="54">IF(F137="","",IF(VLOOKUP(A137,Test_Limits,2,FALSE)="","",VLOOKUP(A137,Test_Limits,2,FALSE)))</f>
        <v>0</v>
      </c>
      <c r="H137" s="64" t="str">
        <f t="shared" ref="H137:H168" si="55">IF(G137="","",IF(AND(D137&lt;G137,D137&lt;&gt;T137),IF(VLOOKUP(A137,Test_Limits,5,FALSE)="PF","Fail","Info"),"Pass"))</f>
        <v>Pass</v>
      </c>
      <c r="I137" s="90">
        <f t="shared" ref="I137:I168" si="56">IF(F137="","",IF(VLOOKUP(A137,Test_Limits,3,FALSE)="","",VLOOKUP(A137,Test_Limits,3,FALSE)))</f>
        <v>500</v>
      </c>
      <c r="J137" s="64" t="str">
        <f t="shared" ref="J137:J168" si="57">IF(I137="","",IF(AND(E137&gt;I137,E137&lt;&gt;T137),IF(VLOOKUP(A137,Test_Limits,5,FALSE)="PF","Fail","Info"),"Pass"))</f>
        <v>Pass</v>
      </c>
      <c r="K137" s="291"/>
      <c r="L137" s="291"/>
      <c r="Q137" s="244"/>
      <c r="R137" s="304">
        <f t="shared" si="36"/>
        <v>-1000000</v>
      </c>
      <c r="S137" s="304">
        <f t="shared" si="37"/>
        <v>1000000</v>
      </c>
      <c r="T137" s="304" t="str">
        <f t="shared" ref="T137:T168" si="58">IF(VLOOKUP(A137,Test_Limits,7,FALSE)&lt;&gt;"",VLOOKUP(A137,Test_Limits,7,FALSE),"")</f>
        <v/>
      </c>
      <c r="U137" s="304">
        <f t="shared" ref="U137:U168" si="59">IF(F137="",0,VLOOKUP(A137,Test_Limits,8,FALSE))</f>
        <v>1</v>
      </c>
      <c r="V137" s="304">
        <f t="shared" si="35"/>
        <v>1</v>
      </c>
      <c r="W137" s="305">
        <f t="shared" ref="W137:W168" si="60">VLOOKUP(A137,Test_Limits,6,FALSE)</f>
        <v>1</v>
      </c>
      <c r="X137" s="244"/>
    </row>
    <row r="138" spans="1:24" ht="13.5" x14ac:dyDescent="0.25">
      <c r="A138" s="9" t="s">
        <v>312</v>
      </c>
      <c r="B138" s="21">
        <v>9.4100000000000003E-2</v>
      </c>
      <c r="C138" s="55" t="s">
        <v>704</v>
      </c>
      <c r="D138" s="93">
        <f t="shared" si="51"/>
        <v>9.4100000000000003E-2</v>
      </c>
      <c r="E138" s="90">
        <f t="shared" si="52"/>
        <v>9.4100000000000003E-2</v>
      </c>
      <c r="F138" s="54">
        <f t="shared" si="53"/>
        <v>0.09</v>
      </c>
      <c r="G138" s="93">
        <f t="shared" si="54"/>
        <v>-1</v>
      </c>
      <c r="H138" s="64" t="str">
        <f t="shared" si="55"/>
        <v>Pass</v>
      </c>
      <c r="I138" s="90">
        <f t="shared" si="56"/>
        <v>0.52</v>
      </c>
      <c r="J138" s="64" t="str">
        <f t="shared" si="57"/>
        <v>Pass</v>
      </c>
      <c r="K138" s="291"/>
      <c r="L138" s="291"/>
      <c r="Q138" s="244"/>
      <c r="R138" s="304">
        <f t="shared" ref="R138:R161" si="61">IF(H138="Info",G138,IF(J138="Info",G138,-1000000))</f>
        <v>-1000000</v>
      </c>
      <c r="S138" s="304">
        <f t="shared" ref="S138:S161" si="62">IF(H138="Info",I138,IF(J138="Info",I138,1000000))</f>
        <v>1000000</v>
      </c>
      <c r="T138" s="304" t="str">
        <f t="shared" si="58"/>
        <v/>
      </c>
      <c r="U138" s="304">
        <f t="shared" si="59"/>
        <v>1</v>
      </c>
      <c r="V138" s="304">
        <f t="shared" ref="V138:V161" si="63">IF(H138="Pass",IF(J138="Pass",U138,0),0)</f>
        <v>1</v>
      </c>
      <c r="W138" s="305">
        <f t="shared" si="60"/>
        <v>2</v>
      </c>
      <c r="X138" s="244"/>
    </row>
    <row r="139" spans="1:24" ht="13.5" x14ac:dyDescent="0.25">
      <c r="A139" s="9" t="s">
        <v>313</v>
      </c>
      <c r="B139" s="21">
        <v>109.2</v>
      </c>
      <c r="C139" s="55" t="s">
        <v>703</v>
      </c>
      <c r="D139" s="93">
        <f t="shared" si="51"/>
        <v>109.2</v>
      </c>
      <c r="E139" s="90">
        <f t="shared" si="52"/>
        <v>109.2</v>
      </c>
      <c r="F139" s="54">
        <f t="shared" si="53"/>
        <v>109</v>
      </c>
      <c r="G139" s="93">
        <f t="shared" si="54"/>
        <v>45</v>
      </c>
      <c r="H139" s="64" t="str">
        <f t="shared" si="55"/>
        <v>Pass</v>
      </c>
      <c r="I139" s="90">
        <f t="shared" si="56"/>
        <v>50000</v>
      </c>
      <c r="J139" s="64" t="str">
        <f t="shared" si="57"/>
        <v>Pass</v>
      </c>
      <c r="K139" s="291"/>
      <c r="L139" s="291"/>
      <c r="Q139" s="244"/>
      <c r="R139" s="304">
        <f t="shared" si="61"/>
        <v>-1000000</v>
      </c>
      <c r="S139" s="304">
        <f t="shared" si="62"/>
        <v>1000000</v>
      </c>
      <c r="T139" s="304" t="str">
        <f t="shared" si="58"/>
        <v/>
      </c>
      <c r="U139" s="304">
        <f t="shared" si="59"/>
        <v>1</v>
      </c>
      <c r="V139" s="304">
        <f t="shared" si="63"/>
        <v>1</v>
      </c>
      <c r="W139" s="305">
        <f t="shared" si="60"/>
        <v>0</v>
      </c>
      <c r="X139" s="244"/>
    </row>
    <row r="140" spans="1:24" ht="13.5" x14ac:dyDescent="0.25">
      <c r="A140" s="9" t="s">
        <v>693</v>
      </c>
      <c r="B140" s="21"/>
      <c r="C140" s="55"/>
      <c r="D140" s="93" t="str">
        <f t="shared" si="51"/>
        <v/>
      </c>
      <c r="E140" s="90" t="str">
        <f t="shared" si="52"/>
        <v/>
      </c>
      <c r="F140" s="54" t="str">
        <f t="shared" si="53"/>
        <v/>
      </c>
      <c r="G140" s="93" t="str">
        <f t="shared" si="54"/>
        <v/>
      </c>
      <c r="H140" s="64" t="str">
        <f t="shared" si="55"/>
        <v/>
      </c>
      <c r="I140" s="90" t="str">
        <f t="shared" si="56"/>
        <v/>
      </c>
      <c r="J140" s="64" t="str">
        <f t="shared" si="57"/>
        <v/>
      </c>
      <c r="K140" s="291"/>
      <c r="L140" s="291"/>
      <c r="Q140" s="244"/>
      <c r="R140" s="304">
        <f t="shared" ref="R140:R151" si="64">IF(H140="Info",G140,IF(J140="Info",G140,-1000000))</f>
        <v>-1000000</v>
      </c>
      <c r="S140" s="304">
        <f t="shared" ref="S140:S151" si="65">IF(H140="Info",I140,IF(J140="Info",I140,1000000))</f>
        <v>1000000</v>
      </c>
      <c r="T140" s="304" t="e">
        <f t="shared" si="58"/>
        <v>#N/A</v>
      </c>
      <c r="U140" s="304">
        <f t="shared" si="59"/>
        <v>0</v>
      </c>
      <c r="V140" s="304">
        <f t="shared" ref="V140:V151" si="66">IF(H140="Pass",IF(J140="Pass",U140,0),0)</f>
        <v>0</v>
      </c>
      <c r="W140" s="305" t="e">
        <f t="shared" si="60"/>
        <v>#N/A</v>
      </c>
      <c r="X140" s="244"/>
    </row>
    <row r="141" spans="1:24" ht="13.5" x14ac:dyDescent="0.25">
      <c r="A141" s="9" t="s">
        <v>310</v>
      </c>
      <c r="B141" s="21">
        <v>0</v>
      </c>
      <c r="C141" s="55" t="s">
        <v>698</v>
      </c>
      <c r="D141" s="93">
        <f t="shared" si="51"/>
        <v>0</v>
      </c>
      <c r="E141" s="90">
        <f t="shared" si="52"/>
        <v>0</v>
      </c>
      <c r="F141" s="54">
        <f t="shared" si="53"/>
        <v>0</v>
      </c>
      <c r="G141" s="93">
        <f t="shared" si="54"/>
        <v>0</v>
      </c>
      <c r="H141" s="64" t="str">
        <f t="shared" si="55"/>
        <v>Pass</v>
      </c>
      <c r="I141" s="90">
        <f t="shared" si="56"/>
        <v>2.8</v>
      </c>
      <c r="J141" s="64" t="str">
        <f t="shared" si="57"/>
        <v>Pass</v>
      </c>
      <c r="K141" s="291"/>
      <c r="L141" s="291"/>
      <c r="Q141" s="244"/>
      <c r="R141" s="304">
        <f t="shared" si="64"/>
        <v>-1000000</v>
      </c>
      <c r="S141" s="304">
        <f t="shared" si="65"/>
        <v>1000000</v>
      </c>
      <c r="T141" s="304" t="str">
        <f t="shared" si="58"/>
        <v/>
      </c>
      <c r="U141" s="304">
        <f t="shared" si="59"/>
        <v>1</v>
      </c>
      <c r="V141" s="304">
        <f t="shared" si="66"/>
        <v>1</v>
      </c>
      <c r="W141" s="305">
        <f t="shared" si="60"/>
        <v>1</v>
      </c>
      <c r="X141" s="244"/>
    </row>
    <row r="142" spans="1:24" ht="13.5" x14ac:dyDescent="0.25">
      <c r="A142" s="9" t="s">
        <v>309</v>
      </c>
      <c r="B142" s="21">
        <v>1968.8</v>
      </c>
      <c r="C142" s="55" t="s">
        <v>705</v>
      </c>
      <c r="D142" s="93">
        <f t="shared" si="51"/>
        <v>1968.8</v>
      </c>
      <c r="E142" s="90">
        <f t="shared" si="52"/>
        <v>1968.8</v>
      </c>
      <c r="F142" s="54">
        <f t="shared" si="53"/>
        <v>1969</v>
      </c>
      <c r="G142" s="93">
        <f t="shared" si="54"/>
        <v>750</v>
      </c>
      <c r="H142" s="64" t="str">
        <f t="shared" si="55"/>
        <v>Pass</v>
      </c>
      <c r="I142" s="90">
        <f t="shared" si="56"/>
        <v>10000</v>
      </c>
      <c r="J142" s="64" t="str">
        <f t="shared" si="57"/>
        <v>Pass</v>
      </c>
      <c r="K142" s="291"/>
      <c r="L142" s="291"/>
      <c r="Q142" s="244"/>
      <c r="R142" s="304">
        <f t="shared" si="64"/>
        <v>-1000000</v>
      </c>
      <c r="S142" s="304">
        <f t="shared" si="65"/>
        <v>1000000</v>
      </c>
      <c r="T142" s="304" t="str">
        <f t="shared" si="58"/>
        <v/>
      </c>
      <c r="U142" s="304">
        <f t="shared" si="59"/>
        <v>0</v>
      </c>
      <c r="V142" s="304">
        <f t="shared" si="66"/>
        <v>0</v>
      </c>
      <c r="W142" s="305">
        <f t="shared" si="60"/>
        <v>0</v>
      </c>
      <c r="X142" s="244"/>
    </row>
    <row r="143" spans="1:24" ht="13.5" x14ac:dyDescent="0.25">
      <c r="A143" s="9" t="s">
        <v>311</v>
      </c>
      <c r="B143" s="21">
        <v>18.7</v>
      </c>
      <c r="C143" s="55" t="s">
        <v>698</v>
      </c>
      <c r="D143" s="93">
        <f t="shared" si="51"/>
        <v>18.7</v>
      </c>
      <c r="E143" s="90">
        <f t="shared" si="52"/>
        <v>18.7</v>
      </c>
      <c r="F143" s="54">
        <f t="shared" si="53"/>
        <v>18.7</v>
      </c>
      <c r="G143" s="93">
        <f t="shared" si="54"/>
        <v>0</v>
      </c>
      <c r="H143" s="64" t="str">
        <f t="shared" si="55"/>
        <v>Pass</v>
      </c>
      <c r="I143" s="90">
        <f t="shared" si="56"/>
        <v>20.5</v>
      </c>
      <c r="J143" s="64" t="str">
        <f t="shared" si="57"/>
        <v>Pass</v>
      </c>
      <c r="K143" s="291"/>
      <c r="L143" s="291"/>
      <c r="Q143" s="244"/>
      <c r="R143" s="304">
        <f t="shared" si="64"/>
        <v>-1000000</v>
      </c>
      <c r="S143" s="304">
        <f t="shared" si="65"/>
        <v>1000000</v>
      </c>
      <c r="T143" s="304" t="str">
        <f t="shared" si="58"/>
        <v/>
      </c>
      <c r="U143" s="304">
        <f t="shared" si="59"/>
        <v>1</v>
      </c>
      <c r="V143" s="304">
        <f t="shared" si="66"/>
        <v>1</v>
      </c>
      <c r="W143" s="305">
        <f t="shared" si="60"/>
        <v>1</v>
      </c>
      <c r="X143" s="244"/>
    </row>
    <row r="144" spans="1:24" x14ac:dyDescent="0.2">
      <c r="A144" s="320" t="s">
        <v>694</v>
      </c>
      <c r="B144" s="321">
        <v>3202</v>
      </c>
      <c r="C144" s="55"/>
      <c r="D144" s="93" t="str">
        <f t="shared" si="51"/>
        <v/>
      </c>
      <c r="E144" s="90" t="str">
        <f t="shared" si="52"/>
        <v/>
      </c>
      <c r="F144" s="54" t="str">
        <f t="shared" si="53"/>
        <v/>
      </c>
      <c r="G144" s="93" t="str">
        <f t="shared" si="54"/>
        <v/>
      </c>
      <c r="H144" s="64" t="str">
        <f t="shared" si="55"/>
        <v/>
      </c>
      <c r="I144" s="90" t="str">
        <f t="shared" si="56"/>
        <v/>
      </c>
      <c r="J144" s="64" t="str">
        <f t="shared" si="57"/>
        <v/>
      </c>
      <c r="K144" s="291"/>
      <c r="L144" s="291"/>
      <c r="Q144" s="244"/>
      <c r="R144" s="304">
        <f t="shared" si="64"/>
        <v>-1000000</v>
      </c>
      <c r="S144" s="304">
        <f t="shared" si="65"/>
        <v>1000000</v>
      </c>
      <c r="T144" s="304" t="e">
        <f t="shared" si="58"/>
        <v>#N/A</v>
      </c>
      <c r="U144" s="304">
        <f t="shared" si="59"/>
        <v>0</v>
      </c>
      <c r="V144" s="304">
        <f t="shared" si="66"/>
        <v>0</v>
      </c>
      <c r="W144" s="305" t="e">
        <f t="shared" si="60"/>
        <v>#N/A</v>
      </c>
      <c r="X144" s="244"/>
    </row>
    <row r="145" spans="1:24" x14ac:dyDescent="0.2">
      <c r="A145" s="320" t="s">
        <v>695</v>
      </c>
      <c r="B145" s="321">
        <v>8</v>
      </c>
      <c r="C145" s="55"/>
      <c r="D145" s="93" t="str">
        <f t="shared" si="51"/>
        <v/>
      </c>
      <c r="E145" s="90" t="str">
        <f t="shared" si="52"/>
        <v/>
      </c>
      <c r="F145" s="54" t="str">
        <f t="shared" si="53"/>
        <v/>
      </c>
      <c r="G145" s="93" t="str">
        <f t="shared" si="54"/>
        <v/>
      </c>
      <c r="H145" s="64" t="str">
        <f t="shared" si="55"/>
        <v/>
      </c>
      <c r="I145" s="90" t="str">
        <f t="shared" si="56"/>
        <v/>
      </c>
      <c r="J145" s="64" t="str">
        <f t="shared" si="57"/>
        <v/>
      </c>
      <c r="K145" s="291"/>
      <c r="L145" s="291"/>
      <c r="Q145" s="244"/>
      <c r="R145" s="304">
        <f t="shared" si="64"/>
        <v>-1000000</v>
      </c>
      <c r="S145" s="304">
        <f t="shared" si="65"/>
        <v>1000000</v>
      </c>
      <c r="T145" s="304" t="e">
        <f t="shared" si="58"/>
        <v>#N/A</v>
      </c>
      <c r="U145" s="304">
        <f t="shared" si="59"/>
        <v>0</v>
      </c>
      <c r="V145" s="304">
        <f t="shared" si="66"/>
        <v>0</v>
      </c>
      <c r="W145" s="305" t="e">
        <f t="shared" si="60"/>
        <v>#N/A</v>
      </c>
      <c r="X145" s="244"/>
    </row>
    <row r="146" spans="1:24" x14ac:dyDescent="0.2">
      <c r="A146" s="320" t="s">
        <v>696</v>
      </c>
      <c r="B146" s="322" t="s">
        <v>710</v>
      </c>
      <c r="C146" s="55"/>
      <c r="D146" s="93" t="str">
        <f t="shared" si="51"/>
        <v/>
      </c>
      <c r="E146" s="90" t="str">
        <f t="shared" si="52"/>
        <v/>
      </c>
      <c r="F146" s="54" t="str">
        <f t="shared" si="53"/>
        <v/>
      </c>
      <c r="G146" s="93" t="str">
        <f t="shared" si="54"/>
        <v/>
      </c>
      <c r="H146" s="64" t="str">
        <f t="shared" si="55"/>
        <v/>
      </c>
      <c r="I146" s="90" t="str">
        <f t="shared" si="56"/>
        <v/>
      </c>
      <c r="J146" s="64" t="str">
        <f t="shared" si="57"/>
        <v/>
      </c>
      <c r="K146" s="291"/>
      <c r="L146" s="291"/>
      <c r="Q146" s="244"/>
      <c r="R146" s="304">
        <f t="shared" si="64"/>
        <v>-1000000</v>
      </c>
      <c r="S146" s="304">
        <f t="shared" si="65"/>
        <v>1000000</v>
      </c>
      <c r="T146" s="304" t="e">
        <f t="shared" si="58"/>
        <v>#N/A</v>
      </c>
      <c r="U146" s="304">
        <f t="shared" si="59"/>
        <v>0</v>
      </c>
      <c r="V146" s="304">
        <f t="shared" si="66"/>
        <v>0</v>
      </c>
      <c r="W146" s="305" t="e">
        <f t="shared" si="60"/>
        <v>#N/A</v>
      </c>
      <c r="X146" s="244"/>
    </row>
    <row r="147" spans="1:24" ht="13.5" x14ac:dyDescent="0.25">
      <c r="A147" s="9"/>
      <c r="B147" s="21"/>
      <c r="C147" s="55"/>
      <c r="D147" s="93" t="str">
        <f t="shared" si="51"/>
        <v/>
      </c>
      <c r="E147" s="90" t="str">
        <f t="shared" si="52"/>
        <v/>
      </c>
      <c r="F147" s="54" t="str">
        <f t="shared" si="53"/>
        <v/>
      </c>
      <c r="G147" s="93" t="str">
        <f t="shared" si="54"/>
        <v/>
      </c>
      <c r="H147" s="64" t="str">
        <f t="shared" si="55"/>
        <v/>
      </c>
      <c r="I147" s="90" t="str">
        <f t="shared" si="56"/>
        <v/>
      </c>
      <c r="J147" s="64" t="str">
        <f t="shared" si="57"/>
        <v/>
      </c>
      <c r="K147" s="291"/>
      <c r="L147" s="291"/>
      <c r="Q147" s="244"/>
      <c r="R147" s="304">
        <f t="shared" si="64"/>
        <v>-1000000</v>
      </c>
      <c r="S147" s="304">
        <f t="shared" si="65"/>
        <v>1000000</v>
      </c>
      <c r="T147" s="304" t="e">
        <f t="shared" si="58"/>
        <v>#N/A</v>
      </c>
      <c r="U147" s="304">
        <f t="shared" si="59"/>
        <v>0</v>
      </c>
      <c r="V147" s="304">
        <f t="shared" si="66"/>
        <v>0</v>
      </c>
      <c r="W147" s="305" t="e">
        <f t="shared" si="60"/>
        <v>#N/A</v>
      </c>
      <c r="X147" s="244"/>
    </row>
    <row r="148" spans="1:24" ht="13.5" x14ac:dyDescent="0.25">
      <c r="A148" s="9"/>
      <c r="B148" s="21"/>
      <c r="C148" s="55"/>
      <c r="D148" s="93" t="str">
        <f t="shared" si="51"/>
        <v/>
      </c>
      <c r="E148" s="90" t="str">
        <f t="shared" si="52"/>
        <v/>
      </c>
      <c r="F148" s="54" t="str">
        <f t="shared" si="53"/>
        <v/>
      </c>
      <c r="G148" s="93" t="str">
        <f t="shared" si="54"/>
        <v/>
      </c>
      <c r="H148" s="64" t="str">
        <f t="shared" si="55"/>
        <v/>
      </c>
      <c r="I148" s="90" t="str">
        <f t="shared" si="56"/>
        <v/>
      </c>
      <c r="J148" s="64" t="str">
        <f t="shared" si="57"/>
        <v/>
      </c>
      <c r="K148" s="291"/>
      <c r="L148" s="291"/>
      <c r="Q148" s="244"/>
      <c r="R148" s="304">
        <f t="shared" si="64"/>
        <v>-1000000</v>
      </c>
      <c r="S148" s="304">
        <f t="shared" si="65"/>
        <v>1000000</v>
      </c>
      <c r="T148" s="304" t="e">
        <f t="shared" si="58"/>
        <v>#N/A</v>
      </c>
      <c r="U148" s="304">
        <f t="shared" si="59"/>
        <v>0</v>
      </c>
      <c r="V148" s="304">
        <f t="shared" si="66"/>
        <v>0</v>
      </c>
      <c r="W148" s="305" t="e">
        <f t="shared" si="60"/>
        <v>#N/A</v>
      </c>
      <c r="X148" s="244"/>
    </row>
    <row r="149" spans="1:24" ht="13.5" x14ac:dyDescent="0.25">
      <c r="A149" s="9"/>
      <c r="B149" s="21"/>
      <c r="C149" s="55"/>
      <c r="D149" s="93" t="str">
        <f t="shared" si="51"/>
        <v/>
      </c>
      <c r="E149" s="90" t="str">
        <f t="shared" si="52"/>
        <v/>
      </c>
      <c r="F149" s="54" t="str">
        <f t="shared" si="53"/>
        <v/>
      </c>
      <c r="G149" s="93" t="str">
        <f t="shared" si="54"/>
        <v/>
      </c>
      <c r="H149" s="64" t="str">
        <f t="shared" si="55"/>
        <v/>
      </c>
      <c r="I149" s="90" t="str">
        <f t="shared" si="56"/>
        <v/>
      </c>
      <c r="J149" s="64" t="str">
        <f t="shared" si="57"/>
        <v/>
      </c>
      <c r="K149" s="291"/>
      <c r="L149" s="291"/>
      <c r="Q149" s="244"/>
      <c r="R149" s="304">
        <f t="shared" si="64"/>
        <v>-1000000</v>
      </c>
      <c r="S149" s="304">
        <f t="shared" si="65"/>
        <v>1000000</v>
      </c>
      <c r="T149" s="304" t="e">
        <f t="shared" si="58"/>
        <v>#N/A</v>
      </c>
      <c r="U149" s="304">
        <f t="shared" si="59"/>
        <v>0</v>
      </c>
      <c r="V149" s="304">
        <f t="shared" si="66"/>
        <v>0</v>
      </c>
      <c r="W149" s="305" t="e">
        <f t="shared" si="60"/>
        <v>#N/A</v>
      </c>
      <c r="X149" s="244"/>
    </row>
    <row r="150" spans="1:24" ht="13.5" x14ac:dyDescent="0.25">
      <c r="A150" s="9"/>
      <c r="B150" s="21"/>
      <c r="C150" s="55"/>
      <c r="D150" s="93" t="str">
        <f t="shared" si="51"/>
        <v/>
      </c>
      <c r="E150" s="90" t="str">
        <f t="shared" si="52"/>
        <v/>
      </c>
      <c r="F150" s="54" t="str">
        <f t="shared" si="53"/>
        <v/>
      </c>
      <c r="G150" s="93" t="str">
        <f t="shared" si="54"/>
        <v/>
      </c>
      <c r="H150" s="64" t="str">
        <f t="shared" si="55"/>
        <v/>
      </c>
      <c r="I150" s="90" t="str">
        <f t="shared" si="56"/>
        <v/>
      </c>
      <c r="J150" s="64" t="str">
        <f t="shared" si="57"/>
        <v/>
      </c>
      <c r="K150" s="291"/>
      <c r="L150" s="291"/>
      <c r="Q150" s="244"/>
      <c r="R150" s="304">
        <f t="shared" si="64"/>
        <v>-1000000</v>
      </c>
      <c r="S150" s="304">
        <f t="shared" si="65"/>
        <v>1000000</v>
      </c>
      <c r="T150" s="304" t="e">
        <f t="shared" si="58"/>
        <v>#N/A</v>
      </c>
      <c r="U150" s="304">
        <f t="shared" si="59"/>
        <v>0</v>
      </c>
      <c r="V150" s="304">
        <f t="shared" si="66"/>
        <v>0</v>
      </c>
      <c r="W150" s="305" t="e">
        <f t="shared" si="60"/>
        <v>#N/A</v>
      </c>
      <c r="X150" s="244"/>
    </row>
    <row r="151" spans="1:24" ht="13.5" x14ac:dyDescent="0.25">
      <c r="A151" s="9"/>
      <c r="B151" s="21"/>
      <c r="C151" s="55"/>
      <c r="D151" s="93" t="str">
        <f t="shared" si="51"/>
        <v/>
      </c>
      <c r="E151" s="90" t="str">
        <f t="shared" si="52"/>
        <v/>
      </c>
      <c r="F151" s="54" t="str">
        <f t="shared" si="53"/>
        <v/>
      </c>
      <c r="G151" s="93" t="str">
        <f t="shared" si="54"/>
        <v/>
      </c>
      <c r="H151" s="64" t="str">
        <f t="shared" si="55"/>
        <v/>
      </c>
      <c r="I151" s="90" t="str">
        <f t="shared" si="56"/>
        <v/>
      </c>
      <c r="J151" s="64" t="str">
        <f t="shared" si="57"/>
        <v/>
      </c>
      <c r="K151" s="291"/>
      <c r="L151" s="291"/>
      <c r="Q151" s="244"/>
      <c r="R151" s="304">
        <f t="shared" si="64"/>
        <v>-1000000</v>
      </c>
      <c r="S151" s="304">
        <f t="shared" si="65"/>
        <v>1000000</v>
      </c>
      <c r="T151" s="304" t="e">
        <f t="shared" si="58"/>
        <v>#N/A</v>
      </c>
      <c r="U151" s="304">
        <f t="shared" si="59"/>
        <v>0</v>
      </c>
      <c r="V151" s="304">
        <f t="shared" si="66"/>
        <v>0</v>
      </c>
      <c r="W151" s="305" t="e">
        <f t="shared" si="60"/>
        <v>#N/A</v>
      </c>
      <c r="X151" s="244"/>
    </row>
    <row r="152" spans="1:24" ht="13.5" x14ac:dyDescent="0.25">
      <c r="A152" s="9"/>
      <c r="B152" s="21"/>
      <c r="C152" s="55"/>
      <c r="D152" s="93" t="str">
        <f t="shared" si="51"/>
        <v/>
      </c>
      <c r="E152" s="90" t="str">
        <f t="shared" si="52"/>
        <v/>
      </c>
      <c r="F152" s="54" t="str">
        <f t="shared" si="53"/>
        <v/>
      </c>
      <c r="G152" s="93" t="str">
        <f t="shared" si="54"/>
        <v/>
      </c>
      <c r="H152" s="64" t="str">
        <f t="shared" si="55"/>
        <v/>
      </c>
      <c r="I152" s="90" t="str">
        <f t="shared" si="56"/>
        <v/>
      </c>
      <c r="J152" s="64" t="str">
        <f t="shared" si="57"/>
        <v/>
      </c>
      <c r="K152" s="291"/>
      <c r="L152" s="291"/>
      <c r="Q152" s="244"/>
      <c r="R152" s="304">
        <f t="shared" si="61"/>
        <v>-1000000</v>
      </c>
      <c r="S152" s="304">
        <f t="shared" si="62"/>
        <v>1000000</v>
      </c>
      <c r="T152" s="304" t="e">
        <f t="shared" si="58"/>
        <v>#N/A</v>
      </c>
      <c r="U152" s="304">
        <f t="shared" si="59"/>
        <v>0</v>
      </c>
      <c r="V152" s="304">
        <f t="shared" si="63"/>
        <v>0</v>
      </c>
      <c r="W152" s="305" t="e">
        <f t="shared" si="60"/>
        <v>#N/A</v>
      </c>
      <c r="X152" s="244"/>
    </row>
    <row r="153" spans="1:24" ht="13.5" x14ac:dyDescent="0.25">
      <c r="A153" s="9"/>
      <c r="B153" s="21"/>
      <c r="C153" s="55"/>
      <c r="D153" s="93" t="str">
        <f t="shared" si="51"/>
        <v/>
      </c>
      <c r="E153" s="90" t="str">
        <f t="shared" si="52"/>
        <v/>
      </c>
      <c r="F153" s="54" t="str">
        <f t="shared" si="53"/>
        <v/>
      </c>
      <c r="G153" s="93" t="str">
        <f t="shared" si="54"/>
        <v/>
      </c>
      <c r="H153" s="64" t="str">
        <f t="shared" si="55"/>
        <v/>
      </c>
      <c r="I153" s="90" t="str">
        <f t="shared" si="56"/>
        <v/>
      </c>
      <c r="J153" s="64" t="str">
        <f t="shared" si="57"/>
        <v/>
      </c>
      <c r="K153" s="291"/>
      <c r="L153" s="291"/>
      <c r="Q153" s="244"/>
      <c r="R153" s="304">
        <f t="shared" si="61"/>
        <v>-1000000</v>
      </c>
      <c r="S153" s="304">
        <f t="shared" si="62"/>
        <v>1000000</v>
      </c>
      <c r="T153" s="304" t="e">
        <f t="shared" si="58"/>
        <v>#N/A</v>
      </c>
      <c r="U153" s="304">
        <f t="shared" si="59"/>
        <v>0</v>
      </c>
      <c r="V153" s="304">
        <f t="shared" si="63"/>
        <v>0</v>
      </c>
      <c r="W153" s="305" t="e">
        <f t="shared" si="60"/>
        <v>#N/A</v>
      </c>
      <c r="X153" s="244"/>
    </row>
    <row r="154" spans="1:24" ht="13.5" x14ac:dyDescent="0.25">
      <c r="A154" s="9"/>
      <c r="B154" s="21"/>
      <c r="C154" s="55"/>
      <c r="D154" s="93" t="str">
        <f t="shared" si="51"/>
        <v/>
      </c>
      <c r="E154" s="90" t="str">
        <f t="shared" si="52"/>
        <v/>
      </c>
      <c r="F154" s="54" t="str">
        <f t="shared" si="53"/>
        <v/>
      </c>
      <c r="G154" s="93" t="str">
        <f t="shared" si="54"/>
        <v/>
      </c>
      <c r="H154" s="64" t="str">
        <f t="shared" si="55"/>
        <v/>
      </c>
      <c r="I154" s="90" t="str">
        <f t="shared" si="56"/>
        <v/>
      </c>
      <c r="J154" s="64" t="str">
        <f t="shared" si="57"/>
        <v/>
      </c>
      <c r="K154" s="291"/>
      <c r="L154" s="291"/>
      <c r="Q154" s="244"/>
      <c r="R154" s="304">
        <f t="shared" si="61"/>
        <v>-1000000</v>
      </c>
      <c r="S154" s="304">
        <f t="shared" si="62"/>
        <v>1000000</v>
      </c>
      <c r="T154" s="304" t="e">
        <f t="shared" si="58"/>
        <v>#N/A</v>
      </c>
      <c r="U154" s="304">
        <f t="shared" si="59"/>
        <v>0</v>
      </c>
      <c r="V154" s="304">
        <f t="shared" si="63"/>
        <v>0</v>
      </c>
      <c r="W154" s="305" t="e">
        <f t="shared" si="60"/>
        <v>#N/A</v>
      </c>
      <c r="X154" s="244"/>
    </row>
    <row r="155" spans="1:24" ht="13.5" x14ac:dyDescent="0.25">
      <c r="A155" s="9"/>
      <c r="B155" s="21"/>
      <c r="C155" s="55"/>
      <c r="D155" s="93" t="str">
        <f t="shared" si="51"/>
        <v/>
      </c>
      <c r="E155" s="90" t="str">
        <f t="shared" si="52"/>
        <v/>
      </c>
      <c r="F155" s="54" t="str">
        <f t="shared" si="53"/>
        <v/>
      </c>
      <c r="G155" s="93" t="str">
        <f t="shared" si="54"/>
        <v/>
      </c>
      <c r="H155" s="64" t="str">
        <f t="shared" si="55"/>
        <v/>
      </c>
      <c r="I155" s="90" t="str">
        <f t="shared" si="56"/>
        <v/>
      </c>
      <c r="J155" s="64" t="str">
        <f t="shared" si="57"/>
        <v/>
      </c>
      <c r="K155" s="291"/>
      <c r="L155" s="291"/>
      <c r="Q155" s="244"/>
      <c r="R155" s="304">
        <f t="shared" si="61"/>
        <v>-1000000</v>
      </c>
      <c r="S155" s="304">
        <f t="shared" si="62"/>
        <v>1000000</v>
      </c>
      <c r="T155" s="304" t="e">
        <f t="shared" si="58"/>
        <v>#N/A</v>
      </c>
      <c r="U155" s="304">
        <f t="shared" si="59"/>
        <v>0</v>
      </c>
      <c r="V155" s="304">
        <f t="shared" si="63"/>
        <v>0</v>
      </c>
      <c r="W155" s="305" t="e">
        <f t="shared" si="60"/>
        <v>#N/A</v>
      </c>
      <c r="X155" s="244"/>
    </row>
    <row r="156" spans="1:24" ht="13.5" x14ac:dyDescent="0.25">
      <c r="A156" s="9"/>
      <c r="B156" s="21"/>
      <c r="C156" s="55"/>
      <c r="D156" s="93" t="str">
        <f t="shared" si="51"/>
        <v/>
      </c>
      <c r="E156" s="90" t="str">
        <f t="shared" si="52"/>
        <v/>
      </c>
      <c r="F156" s="54" t="str">
        <f t="shared" si="53"/>
        <v/>
      </c>
      <c r="G156" s="93" t="str">
        <f t="shared" si="54"/>
        <v/>
      </c>
      <c r="H156" s="64" t="str">
        <f t="shared" si="55"/>
        <v/>
      </c>
      <c r="I156" s="90" t="str">
        <f t="shared" si="56"/>
        <v/>
      </c>
      <c r="J156" s="64" t="str">
        <f t="shared" si="57"/>
        <v/>
      </c>
      <c r="K156" s="291"/>
      <c r="L156" s="291"/>
      <c r="Q156" s="244"/>
      <c r="R156" s="304">
        <f t="shared" ref="R156:R158" si="67">IF(H156="Info",G156,IF(J156="Info",G156,-1000000))</f>
        <v>-1000000</v>
      </c>
      <c r="S156" s="304">
        <f t="shared" ref="S156:S158" si="68">IF(H156="Info",I156,IF(J156="Info",I156,1000000))</f>
        <v>1000000</v>
      </c>
      <c r="T156" s="304" t="e">
        <f t="shared" si="58"/>
        <v>#N/A</v>
      </c>
      <c r="U156" s="304">
        <f t="shared" si="59"/>
        <v>0</v>
      </c>
      <c r="V156" s="304">
        <f t="shared" ref="V156:V158" si="69">IF(H156="Pass",IF(J156="Pass",U156,0),0)</f>
        <v>0</v>
      </c>
      <c r="W156" s="305" t="e">
        <f t="shared" si="60"/>
        <v>#N/A</v>
      </c>
      <c r="X156" s="244"/>
    </row>
    <row r="157" spans="1:24" ht="13.5" x14ac:dyDescent="0.25">
      <c r="A157" s="9"/>
      <c r="B157" s="21"/>
      <c r="C157" s="55"/>
      <c r="D157" s="93" t="str">
        <f t="shared" si="51"/>
        <v/>
      </c>
      <c r="E157" s="90" t="str">
        <f t="shared" si="52"/>
        <v/>
      </c>
      <c r="F157" s="54" t="str">
        <f t="shared" si="53"/>
        <v/>
      </c>
      <c r="G157" s="93" t="str">
        <f t="shared" si="54"/>
        <v/>
      </c>
      <c r="H157" s="64" t="str">
        <f t="shared" si="55"/>
        <v/>
      </c>
      <c r="I157" s="90" t="str">
        <f t="shared" si="56"/>
        <v/>
      </c>
      <c r="J157" s="64" t="str">
        <f t="shared" si="57"/>
        <v/>
      </c>
      <c r="K157" s="291"/>
      <c r="L157" s="291"/>
      <c r="Q157" s="244"/>
      <c r="R157" s="304">
        <f t="shared" si="67"/>
        <v>-1000000</v>
      </c>
      <c r="S157" s="304">
        <f t="shared" si="68"/>
        <v>1000000</v>
      </c>
      <c r="T157" s="304" t="e">
        <f t="shared" si="58"/>
        <v>#N/A</v>
      </c>
      <c r="U157" s="304">
        <f t="shared" si="59"/>
        <v>0</v>
      </c>
      <c r="V157" s="304">
        <f t="shared" si="69"/>
        <v>0</v>
      </c>
      <c r="W157" s="305" t="e">
        <f t="shared" si="60"/>
        <v>#N/A</v>
      </c>
      <c r="X157" s="244"/>
    </row>
    <row r="158" spans="1:24" ht="13.5" x14ac:dyDescent="0.25">
      <c r="A158" s="9"/>
      <c r="B158" s="21"/>
      <c r="C158" s="55"/>
      <c r="D158" s="93" t="str">
        <f t="shared" si="51"/>
        <v/>
      </c>
      <c r="E158" s="90" t="str">
        <f t="shared" si="52"/>
        <v/>
      </c>
      <c r="F158" s="54" t="str">
        <f t="shared" si="53"/>
        <v/>
      </c>
      <c r="G158" s="93" t="str">
        <f t="shared" si="54"/>
        <v/>
      </c>
      <c r="H158" s="64" t="str">
        <f t="shared" si="55"/>
        <v/>
      </c>
      <c r="I158" s="90" t="str">
        <f t="shared" si="56"/>
        <v/>
      </c>
      <c r="J158" s="64" t="str">
        <f t="shared" si="57"/>
        <v/>
      </c>
      <c r="K158" s="291"/>
      <c r="L158" s="291"/>
      <c r="Q158" s="244"/>
      <c r="R158" s="304">
        <f t="shared" si="67"/>
        <v>-1000000</v>
      </c>
      <c r="S158" s="304">
        <f t="shared" si="68"/>
        <v>1000000</v>
      </c>
      <c r="T158" s="304" t="e">
        <f t="shared" si="58"/>
        <v>#N/A</v>
      </c>
      <c r="U158" s="304">
        <f t="shared" si="59"/>
        <v>0</v>
      </c>
      <c r="V158" s="304">
        <f t="shared" si="69"/>
        <v>0</v>
      </c>
      <c r="W158" s="305" t="e">
        <f t="shared" si="60"/>
        <v>#N/A</v>
      </c>
      <c r="X158" s="244"/>
    </row>
    <row r="159" spans="1:24" ht="13.5" x14ac:dyDescent="0.25">
      <c r="A159" s="9"/>
      <c r="B159" s="21"/>
      <c r="C159" s="55"/>
      <c r="D159" s="93" t="str">
        <f t="shared" si="51"/>
        <v/>
      </c>
      <c r="E159" s="90" t="str">
        <f t="shared" si="52"/>
        <v/>
      </c>
      <c r="F159" s="54" t="str">
        <f t="shared" si="53"/>
        <v/>
      </c>
      <c r="G159" s="93" t="str">
        <f t="shared" si="54"/>
        <v/>
      </c>
      <c r="H159" s="64" t="str">
        <f t="shared" si="55"/>
        <v/>
      </c>
      <c r="I159" s="90" t="str">
        <f t="shared" si="56"/>
        <v/>
      </c>
      <c r="J159" s="64" t="str">
        <f t="shared" si="57"/>
        <v/>
      </c>
      <c r="K159" s="291"/>
      <c r="L159" s="291"/>
      <c r="P159" s="244"/>
      <c r="Q159" s="244"/>
      <c r="R159" s="304">
        <f>IF(H159="Info",G159,IF(J159="Info",G159,-1000000))</f>
        <v>-1000000</v>
      </c>
      <c r="S159" s="304">
        <f>IF(H159="Info",I159,IF(J159="Info",I159,1000000))</f>
        <v>1000000</v>
      </c>
      <c r="T159" s="304" t="e">
        <f t="shared" si="58"/>
        <v>#N/A</v>
      </c>
      <c r="U159" s="304">
        <f t="shared" si="59"/>
        <v>0</v>
      </c>
      <c r="V159" s="304">
        <f>IF(H159="Pass",IF(J159="Pass",U159,0),0)</f>
        <v>0</v>
      </c>
      <c r="W159" s="305" t="e">
        <f t="shared" si="60"/>
        <v>#N/A</v>
      </c>
      <c r="X159" s="244"/>
    </row>
    <row r="160" spans="1:24" ht="13.5" x14ac:dyDescent="0.25">
      <c r="A160" s="9"/>
      <c r="B160" s="21"/>
      <c r="C160" s="55"/>
      <c r="D160" s="93" t="str">
        <f t="shared" si="51"/>
        <v/>
      </c>
      <c r="E160" s="90" t="str">
        <f t="shared" si="52"/>
        <v/>
      </c>
      <c r="F160" s="54" t="str">
        <f t="shared" si="53"/>
        <v/>
      </c>
      <c r="G160" s="93" t="str">
        <f t="shared" si="54"/>
        <v/>
      </c>
      <c r="H160" s="64" t="str">
        <f t="shared" si="55"/>
        <v/>
      </c>
      <c r="I160" s="90" t="str">
        <f t="shared" si="56"/>
        <v/>
      </c>
      <c r="J160" s="64" t="str">
        <f t="shared" si="57"/>
        <v/>
      </c>
      <c r="K160" s="291"/>
      <c r="L160" s="291"/>
      <c r="P160" s="244"/>
      <c r="Q160" s="244"/>
      <c r="R160" s="304">
        <f>IF(H160="Info",G160,IF(J160="Info",G160,-1000000))</f>
        <v>-1000000</v>
      </c>
      <c r="S160" s="304">
        <f>IF(H160="Info",I160,IF(J160="Info",I160,1000000))</f>
        <v>1000000</v>
      </c>
      <c r="T160" s="304" t="e">
        <f t="shared" si="58"/>
        <v>#N/A</v>
      </c>
      <c r="U160" s="304">
        <f t="shared" si="59"/>
        <v>0</v>
      </c>
      <c r="V160" s="304">
        <f>IF(H160="Pass",IF(J160="Pass",U160,0),0)</f>
        <v>0</v>
      </c>
      <c r="W160" s="305" t="e">
        <f t="shared" si="60"/>
        <v>#N/A</v>
      </c>
      <c r="X160" s="244"/>
    </row>
    <row r="161" spans="1:24" ht="13.5" x14ac:dyDescent="0.25">
      <c r="A161" s="9"/>
      <c r="B161" s="21"/>
      <c r="C161" s="55"/>
      <c r="D161" s="93" t="str">
        <f t="shared" si="51"/>
        <v/>
      </c>
      <c r="E161" s="90" t="str">
        <f t="shared" si="52"/>
        <v/>
      </c>
      <c r="F161" s="54" t="str">
        <f t="shared" si="53"/>
        <v/>
      </c>
      <c r="G161" s="93" t="str">
        <f t="shared" si="54"/>
        <v/>
      </c>
      <c r="H161" s="64" t="str">
        <f t="shared" si="55"/>
        <v/>
      </c>
      <c r="I161" s="90" t="str">
        <f t="shared" si="56"/>
        <v/>
      </c>
      <c r="J161" s="64" t="str">
        <f t="shared" si="57"/>
        <v/>
      </c>
      <c r="K161" s="291"/>
      <c r="L161" s="291"/>
      <c r="P161" s="244"/>
      <c r="Q161" s="244"/>
      <c r="R161" s="304">
        <f t="shared" si="61"/>
        <v>-1000000</v>
      </c>
      <c r="S161" s="304">
        <f t="shared" si="62"/>
        <v>1000000</v>
      </c>
      <c r="T161" s="304" t="e">
        <f t="shared" si="58"/>
        <v>#N/A</v>
      </c>
      <c r="U161" s="304">
        <f t="shared" si="59"/>
        <v>0</v>
      </c>
      <c r="V161" s="304">
        <f t="shared" si="63"/>
        <v>0</v>
      </c>
      <c r="W161" s="305" t="e">
        <f t="shared" si="60"/>
        <v>#N/A</v>
      </c>
      <c r="X161" s="244"/>
    </row>
    <row r="162" spans="1:24" ht="13.5" x14ac:dyDescent="0.25">
      <c r="A162" s="9"/>
      <c r="B162" s="21"/>
      <c r="C162" s="55"/>
      <c r="D162" s="93" t="str">
        <f t="shared" si="51"/>
        <v/>
      </c>
      <c r="E162" s="90" t="str">
        <f t="shared" si="52"/>
        <v/>
      </c>
      <c r="F162" s="54" t="str">
        <f t="shared" si="53"/>
        <v/>
      </c>
      <c r="G162" s="93" t="str">
        <f t="shared" si="54"/>
        <v/>
      </c>
      <c r="H162" s="64" t="str">
        <f t="shared" si="55"/>
        <v/>
      </c>
      <c r="I162" s="90" t="str">
        <f t="shared" si="56"/>
        <v/>
      </c>
      <c r="J162" s="64" t="str">
        <f t="shared" si="57"/>
        <v/>
      </c>
      <c r="K162" s="291"/>
      <c r="L162" s="291"/>
      <c r="P162" s="244"/>
      <c r="Q162" s="244"/>
      <c r="R162" s="304">
        <f>IF(H162="Info",G162,IF(J162="Info",G162,-1000000))</f>
        <v>-1000000</v>
      </c>
      <c r="S162" s="304">
        <f>IF(H162="Info",I162,IF(J162="Info",I162,1000000))</f>
        <v>1000000</v>
      </c>
      <c r="T162" s="304" t="e">
        <f t="shared" si="58"/>
        <v>#N/A</v>
      </c>
      <c r="U162" s="304">
        <f t="shared" si="59"/>
        <v>0</v>
      </c>
      <c r="V162" s="304">
        <f>IF(H162="Pass",IF(J162="Pass",U162,0),0)</f>
        <v>0</v>
      </c>
      <c r="W162" s="305" t="e">
        <f t="shared" si="60"/>
        <v>#N/A</v>
      </c>
      <c r="X162" s="244"/>
    </row>
    <row r="163" spans="1:24" ht="13.5" x14ac:dyDescent="0.25">
      <c r="A163" s="307"/>
      <c r="B163" s="308"/>
      <c r="C163" s="309"/>
      <c r="D163" s="93" t="str">
        <f t="shared" si="51"/>
        <v/>
      </c>
      <c r="E163" s="90" t="str">
        <f t="shared" si="52"/>
        <v/>
      </c>
      <c r="F163" s="54" t="str">
        <f t="shared" si="53"/>
        <v/>
      </c>
      <c r="G163" s="93" t="str">
        <f t="shared" si="54"/>
        <v/>
      </c>
      <c r="H163" s="64" t="str">
        <f t="shared" si="55"/>
        <v/>
      </c>
      <c r="I163" s="90" t="str">
        <f t="shared" si="56"/>
        <v/>
      </c>
      <c r="J163" s="64" t="str">
        <f t="shared" si="57"/>
        <v/>
      </c>
      <c r="K163" s="291"/>
      <c r="L163" s="291"/>
      <c r="P163" s="244"/>
      <c r="Q163" s="244"/>
      <c r="R163" s="304">
        <f t="shared" ref="R163:R168" si="70">IF(H163="Info",G163,IF(J163="Info",G163,-1000000))</f>
        <v>-1000000</v>
      </c>
      <c r="S163" s="304">
        <f t="shared" ref="S163:S168" si="71">IF(H163="Info",I163,IF(J163="Info",I163,1000000))</f>
        <v>1000000</v>
      </c>
      <c r="T163" s="304" t="e">
        <f t="shared" si="58"/>
        <v>#N/A</v>
      </c>
      <c r="U163" s="304">
        <f t="shared" si="59"/>
        <v>0</v>
      </c>
      <c r="V163" s="304">
        <f t="shared" ref="V163:V168" si="72">IF(H163="Pass",IF(J163="Pass",U163,0),0)</f>
        <v>0</v>
      </c>
      <c r="W163" s="305" t="e">
        <f t="shared" si="60"/>
        <v>#N/A</v>
      </c>
      <c r="X163" s="244"/>
    </row>
    <row r="164" spans="1:24" ht="13.5" x14ac:dyDescent="0.25">
      <c r="A164" s="307"/>
      <c r="B164" s="308"/>
      <c r="C164" s="309"/>
      <c r="D164" s="93" t="str">
        <f t="shared" si="51"/>
        <v/>
      </c>
      <c r="E164" s="90" t="str">
        <f t="shared" si="52"/>
        <v/>
      </c>
      <c r="F164" s="54" t="str">
        <f t="shared" si="53"/>
        <v/>
      </c>
      <c r="G164" s="93" t="str">
        <f t="shared" si="54"/>
        <v/>
      </c>
      <c r="H164" s="64" t="str">
        <f t="shared" si="55"/>
        <v/>
      </c>
      <c r="I164" s="90" t="str">
        <f t="shared" si="56"/>
        <v/>
      </c>
      <c r="J164" s="64" t="str">
        <f t="shared" si="57"/>
        <v/>
      </c>
      <c r="K164" s="291"/>
      <c r="L164" s="291"/>
      <c r="P164" s="244"/>
      <c r="Q164" s="244"/>
      <c r="R164" s="304">
        <f t="shared" si="70"/>
        <v>-1000000</v>
      </c>
      <c r="S164" s="304">
        <f t="shared" si="71"/>
        <v>1000000</v>
      </c>
      <c r="T164" s="304" t="e">
        <f t="shared" si="58"/>
        <v>#N/A</v>
      </c>
      <c r="U164" s="304">
        <f t="shared" si="59"/>
        <v>0</v>
      </c>
      <c r="V164" s="304">
        <f t="shared" si="72"/>
        <v>0</v>
      </c>
      <c r="W164" s="305" t="e">
        <f t="shared" si="60"/>
        <v>#N/A</v>
      </c>
      <c r="X164" s="244"/>
    </row>
    <row r="165" spans="1:24" ht="13.5" x14ac:dyDescent="0.25">
      <c r="A165" s="307"/>
      <c r="B165" s="308"/>
      <c r="C165" s="309"/>
      <c r="D165" s="93" t="str">
        <f t="shared" si="51"/>
        <v/>
      </c>
      <c r="E165" s="90" t="str">
        <f t="shared" si="52"/>
        <v/>
      </c>
      <c r="F165" s="54" t="str">
        <f t="shared" si="53"/>
        <v/>
      </c>
      <c r="G165" s="93" t="str">
        <f t="shared" si="54"/>
        <v/>
      </c>
      <c r="H165" s="64" t="str">
        <f t="shared" si="55"/>
        <v/>
      </c>
      <c r="I165" s="90" t="str">
        <f t="shared" si="56"/>
        <v/>
      </c>
      <c r="J165" s="64" t="str">
        <f t="shared" si="57"/>
        <v/>
      </c>
      <c r="K165" s="291"/>
      <c r="L165" s="291"/>
      <c r="P165" s="244"/>
      <c r="Q165" s="244"/>
      <c r="R165" s="304">
        <f t="shared" si="70"/>
        <v>-1000000</v>
      </c>
      <c r="S165" s="304">
        <f t="shared" si="71"/>
        <v>1000000</v>
      </c>
      <c r="T165" s="304" t="e">
        <f t="shared" si="58"/>
        <v>#N/A</v>
      </c>
      <c r="U165" s="304">
        <f t="shared" si="59"/>
        <v>0</v>
      </c>
      <c r="V165" s="304">
        <f t="shared" si="72"/>
        <v>0</v>
      </c>
      <c r="W165" s="305" t="e">
        <f t="shared" si="60"/>
        <v>#N/A</v>
      </c>
      <c r="X165" s="244"/>
    </row>
    <row r="166" spans="1:24" ht="13.5" x14ac:dyDescent="0.25">
      <c r="A166" s="307"/>
      <c r="B166" s="308"/>
      <c r="C166" s="309"/>
      <c r="D166" s="93" t="str">
        <f t="shared" si="51"/>
        <v/>
      </c>
      <c r="E166" s="90" t="str">
        <f t="shared" si="52"/>
        <v/>
      </c>
      <c r="F166" s="54" t="str">
        <f t="shared" si="53"/>
        <v/>
      </c>
      <c r="G166" s="93" t="str">
        <f t="shared" si="54"/>
        <v/>
      </c>
      <c r="H166" s="64" t="str">
        <f t="shared" si="55"/>
        <v/>
      </c>
      <c r="I166" s="90" t="str">
        <f t="shared" si="56"/>
        <v/>
      </c>
      <c r="J166" s="64" t="str">
        <f t="shared" si="57"/>
        <v/>
      </c>
      <c r="K166" s="291"/>
      <c r="L166" s="291"/>
      <c r="P166" s="244"/>
      <c r="Q166" s="244"/>
      <c r="R166" s="304">
        <f t="shared" si="70"/>
        <v>-1000000</v>
      </c>
      <c r="S166" s="304">
        <f t="shared" si="71"/>
        <v>1000000</v>
      </c>
      <c r="T166" s="304" t="e">
        <f t="shared" si="58"/>
        <v>#N/A</v>
      </c>
      <c r="U166" s="304">
        <f t="shared" si="59"/>
        <v>0</v>
      </c>
      <c r="V166" s="304">
        <f t="shared" si="72"/>
        <v>0</v>
      </c>
      <c r="W166" s="305" t="e">
        <f t="shared" si="60"/>
        <v>#N/A</v>
      </c>
      <c r="X166" s="244"/>
    </row>
    <row r="167" spans="1:24" ht="13.5" x14ac:dyDescent="0.25">
      <c r="A167" s="307"/>
      <c r="B167" s="308"/>
      <c r="C167" s="309"/>
      <c r="D167" s="93" t="str">
        <f t="shared" si="51"/>
        <v/>
      </c>
      <c r="E167" s="90" t="str">
        <f t="shared" si="52"/>
        <v/>
      </c>
      <c r="F167" s="54" t="str">
        <f t="shared" si="53"/>
        <v/>
      </c>
      <c r="G167" s="93" t="str">
        <f t="shared" si="54"/>
        <v/>
      </c>
      <c r="H167" s="64" t="str">
        <f t="shared" si="55"/>
        <v/>
      </c>
      <c r="I167" s="90" t="str">
        <f t="shared" si="56"/>
        <v/>
      </c>
      <c r="J167" s="64" t="str">
        <f t="shared" si="57"/>
        <v/>
      </c>
      <c r="K167" s="291"/>
      <c r="L167" s="291"/>
      <c r="P167" s="244"/>
      <c r="Q167" s="244"/>
      <c r="R167" s="304">
        <f t="shared" si="70"/>
        <v>-1000000</v>
      </c>
      <c r="S167" s="304">
        <f t="shared" si="71"/>
        <v>1000000</v>
      </c>
      <c r="T167" s="304" t="e">
        <f t="shared" si="58"/>
        <v>#N/A</v>
      </c>
      <c r="U167" s="304">
        <f t="shared" si="59"/>
        <v>0</v>
      </c>
      <c r="V167" s="304">
        <f t="shared" si="72"/>
        <v>0</v>
      </c>
      <c r="W167" s="305" t="e">
        <f t="shared" si="60"/>
        <v>#N/A</v>
      </c>
      <c r="X167" s="244"/>
    </row>
    <row r="168" spans="1:24" ht="13.5" x14ac:dyDescent="0.25">
      <c r="A168" s="307"/>
      <c r="B168" s="308"/>
      <c r="C168" s="309"/>
      <c r="D168" s="93" t="str">
        <f t="shared" si="51"/>
        <v/>
      </c>
      <c r="E168" s="90" t="str">
        <f t="shared" si="52"/>
        <v/>
      </c>
      <c r="F168" s="54" t="str">
        <f t="shared" si="53"/>
        <v/>
      </c>
      <c r="G168" s="93" t="str">
        <f t="shared" si="54"/>
        <v/>
      </c>
      <c r="H168" s="64" t="str">
        <f t="shared" si="55"/>
        <v/>
      </c>
      <c r="I168" s="90" t="str">
        <f t="shared" si="56"/>
        <v/>
      </c>
      <c r="J168" s="64" t="str">
        <f t="shared" si="57"/>
        <v/>
      </c>
      <c r="K168" s="291"/>
      <c r="L168" s="291"/>
      <c r="P168" s="244"/>
      <c r="Q168" s="244"/>
      <c r="R168" s="304">
        <f t="shared" si="70"/>
        <v>-1000000</v>
      </c>
      <c r="S168" s="304">
        <f t="shared" si="71"/>
        <v>1000000</v>
      </c>
      <c r="T168" s="304" t="e">
        <f t="shared" si="58"/>
        <v>#N/A</v>
      </c>
      <c r="U168" s="304">
        <f t="shared" si="59"/>
        <v>0</v>
      </c>
      <c r="V168" s="304">
        <f t="shared" si="72"/>
        <v>0</v>
      </c>
      <c r="W168" s="305" t="e">
        <f t="shared" si="60"/>
        <v>#N/A</v>
      </c>
      <c r="X168" s="244"/>
    </row>
    <row r="169" spans="1:24" ht="13.5" x14ac:dyDescent="0.25">
      <c r="A169" s="9"/>
      <c r="B169" s="21"/>
      <c r="C169" s="55"/>
      <c r="D169" s="93" t="str">
        <f t="shared" ref="D169:D200" si="73">IF(C169="","",MIN(B169:B169))</f>
        <v/>
      </c>
      <c r="E169" s="90" t="str">
        <f t="shared" ref="E169:E177" si="74">IF(C169="","",MAX(B169:B169))</f>
        <v/>
      </c>
      <c r="F169" s="54" t="str">
        <f t="shared" ref="F169:F177" si="75">IF(C169="","",IF(C169="    N/A","",IF(COUNTIF(B169:B169,"&gt;-1")&gt;0,ROUND((SUM(B169:B169)+COUNTIF(B169:B169,-1))/COUNTIF(B169:B169,"&gt;-1"),W169),ROUND(AVERAGE(B169:B169),W169))))</f>
        <v/>
      </c>
      <c r="G169" s="93" t="str">
        <f t="shared" ref="G169:G200" si="76">IF(F169="","",IF(VLOOKUP(A169,Test_Limits,2,FALSE)="","",VLOOKUP(A169,Test_Limits,2,FALSE)))</f>
        <v/>
      </c>
      <c r="H169" s="64" t="str">
        <f t="shared" ref="H169:H200" si="77">IF(G169="","",IF(AND(D169&lt;G169,D169&lt;&gt;T169),IF(VLOOKUP(A169,Test_Limits,5,FALSE)="PF","Fail","Info"),"Pass"))</f>
        <v/>
      </c>
      <c r="I169" s="90" t="str">
        <f t="shared" ref="I169:I177" si="78">IF(F169="","",IF(VLOOKUP(A169,Test_Limits,3,FALSE)="","",VLOOKUP(A169,Test_Limits,3,FALSE)))</f>
        <v/>
      </c>
      <c r="J169" s="64" t="str">
        <f t="shared" ref="J169:J200" si="79">IF(I169="","",IF(AND(E169&gt;I169,E169&lt;&gt;T169),IF(VLOOKUP(A169,Test_Limits,5,FALSE)="PF","Fail","Info"),"Pass"))</f>
        <v/>
      </c>
      <c r="K169" s="291"/>
      <c r="L169" s="291"/>
      <c r="P169" s="244"/>
      <c r="Q169" s="244"/>
      <c r="R169" s="304">
        <f t="shared" ref="R169" si="80">IF(H169="Info",G169,IF(J169="Info",G169,-1000000))</f>
        <v>-1000000</v>
      </c>
      <c r="S169" s="304">
        <f t="shared" ref="S169" si="81">IF(H169="Info",I169,IF(J169="Info",I169,1000000))</f>
        <v>1000000</v>
      </c>
      <c r="T169" s="304" t="e">
        <f t="shared" ref="T169:T174" si="82">IF(VLOOKUP(A169,Test_Limits,7,FALSE)&lt;&gt;"",VLOOKUP(A169,Test_Limits,7,FALSE),"")</f>
        <v>#N/A</v>
      </c>
      <c r="U169" s="304">
        <f t="shared" ref="U169:U174" si="83">IF(F169="",0,VLOOKUP(A169,Test_Limits,8,FALSE))</f>
        <v>0</v>
      </c>
      <c r="V169" s="304">
        <f t="shared" ref="V169" si="84">IF(H169="Pass",IF(J169="Pass",U169,0),0)</f>
        <v>0</v>
      </c>
      <c r="W169" s="305" t="e">
        <f t="shared" ref="W169:W175" si="85">VLOOKUP(A169,Test_Limits,6,FALSE)</f>
        <v>#N/A</v>
      </c>
      <c r="X169" s="244"/>
    </row>
    <row r="170" spans="1:24" ht="13.5" x14ac:dyDescent="0.25">
      <c r="A170" s="9"/>
      <c r="B170" s="21"/>
      <c r="C170" s="55"/>
      <c r="D170" s="93" t="str">
        <f t="shared" si="73"/>
        <v/>
      </c>
      <c r="E170" s="90" t="str">
        <f t="shared" si="74"/>
        <v/>
      </c>
      <c r="F170" s="54" t="str">
        <f t="shared" si="75"/>
        <v/>
      </c>
      <c r="G170" s="93" t="str">
        <f t="shared" si="76"/>
        <v/>
      </c>
      <c r="H170" s="64" t="str">
        <f t="shared" si="77"/>
        <v/>
      </c>
      <c r="I170" s="90" t="str">
        <f t="shared" si="78"/>
        <v/>
      </c>
      <c r="J170" s="64" t="str">
        <f t="shared" si="79"/>
        <v/>
      </c>
      <c r="K170" s="291"/>
      <c r="L170" s="291"/>
      <c r="P170" s="244"/>
      <c r="Q170" s="244"/>
      <c r="R170" s="304">
        <f>IF(H170="Info",G170,IF(J170="Info",G170,-1000000))</f>
        <v>-1000000</v>
      </c>
      <c r="S170" s="304">
        <f>IF(H170="Info",I170,IF(J170="Info",I170,1000000))</f>
        <v>1000000</v>
      </c>
      <c r="T170" s="304" t="e">
        <f t="shared" si="82"/>
        <v>#N/A</v>
      </c>
      <c r="U170" s="304">
        <f t="shared" si="83"/>
        <v>0</v>
      </c>
      <c r="V170" s="304">
        <f>IF(H170="Pass",IF(J170="Pass",U170,0),0)</f>
        <v>0</v>
      </c>
      <c r="W170" s="305" t="e">
        <f t="shared" si="85"/>
        <v>#N/A</v>
      </c>
      <c r="X170" s="244"/>
    </row>
    <row r="171" spans="1:24" ht="13.5" x14ac:dyDescent="0.25">
      <c r="A171" s="9"/>
      <c r="B171" s="21"/>
      <c r="C171" s="55"/>
      <c r="D171" s="93" t="str">
        <f t="shared" si="73"/>
        <v/>
      </c>
      <c r="E171" s="90" t="str">
        <f t="shared" si="74"/>
        <v/>
      </c>
      <c r="F171" s="54" t="str">
        <f t="shared" si="75"/>
        <v/>
      </c>
      <c r="G171" s="93" t="str">
        <f t="shared" si="76"/>
        <v/>
      </c>
      <c r="H171" s="64" t="str">
        <f t="shared" si="77"/>
        <v/>
      </c>
      <c r="I171" s="90" t="str">
        <f t="shared" si="78"/>
        <v/>
      </c>
      <c r="J171" s="64" t="str">
        <f t="shared" si="79"/>
        <v/>
      </c>
      <c r="K171" s="291"/>
      <c r="L171" s="291"/>
      <c r="P171" s="244"/>
      <c r="Q171" s="244"/>
      <c r="R171" s="304">
        <f t="shared" si="36"/>
        <v>-1000000</v>
      </c>
      <c r="S171" s="304">
        <f t="shared" si="37"/>
        <v>1000000</v>
      </c>
      <c r="T171" s="304" t="e">
        <f t="shared" si="82"/>
        <v>#N/A</v>
      </c>
      <c r="U171" s="304">
        <f t="shared" si="83"/>
        <v>0</v>
      </c>
      <c r="V171" s="304">
        <f t="shared" si="35"/>
        <v>0</v>
      </c>
      <c r="W171" s="305" t="e">
        <f t="shared" si="85"/>
        <v>#N/A</v>
      </c>
      <c r="X171" s="244"/>
    </row>
    <row r="172" spans="1:24" ht="13.5" x14ac:dyDescent="0.25">
      <c r="A172" s="9"/>
      <c r="B172" s="21"/>
      <c r="C172" s="55"/>
      <c r="D172" s="93" t="str">
        <f t="shared" si="73"/>
        <v/>
      </c>
      <c r="E172" s="90" t="str">
        <f t="shared" si="74"/>
        <v/>
      </c>
      <c r="F172" s="54" t="str">
        <f t="shared" si="75"/>
        <v/>
      </c>
      <c r="G172" s="93" t="str">
        <f t="shared" si="76"/>
        <v/>
      </c>
      <c r="H172" s="64" t="str">
        <f t="shared" si="77"/>
        <v/>
      </c>
      <c r="I172" s="90" t="str">
        <f t="shared" si="78"/>
        <v/>
      </c>
      <c r="J172" s="64" t="str">
        <f t="shared" si="79"/>
        <v/>
      </c>
      <c r="K172" s="291"/>
      <c r="L172" s="291"/>
      <c r="P172" s="244"/>
      <c r="Q172" s="244"/>
      <c r="R172" s="304">
        <f t="shared" si="36"/>
        <v>-1000000</v>
      </c>
      <c r="S172" s="304">
        <f t="shared" si="37"/>
        <v>1000000</v>
      </c>
      <c r="T172" s="304" t="e">
        <f t="shared" si="82"/>
        <v>#N/A</v>
      </c>
      <c r="U172" s="304">
        <f t="shared" si="83"/>
        <v>0</v>
      </c>
      <c r="V172" s="304">
        <f t="shared" si="35"/>
        <v>0</v>
      </c>
      <c r="W172" s="305" t="e">
        <f t="shared" si="85"/>
        <v>#N/A</v>
      </c>
      <c r="X172" s="244"/>
    </row>
    <row r="173" spans="1:24" ht="13.5" x14ac:dyDescent="0.25">
      <c r="A173" s="9"/>
      <c r="B173" s="21"/>
      <c r="C173" s="55"/>
      <c r="D173" s="93" t="str">
        <f t="shared" si="73"/>
        <v/>
      </c>
      <c r="E173" s="90" t="str">
        <f t="shared" si="74"/>
        <v/>
      </c>
      <c r="F173" s="54" t="str">
        <f t="shared" si="75"/>
        <v/>
      </c>
      <c r="G173" s="93" t="str">
        <f t="shared" si="76"/>
        <v/>
      </c>
      <c r="H173" s="64" t="str">
        <f t="shared" si="77"/>
        <v/>
      </c>
      <c r="I173" s="90" t="str">
        <f t="shared" si="78"/>
        <v/>
      </c>
      <c r="J173" s="64" t="str">
        <f t="shared" si="79"/>
        <v/>
      </c>
      <c r="K173" s="291"/>
      <c r="L173" s="291"/>
      <c r="P173" s="244"/>
      <c r="Q173" s="244"/>
      <c r="R173" s="304">
        <f>IF(H173="Info",G173,IF(J173="Info",G173,-1000000))</f>
        <v>-1000000</v>
      </c>
      <c r="S173" s="304">
        <f>IF(H173="Info",I173,IF(J173="Info",I173,1000000))</f>
        <v>1000000</v>
      </c>
      <c r="T173" s="304" t="e">
        <f t="shared" si="82"/>
        <v>#N/A</v>
      </c>
      <c r="U173" s="304">
        <f t="shared" si="83"/>
        <v>0</v>
      </c>
      <c r="V173" s="304">
        <f>IF(H173="Pass",IF(J173="Pass",U173,0),0)</f>
        <v>0</v>
      </c>
      <c r="W173" s="305" t="e">
        <f t="shared" si="85"/>
        <v>#N/A</v>
      </c>
      <c r="X173" s="244"/>
    </row>
    <row r="174" spans="1:24" ht="13.5" x14ac:dyDescent="0.25">
      <c r="A174" s="9"/>
      <c r="B174" s="21"/>
      <c r="C174" s="55"/>
      <c r="D174" s="93" t="str">
        <f t="shared" si="73"/>
        <v/>
      </c>
      <c r="E174" s="90" t="str">
        <f t="shared" si="74"/>
        <v/>
      </c>
      <c r="F174" s="54" t="str">
        <f t="shared" si="75"/>
        <v/>
      </c>
      <c r="G174" s="93" t="str">
        <f t="shared" si="76"/>
        <v/>
      </c>
      <c r="H174" s="64" t="str">
        <f t="shared" si="77"/>
        <v/>
      </c>
      <c r="I174" s="90" t="str">
        <f t="shared" si="78"/>
        <v/>
      </c>
      <c r="J174" s="64" t="str">
        <f t="shared" si="79"/>
        <v/>
      </c>
      <c r="K174" s="291"/>
      <c r="L174" s="291"/>
      <c r="P174" s="244"/>
      <c r="Q174" s="244"/>
      <c r="R174" s="304">
        <f>IF(H174="Info",G174,IF(J174="Info",G174,-1000000))</f>
        <v>-1000000</v>
      </c>
      <c r="S174" s="304">
        <f>IF(H174="Info",I174,IF(J174="Info",I174,1000000))</f>
        <v>1000000</v>
      </c>
      <c r="T174" s="304" t="e">
        <f t="shared" si="82"/>
        <v>#N/A</v>
      </c>
      <c r="U174" s="304">
        <f t="shared" si="83"/>
        <v>0</v>
      </c>
      <c r="V174" s="304">
        <f>IF(H174="Pass",IF(J174="Pass",U174,0),0)</f>
        <v>0</v>
      </c>
      <c r="W174" s="305" t="e">
        <f t="shared" si="85"/>
        <v>#N/A</v>
      </c>
      <c r="X174" s="244"/>
    </row>
    <row r="175" spans="1:24" ht="13.5" x14ac:dyDescent="0.25">
      <c r="A175" s="9"/>
      <c r="B175" s="21"/>
      <c r="C175" s="55"/>
      <c r="D175" s="93" t="str">
        <f t="shared" si="73"/>
        <v/>
      </c>
      <c r="E175" s="90" t="str">
        <f t="shared" si="74"/>
        <v/>
      </c>
      <c r="F175" s="54" t="str">
        <f t="shared" si="75"/>
        <v/>
      </c>
      <c r="G175" s="93" t="str">
        <f t="shared" si="76"/>
        <v/>
      </c>
      <c r="H175" s="64" t="str">
        <f t="shared" si="77"/>
        <v/>
      </c>
      <c r="I175" s="90" t="str">
        <f t="shared" si="78"/>
        <v/>
      </c>
      <c r="J175" s="64" t="str">
        <f t="shared" si="79"/>
        <v/>
      </c>
      <c r="K175" s="291"/>
      <c r="L175" s="291"/>
      <c r="P175" s="244"/>
      <c r="Q175" s="244"/>
      <c r="R175" s="306" t="s">
        <v>396</v>
      </c>
      <c r="S175" s="304"/>
      <c r="T175" s="304"/>
      <c r="U175" s="304">
        <f>SUM(U10:U174)</f>
        <v>376</v>
      </c>
      <c r="V175" s="304">
        <f>SUM(V10:V174)</f>
        <v>376</v>
      </c>
      <c r="W175" s="305" t="e">
        <f t="shared" si="85"/>
        <v>#N/A</v>
      </c>
      <c r="X175" s="244"/>
    </row>
    <row r="176" spans="1:24" ht="13.5" x14ac:dyDescent="0.25">
      <c r="A176" s="9"/>
      <c r="B176" s="21"/>
      <c r="C176" s="55"/>
      <c r="D176" s="93" t="str">
        <f t="shared" si="73"/>
        <v/>
      </c>
      <c r="E176" s="90" t="str">
        <f t="shared" si="74"/>
        <v/>
      </c>
      <c r="F176" s="54" t="str">
        <f t="shared" si="75"/>
        <v/>
      </c>
      <c r="G176" s="93" t="str">
        <f t="shared" si="76"/>
        <v/>
      </c>
      <c r="H176" s="64" t="str">
        <f t="shared" si="77"/>
        <v/>
      </c>
      <c r="I176" s="90" t="str">
        <f t="shared" si="78"/>
        <v/>
      </c>
      <c r="J176" s="64" t="str">
        <f t="shared" si="79"/>
        <v/>
      </c>
      <c r="K176" s="291"/>
      <c r="L176" s="291"/>
      <c r="P176" s="244"/>
      <c r="Q176" s="244"/>
      <c r="R176" s="306" t="s">
        <v>375</v>
      </c>
      <c r="S176" s="304"/>
      <c r="T176" s="304"/>
      <c r="U176" s="304"/>
      <c r="V176" s="304">
        <f>V175/U175</f>
        <v>1</v>
      </c>
      <c r="W176" s="305"/>
      <c r="X176" s="244"/>
    </row>
    <row r="177" spans="1:24" ht="13.5" x14ac:dyDescent="0.25">
      <c r="A177" s="9"/>
      <c r="B177" s="21"/>
      <c r="C177" s="55"/>
      <c r="D177" s="93" t="str">
        <f t="shared" si="73"/>
        <v/>
      </c>
      <c r="E177" s="90" t="str">
        <f t="shared" si="74"/>
        <v/>
      </c>
      <c r="F177" s="54" t="str">
        <f t="shared" si="75"/>
        <v/>
      </c>
      <c r="G177" s="93" t="str">
        <f t="shared" si="76"/>
        <v/>
      </c>
      <c r="H177" s="64" t="str">
        <f t="shared" si="77"/>
        <v/>
      </c>
      <c r="I177" s="90" t="str">
        <f t="shared" si="78"/>
        <v/>
      </c>
      <c r="J177" s="64" t="str">
        <f t="shared" si="79"/>
        <v/>
      </c>
      <c r="K177" s="291"/>
      <c r="L177" s="291"/>
      <c r="P177" s="244"/>
      <c r="Q177" s="244"/>
      <c r="R177" s="305" t="s">
        <v>394</v>
      </c>
      <c r="S177" s="305"/>
      <c r="T177" s="305"/>
      <c r="U177" s="305"/>
      <c r="V177" s="305">
        <f>COUNTIF(A9:A174,"Test:*")</f>
        <v>19</v>
      </c>
      <c r="W177" s="305"/>
      <c r="X177" s="244"/>
    </row>
    <row r="178" spans="1:24" x14ac:dyDescent="0.2">
      <c r="A178" s="289"/>
      <c r="B178" s="290"/>
      <c r="C178" s="291"/>
      <c r="D178" s="291"/>
      <c r="E178" s="291"/>
      <c r="F178" s="291"/>
      <c r="G178" s="291"/>
      <c r="H178" s="291"/>
      <c r="I178" s="291"/>
      <c r="J178" s="291"/>
      <c r="K178" s="291"/>
      <c r="L178" s="291"/>
      <c r="P178" s="244"/>
      <c r="Q178" s="244"/>
      <c r="R178" s="305" t="s">
        <v>395</v>
      </c>
      <c r="S178" s="305"/>
      <c r="T178" s="305"/>
      <c r="U178" s="305"/>
      <c r="V178" s="305">
        <f>160-COUNTIF(C9:C174,"")</f>
        <v>110</v>
      </c>
      <c r="W178" s="305"/>
      <c r="X178" s="244"/>
    </row>
    <row r="179" spans="1:24" x14ac:dyDescent="0.2">
      <c r="A179" s="292" t="s">
        <v>642</v>
      </c>
      <c r="B179" s="293" t="str">
        <f>IF(Version&lt;Min_AT_Version,IF(PD_Pwr="Type-2",Version,""),IF(TEXT(MinFwVer,"0.00")&lt;MinReqdFwVer,Version,""))</f>
        <v/>
      </c>
      <c r="C179" s="291"/>
      <c r="D179" s="291"/>
      <c r="E179" s="291"/>
      <c r="F179" s="291"/>
      <c r="G179" s="291"/>
      <c r="H179" s="291"/>
      <c r="I179" s="291"/>
      <c r="J179" s="291"/>
      <c r="K179" s="291"/>
      <c r="L179" s="291"/>
      <c r="P179" s="244"/>
      <c r="Q179" s="244"/>
      <c r="R179" s="244"/>
      <c r="S179" s="244"/>
      <c r="T179" s="244"/>
      <c r="U179" s="244"/>
      <c r="V179" s="244"/>
      <c r="W179" s="244"/>
      <c r="X179" s="244"/>
    </row>
    <row r="180" spans="1:24" x14ac:dyDescent="0.2">
      <c r="A180" s="294"/>
      <c r="B180" s="291"/>
      <c r="C180" s="291"/>
      <c r="D180" s="291"/>
      <c r="E180" s="291"/>
      <c r="F180" s="291"/>
      <c r="G180" s="291"/>
      <c r="H180" s="291"/>
      <c r="I180" s="291"/>
      <c r="J180" s="291"/>
      <c r="K180" s="291"/>
      <c r="L180" s="291"/>
      <c r="P180" s="244"/>
      <c r="Q180" s="244"/>
      <c r="R180" s="244"/>
      <c r="S180" s="244"/>
      <c r="T180" s="244"/>
      <c r="U180" s="244"/>
      <c r="V180" s="244"/>
      <c r="W180" s="244"/>
      <c r="X180" s="244"/>
    </row>
    <row r="181" spans="1:24" x14ac:dyDescent="0.2">
      <c r="A181" s="294"/>
      <c r="B181" s="291"/>
      <c r="C181" s="291"/>
      <c r="D181" s="291"/>
      <c r="E181" s="291"/>
      <c r="F181" s="291"/>
      <c r="G181" s="291"/>
      <c r="H181" s="291"/>
      <c r="I181" s="291"/>
      <c r="J181" s="291"/>
      <c r="K181" s="291"/>
      <c r="L181" s="291"/>
      <c r="P181" s="244"/>
      <c r="Q181" s="244"/>
      <c r="R181" s="244"/>
      <c r="S181" s="244"/>
      <c r="T181" s="244"/>
      <c r="U181" s="244"/>
      <c r="V181" s="244"/>
      <c r="W181" s="244"/>
      <c r="X181" s="244"/>
    </row>
    <row r="182" spans="1:24" x14ac:dyDescent="0.2">
      <c r="A182" s="165"/>
      <c r="P182" s="244"/>
      <c r="Q182" s="244"/>
      <c r="R182" s="244"/>
      <c r="S182" s="244"/>
      <c r="T182" s="244"/>
      <c r="U182" s="244"/>
      <c r="V182" s="244"/>
      <c r="W182" s="244"/>
      <c r="X182" s="244"/>
    </row>
    <row r="183" spans="1:24" x14ac:dyDescent="0.2">
      <c r="A183" s="165"/>
      <c r="B183" s="31"/>
    </row>
    <row r="184" spans="1:24" x14ac:dyDescent="0.2">
      <c r="A184" s="165"/>
      <c r="B184" s="31"/>
    </row>
    <row r="185" spans="1:24" x14ac:dyDescent="0.2">
      <c r="A185" s="165"/>
      <c r="B185" s="31"/>
    </row>
    <row r="186" spans="1:24" x14ac:dyDescent="0.2">
      <c r="A186" s="165"/>
      <c r="B186" s="31"/>
    </row>
    <row r="187" spans="1:24" x14ac:dyDescent="0.2">
      <c r="A187" s="165"/>
      <c r="B187" s="31"/>
    </row>
    <row r="188" spans="1:24" x14ac:dyDescent="0.2">
      <c r="A188" s="165"/>
      <c r="B188" s="31"/>
    </row>
    <row r="189" spans="1:24" x14ac:dyDescent="0.2">
      <c r="A189" s="165"/>
      <c r="B189" s="31"/>
    </row>
  </sheetData>
  <mergeCells count="10">
    <mergeCell ref="B7:C7"/>
    <mergeCell ref="A1:B1"/>
    <mergeCell ref="E5:J5"/>
    <mergeCell ref="E3:F3"/>
    <mergeCell ref="G3:H3"/>
    <mergeCell ref="G4:H4"/>
    <mergeCell ref="D4:F4"/>
    <mergeCell ref="A5:B5"/>
    <mergeCell ref="I4:J4"/>
    <mergeCell ref="I3:J3"/>
  </mergeCells>
  <phoneticPr fontId="0" type="noConversion"/>
  <conditionalFormatting sqref="A9:A27 A161 A29:A151 A169:A177">
    <cfRule type="cellIs" dxfId="38" priority="1141" stopIfTrue="1" operator="greaterThan">
      <formula>"""Test:"""</formula>
    </cfRule>
  </conditionalFormatting>
  <conditionalFormatting sqref="H9:H162 H169:H177">
    <cfRule type="cellIs" dxfId="37" priority="1127" stopIfTrue="1" operator="equal">
      <formula>"Pass"</formula>
    </cfRule>
    <cfRule type="cellIs" dxfId="36" priority="1128" stopIfTrue="1" operator="equal">
      <formula>"Fail"</formula>
    </cfRule>
    <cfRule type="cellIs" dxfId="35" priority="1129" stopIfTrue="1" operator="equal">
      <formula>"Info"</formula>
    </cfRule>
  </conditionalFormatting>
  <conditionalFormatting sqref="E5:J5">
    <cfRule type="cellIs" dxfId="34" priority="1139" stopIfTrue="1" operator="notEqual">
      <formula>"None"</formula>
    </cfRule>
  </conditionalFormatting>
  <conditionalFormatting sqref="B7:C7">
    <cfRule type="cellIs" dxfId="33" priority="1140" stopIfTrue="1" operator="equal">
      <formula>"PSA-1200 Ports"</formula>
    </cfRule>
  </conditionalFormatting>
  <conditionalFormatting sqref="A9">
    <cfRule type="cellIs" dxfId="32" priority="548" stopIfTrue="1" operator="equal">
      <formula>"Test Port Firmware Version:"</formula>
    </cfRule>
    <cfRule type="cellIs" dxfId="31" priority="549" stopIfTrue="1" operator="equal">
      <formula>"Test Port Hardware Version:"</formula>
    </cfRule>
  </conditionalFormatting>
  <conditionalFormatting sqref="A10">
    <cfRule type="cellIs" dxfId="30" priority="546" stopIfTrue="1" operator="equal">
      <formula>"Test Port Firmware Version:"</formula>
    </cfRule>
    <cfRule type="cellIs" dxfId="29" priority="547" stopIfTrue="1" operator="equal">
      <formula>"Test Port Hardware Version:"</formula>
    </cfRule>
  </conditionalFormatting>
  <conditionalFormatting sqref="A11:A27 A161 A29:A151 A169:A177">
    <cfRule type="cellIs" dxfId="28" priority="544" stopIfTrue="1" operator="equal">
      <formula>"Test Port Model Number:"</formula>
    </cfRule>
  </conditionalFormatting>
  <conditionalFormatting sqref="J9:J162 J169:J177">
    <cfRule type="cellIs" dxfId="27" priority="106" stopIfTrue="1" operator="equal">
      <formula>"Pass"</formula>
    </cfRule>
    <cfRule type="cellIs" dxfId="26" priority="107" stopIfTrue="1" operator="equal">
      <formula>"Fail"</formula>
    </cfRule>
    <cfRule type="cellIs" dxfId="25" priority="108" stopIfTrue="1" operator="equal">
      <formula>"Info"</formula>
    </cfRule>
  </conditionalFormatting>
  <conditionalFormatting sqref="A11:A27 A161 A29:A151 A169:A177">
    <cfRule type="cellIs" dxfId="24" priority="104" stopIfTrue="1" operator="equal">
      <formula>"Test Port Firmware Version:"</formula>
    </cfRule>
    <cfRule type="cellIs" dxfId="23" priority="105" stopIfTrue="1" operator="equal">
      <formula>"Test Port Hardware Version:"</formula>
    </cfRule>
  </conditionalFormatting>
  <conditionalFormatting sqref="A152:A160">
    <cfRule type="cellIs" dxfId="22" priority="72" stopIfTrue="1" operator="greaterThan">
      <formula>"""Test:"""</formula>
    </cfRule>
  </conditionalFormatting>
  <conditionalFormatting sqref="A152:A160">
    <cfRule type="cellIs" dxfId="21" priority="62" stopIfTrue="1" operator="equal">
      <formula>"Test Port Model Number:"</formula>
    </cfRule>
  </conditionalFormatting>
  <conditionalFormatting sqref="A152:A160">
    <cfRule type="cellIs" dxfId="20" priority="57" stopIfTrue="1" operator="equal">
      <formula>"Test Port Firmware Version:"</formula>
    </cfRule>
    <cfRule type="cellIs" dxfId="19" priority="58" stopIfTrue="1" operator="equal">
      <formula>"Test Port Hardware Version:"</formula>
    </cfRule>
  </conditionalFormatting>
  <conditionalFormatting sqref="A28">
    <cfRule type="cellIs" dxfId="18" priority="50" stopIfTrue="1" operator="greaterThan">
      <formula>"""Test:"""</formula>
    </cfRule>
  </conditionalFormatting>
  <conditionalFormatting sqref="A28">
    <cfRule type="cellIs" dxfId="17" priority="40" stopIfTrue="1" operator="equal">
      <formula>"Test Port Model Number:"</formula>
    </cfRule>
  </conditionalFormatting>
  <conditionalFormatting sqref="A28">
    <cfRule type="cellIs" dxfId="16" priority="35" stopIfTrue="1" operator="equal">
      <formula>"Test Port Firmware Version:"</formula>
    </cfRule>
    <cfRule type="cellIs" dxfId="15" priority="36" stopIfTrue="1" operator="equal">
      <formula>"Test Port Hardware Version:"</formula>
    </cfRule>
  </conditionalFormatting>
  <conditionalFormatting sqref="B9:B143 B147:B177">
    <cfRule type="cellIs" dxfId="14" priority="44" stopIfTrue="1" operator="equal">
      <formula>"See Log!"</formula>
    </cfRule>
    <cfRule type="expression" dxfId="13" priority="45" stopIfTrue="1">
      <formula>AND($C9&lt;&gt;"",B9&lt;&gt;$T9,OR(B9&lt;$R9,B9&gt;$S9))</formula>
    </cfRule>
    <cfRule type="expression" dxfId="12" priority="46" stopIfTrue="1">
      <formula>AND($C9&lt;&gt;"",B9&lt;&gt;$T9,OR(B9&lt;$G9,B9&gt;$I9))</formula>
    </cfRule>
  </conditionalFormatting>
  <conditionalFormatting sqref="A162:A168">
    <cfRule type="cellIs" dxfId="11" priority="10" stopIfTrue="1" operator="greaterThan">
      <formula>"""Test:"""</formula>
    </cfRule>
  </conditionalFormatting>
  <conditionalFormatting sqref="A162:A168">
    <cfRule type="cellIs" dxfId="10" priority="9" stopIfTrue="1" operator="equal">
      <formula>"Test Port Model Number:"</formula>
    </cfRule>
  </conditionalFormatting>
  <conditionalFormatting sqref="A162:A168">
    <cfRule type="cellIs" dxfId="9" priority="7" stopIfTrue="1" operator="equal">
      <formula>"Test Port Firmware Version:"</formula>
    </cfRule>
    <cfRule type="cellIs" dxfId="8" priority="8" stopIfTrue="1" operator="equal">
      <formula>"Test Port Hardware Version:"</formula>
    </cfRule>
  </conditionalFormatting>
  <conditionalFormatting sqref="H163:H168">
    <cfRule type="cellIs" dxfId="7" priority="4" stopIfTrue="1" operator="equal">
      <formula>"Pass"</formula>
    </cfRule>
    <cfRule type="cellIs" dxfId="6" priority="5" stopIfTrue="1" operator="equal">
      <formula>"Fail"</formula>
    </cfRule>
    <cfRule type="cellIs" dxfId="5" priority="6" stopIfTrue="1" operator="equal">
      <formula>"Info"</formula>
    </cfRule>
  </conditionalFormatting>
  <conditionalFormatting sqref="J163:J168">
    <cfRule type="cellIs" dxfId="4" priority="1" stopIfTrue="1" operator="equal">
      <formula>"Pass"</formula>
    </cfRule>
    <cfRule type="cellIs" dxfId="3" priority="2" stopIfTrue="1" operator="equal">
      <formula>"Fail"</formula>
    </cfRule>
    <cfRule type="cellIs" dxfId="2" priority="3" stopIfTrue="1" operator="equal">
      <formula>"Info"</formula>
    </cfRule>
  </conditionalFormatting>
  <pageMargins left="0.75" right="0.75" top="0.5" bottom="0.5" header="0.5" footer="0.5"/>
  <pageSetup scale="25"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P194"/>
  <sheetViews>
    <sheetView workbookViewId="0">
      <selection activeCell="E2" sqref="E2"/>
    </sheetView>
  </sheetViews>
  <sheetFormatPr defaultRowHeight="12.75" x14ac:dyDescent="0.2"/>
  <cols>
    <col min="2" max="2" width="33" customWidth="1"/>
    <col min="3" max="3" width="11.5703125" customWidth="1"/>
    <col min="4" max="4" width="11.42578125" customWidth="1"/>
    <col min="5" max="6" width="9.5703125" customWidth="1"/>
    <col min="7" max="7" width="11.140625" customWidth="1"/>
    <col min="8" max="8" width="9.5703125" customWidth="1"/>
    <col min="9" max="9" width="10.5703125" customWidth="1"/>
    <col min="11" max="11" width="10.85546875" customWidth="1"/>
    <col min="12" max="12" width="9.7109375" customWidth="1"/>
    <col min="13" max="13" width="11" customWidth="1"/>
    <col min="14" max="14" width="9.28515625" customWidth="1"/>
    <col min="15" max="15" width="4.5703125" customWidth="1"/>
    <col min="16" max="16" width="9.140625" customWidth="1"/>
  </cols>
  <sheetData>
    <row r="1" spans="1:16" x14ac:dyDescent="0.2">
      <c r="A1" s="62"/>
      <c r="B1" s="62"/>
      <c r="C1" s="62"/>
      <c r="D1" s="62"/>
      <c r="E1" s="62"/>
      <c r="F1" s="62"/>
      <c r="G1" s="62"/>
      <c r="H1" s="62"/>
      <c r="I1" s="62"/>
      <c r="J1" s="62"/>
      <c r="K1" s="62"/>
      <c r="L1" s="62"/>
      <c r="M1" s="62"/>
      <c r="N1" s="62"/>
      <c r="O1" s="62"/>
    </row>
    <row r="2" spans="1:16" ht="15" x14ac:dyDescent="0.25">
      <c r="A2" s="62"/>
      <c r="B2" s="110" t="s">
        <v>441</v>
      </c>
      <c r="C2" s="112" t="s">
        <v>393</v>
      </c>
      <c r="D2" s="113" t="s">
        <v>371</v>
      </c>
      <c r="E2" s="114" t="s">
        <v>392</v>
      </c>
      <c r="F2" s="115" t="s">
        <v>88</v>
      </c>
      <c r="G2" s="116" t="s">
        <v>370</v>
      </c>
      <c r="H2" s="117" t="s">
        <v>84</v>
      </c>
      <c r="I2" s="118" t="s">
        <v>81</v>
      </c>
      <c r="J2" s="111" t="s">
        <v>668</v>
      </c>
      <c r="K2" s="164" t="s">
        <v>377</v>
      </c>
      <c r="L2" s="166" t="s">
        <v>669</v>
      </c>
      <c r="M2" s="179" t="s">
        <v>402</v>
      </c>
      <c r="N2" s="180" t="s">
        <v>428</v>
      </c>
      <c r="O2" s="62"/>
    </row>
    <row r="3" spans="1:16" x14ac:dyDescent="0.2">
      <c r="A3" s="62"/>
      <c r="B3" s="62"/>
      <c r="C3" s="62"/>
      <c r="D3" s="62"/>
      <c r="E3" s="62"/>
      <c r="F3" s="62"/>
      <c r="G3" s="62"/>
      <c r="H3" s="62"/>
      <c r="I3" s="62"/>
      <c r="J3" s="62"/>
      <c r="K3" s="62"/>
      <c r="L3" s="62"/>
      <c r="M3" s="62"/>
      <c r="N3" s="62"/>
      <c r="O3" s="62"/>
    </row>
    <row r="4" spans="1:16" ht="15.75" thickBot="1" x14ac:dyDescent="0.3">
      <c r="A4" s="62"/>
      <c r="B4" s="105" t="s">
        <v>269</v>
      </c>
      <c r="C4" s="105" t="s">
        <v>265</v>
      </c>
      <c r="D4" s="105" t="s">
        <v>266</v>
      </c>
      <c r="E4" s="105" t="s">
        <v>271</v>
      </c>
      <c r="F4" s="105" t="s">
        <v>315</v>
      </c>
      <c r="G4" s="105" t="s">
        <v>389</v>
      </c>
      <c r="H4" s="105" t="s">
        <v>631</v>
      </c>
      <c r="I4" s="105" t="s">
        <v>44</v>
      </c>
      <c r="J4" s="62"/>
      <c r="K4" s="227" t="s">
        <v>86</v>
      </c>
      <c r="L4" s="228"/>
      <c r="M4" s="228"/>
      <c r="N4" s="229"/>
      <c r="O4" s="62"/>
      <c r="P4" s="62"/>
    </row>
    <row r="5" spans="1:16" x14ac:dyDescent="0.2">
      <c r="A5" s="62"/>
      <c r="B5" s="122" t="s">
        <v>250</v>
      </c>
      <c r="C5" s="123"/>
      <c r="D5" s="123"/>
      <c r="E5" s="123"/>
      <c r="F5" s="123"/>
      <c r="G5" s="123"/>
      <c r="H5" s="123"/>
      <c r="I5" s="123"/>
      <c r="J5" s="62"/>
      <c r="K5" s="342" t="s">
        <v>426</v>
      </c>
      <c r="L5" s="343"/>
      <c r="M5" s="106" t="s">
        <v>371</v>
      </c>
      <c r="N5" s="230" t="s">
        <v>372</v>
      </c>
      <c r="O5" s="62"/>
      <c r="P5" s="62"/>
    </row>
    <row r="6" spans="1:16" ht="13.5" x14ac:dyDescent="0.25">
      <c r="A6" s="62"/>
      <c r="B6" s="10" t="s">
        <v>279</v>
      </c>
      <c r="C6" s="1">
        <v>2.8</v>
      </c>
      <c r="D6" s="1">
        <v>30</v>
      </c>
      <c r="E6" s="3" t="s">
        <v>637</v>
      </c>
      <c r="F6" s="3" t="s">
        <v>316</v>
      </c>
      <c r="G6" s="3">
        <v>2</v>
      </c>
      <c r="H6" s="3"/>
      <c r="I6" s="3">
        <v>3</v>
      </c>
      <c r="J6" s="62"/>
      <c r="K6" s="340" t="s">
        <v>427</v>
      </c>
      <c r="L6" s="341"/>
      <c r="M6" s="107" t="s">
        <v>87</v>
      </c>
      <c r="N6" s="108" t="s">
        <v>88</v>
      </c>
      <c r="O6" s="62"/>
      <c r="P6" s="62"/>
    </row>
    <row r="7" spans="1:16" ht="13.5" x14ac:dyDescent="0.25">
      <c r="A7" s="62"/>
      <c r="B7" s="11" t="s">
        <v>280</v>
      </c>
      <c r="C7" s="2">
        <v>3.8</v>
      </c>
      <c r="D7" s="2">
        <v>10</v>
      </c>
      <c r="E7" s="4" t="s">
        <v>637</v>
      </c>
      <c r="F7" s="3" t="s">
        <v>316</v>
      </c>
      <c r="G7" s="3">
        <v>1</v>
      </c>
      <c r="H7" s="3"/>
      <c r="I7" s="3">
        <v>5</v>
      </c>
      <c r="J7" s="62"/>
      <c r="K7" s="362" t="s">
        <v>82</v>
      </c>
      <c r="L7" s="363"/>
      <c r="M7" s="107" t="s">
        <v>83</v>
      </c>
      <c r="N7" s="230" t="s">
        <v>84</v>
      </c>
      <c r="O7" s="62"/>
      <c r="P7" s="62"/>
    </row>
    <row r="8" spans="1:16" ht="13.5" x14ac:dyDescent="0.25">
      <c r="A8" s="62"/>
      <c r="B8" s="11" t="s">
        <v>281</v>
      </c>
      <c r="C8" s="2">
        <v>2.8</v>
      </c>
      <c r="D8" s="2">
        <v>9</v>
      </c>
      <c r="E8" s="4" t="s">
        <v>637</v>
      </c>
      <c r="F8" s="3" t="s">
        <v>316</v>
      </c>
      <c r="G8" s="3">
        <v>1</v>
      </c>
      <c r="H8" s="3"/>
      <c r="I8" s="3">
        <v>5</v>
      </c>
      <c r="J8" s="62"/>
      <c r="K8" s="362"/>
      <c r="L8" s="363"/>
      <c r="M8" s="225" t="s">
        <v>85</v>
      </c>
      <c r="N8" s="231" t="s">
        <v>425</v>
      </c>
      <c r="O8" s="62"/>
      <c r="P8" s="62"/>
    </row>
    <row r="9" spans="1:16" ht="13.5" x14ac:dyDescent="0.25">
      <c r="A9" s="62"/>
      <c r="B9" s="11" t="s">
        <v>282</v>
      </c>
      <c r="C9" s="2">
        <v>1</v>
      </c>
      <c r="D9" s="2">
        <v>7.2</v>
      </c>
      <c r="E9" s="4" t="s">
        <v>637</v>
      </c>
      <c r="F9" s="3" t="s">
        <v>316</v>
      </c>
      <c r="G9" s="3">
        <v>1</v>
      </c>
      <c r="H9" s="3"/>
      <c r="I9" s="3">
        <v>5</v>
      </c>
      <c r="J9" s="62"/>
      <c r="K9" s="364" t="s">
        <v>430</v>
      </c>
      <c r="L9" s="365"/>
      <c r="M9" s="226" t="s">
        <v>428</v>
      </c>
      <c r="N9" s="232" t="s">
        <v>429</v>
      </c>
      <c r="O9" s="62"/>
      <c r="P9" s="62"/>
    </row>
    <row r="10" spans="1:16" ht="13.5" x14ac:dyDescent="0.25">
      <c r="A10" s="62"/>
      <c r="B10" s="11" t="s">
        <v>283</v>
      </c>
      <c r="C10" s="2">
        <v>0</v>
      </c>
      <c r="D10" s="2">
        <v>0.1</v>
      </c>
      <c r="E10" s="4" t="s">
        <v>272</v>
      </c>
      <c r="F10" s="3" t="s">
        <v>316</v>
      </c>
      <c r="G10" s="3">
        <v>4</v>
      </c>
      <c r="H10" s="3"/>
      <c r="I10" s="3">
        <v>1</v>
      </c>
      <c r="J10" s="62"/>
      <c r="K10" s="62"/>
      <c r="L10" s="62"/>
      <c r="M10" s="62"/>
      <c r="N10" s="62"/>
      <c r="O10" s="62"/>
      <c r="P10" s="62"/>
    </row>
    <row r="11" spans="1:16" ht="13.5" x14ac:dyDescent="0.25">
      <c r="A11" s="62"/>
      <c r="B11" s="11" t="s">
        <v>284</v>
      </c>
      <c r="C11" s="2">
        <v>1</v>
      </c>
      <c r="D11" s="2">
        <v>9</v>
      </c>
      <c r="E11" s="4" t="s">
        <v>638</v>
      </c>
      <c r="F11" s="3" t="s">
        <v>316</v>
      </c>
      <c r="G11" s="3">
        <v>1</v>
      </c>
      <c r="H11" s="3"/>
      <c r="I11" s="3">
        <v>5</v>
      </c>
      <c r="J11" s="62"/>
      <c r="K11" s="62"/>
      <c r="L11" s="62"/>
      <c r="M11" s="62"/>
      <c r="N11" s="62"/>
      <c r="O11" s="62"/>
      <c r="P11" s="62"/>
    </row>
    <row r="12" spans="1:16" ht="14.25" thickBot="1" x14ac:dyDescent="0.3">
      <c r="A12" s="62"/>
      <c r="B12" s="11" t="s">
        <v>92</v>
      </c>
      <c r="C12" s="2">
        <v>0</v>
      </c>
      <c r="D12" s="109">
        <f>IF(ALT="Alt-B",2.8,IF(HighPwrGrant="PHY",2.8,9))</f>
        <v>2.8</v>
      </c>
      <c r="E12" s="4" t="s">
        <v>637</v>
      </c>
      <c r="F12" s="3" t="s">
        <v>316</v>
      </c>
      <c r="G12" s="3">
        <v>1</v>
      </c>
      <c r="H12" s="3"/>
      <c r="I12" s="109">
        <f>IF(HighPwrGrant="PHY",5,1)</f>
        <v>5</v>
      </c>
      <c r="J12" s="62"/>
      <c r="K12" s="104" t="s">
        <v>209</v>
      </c>
      <c r="L12" s="62"/>
      <c r="M12" s="62"/>
      <c r="N12" s="62"/>
      <c r="O12" s="62"/>
      <c r="P12" s="62"/>
    </row>
    <row r="13" spans="1:16" ht="13.5" x14ac:dyDescent="0.25">
      <c r="A13" s="62"/>
      <c r="B13" s="11" t="s">
        <v>62</v>
      </c>
      <c r="C13" s="2">
        <v>0</v>
      </c>
      <c r="D13" s="2">
        <v>0</v>
      </c>
      <c r="E13" s="4" t="s">
        <v>61</v>
      </c>
      <c r="F13" s="3" t="s">
        <v>317</v>
      </c>
      <c r="G13" s="3">
        <v>0</v>
      </c>
      <c r="H13" s="3"/>
      <c r="I13" s="3">
        <v>0</v>
      </c>
      <c r="J13" s="62"/>
      <c r="K13" s="344" t="s">
        <v>77</v>
      </c>
      <c r="L13" s="345"/>
      <c r="M13" s="345"/>
      <c r="N13" s="346"/>
      <c r="O13" s="62"/>
      <c r="P13" s="62"/>
    </row>
    <row r="14" spans="1:16" ht="13.5" x14ac:dyDescent="0.25">
      <c r="A14" s="62"/>
      <c r="B14" s="11" t="s">
        <v>60</v>
      </c>
      <c r="C14" s="2">
        <v>0</v>
      </c>
      <c r="D14" s="2">
        <v>2</v>
      </c>
      <c r="E14" s="4" t="s">
        <v>61</v>
      </c>
      <c r="F14" s="3" t="s">
        <v>316</v>
      </c>
      <c r="G14" s="3">
        <v>0</v>
      </c>
      <c r="H14" s="3"/>
      <c r="I14" s="3">
        <v>3</v>
      </c>
      <c r="J14" s="62"/>
      <c r="K14" s="206" t="s">
        <v>373</v>
      </c>
      <c r="L14" s="207"/>
      <c r="M14" s="207"/>
      <c r="N14" s="222"/>
      <c r="O14" s="62"/>
      <c r="P14" s="62"/>
    </row>
    <row r="15" spans="1:16" x14ac:dyDescent="0.2">
      <c r="A15" s="62"/>
      <c r="B15" s="124" t="s">
        <v>251</v>
      </c>
      <c r="C15" s="125"/>
      <c r="D15" s="125"/>
      <c r="E15" s="126"/>
      <c r="F15" s="126"/>
      <c r="G15" s="126"/>
      <c r="H15" s="126"/>
      <c r="I15" s="126"/>
      <c r="J15" s="62"/>
      <c r="K15" s="200" t="s">
        <v>415</v>
      </c>
      <c r="L15" s="196"/>
      <c r="M15" s="196"/>
      <c r="N15" s="223"/>
      <c r="O15" s="62"/>
      <c r="P15" s="62"/>
    </row>
    <row r="16" spans="1:16" ht="13.5" x14ac:dyDescent="0.25">
      <c r="A16" s="62"/>
      <c r="B16" s="10" t="s">
        <v>303</v>
      </c>
      <c r="C16" s="1">
        <v>0</v>
      </c>
      <c r="D16" s="1">
        <v>5</v>
      </c>
      <c r="E16" s="3" t="s">
        <v>273</v>
      </c>
      <c r="F16" s="3" t="s">
        <v>316</v>
      </c>
      <c r="G16" s="3">
        <v>2</v>
      </c>
      <c r="H16" s="3"/>
      <c r="I16" s="3">
        <v>1</v>
      </c>
      <c r="J16" s="62"/>
      <c r="K16" s="203" t="s">
        <v>414</v>
      </c>
      <c r="L16" s="204"/>
      <c r="M16" s="204"/>
      <c r="N16" s="205"/>
      <c r="O16" s="62"/>
      <c r="P16" s="62"/>
    </row>
    <row r="17" spans="1:16" ht="13.5" x14ac:dyDescent="0.25">
      <c r="A17" s="62"/>
      <c r="B17" s="11" t="s">
        <v>285</v>
      </c>
      <c r="C17" s="2">
        <v>0</v>
      </c>
      <c r="D17" s="2">
        <v>5</v>
      </c>
      <c r="E17" s="4" t="s">
        <v>273</v>
      </c>
      <c r="F17" s="3" t="s">
        <v>316</v>
      </c>
      <c r="G17" s="3">
        <v>2</v>
      </c>
      <c r="H17" s="3"/>
      <c r="I17" s="3">
        <v>1</v>
      </c>
      <c r="J17" s="62"/>
      <c r="K17" s="352" t="s">
        <v>424</v>
      </c>
      <c r="L17" s="353"/>
      <c r="M17" s="353"/>
      <c r="N17" s="354"/>
      <c r="O17" s="62"/>
      <c r="P17" s="62"/>
    </row>
    <row r="18" spans="1:16" ht="13.5" thickBot="1" x14ac:dyDescent="0.25">
      <c r="A18" s="62"/>
      <c r="B18" s="124" t="s">
        <v>252</v>
      </c>
      <c r="C18" s="125"/>
      <c r="D18" s="125"/>
      <c r="E18" s="126"/>
      <c r="F18" s="126"/>
      <c r="G18" s="126"/>
      <c r="H18" s="126"/>
      <c r="I18" s="126"/>
      <c r="J18" s="62"/>
      <c r="K18" s="359" t="s">
        <v>423</v>
      </c>
      <c r="L18" s="360"/>
      <c r="M18" s="360"/>
      <c r="N18" s="361"/>
      <c r="O18" s="62"/>
      <c r="P18" s="62"/>
    </row>
    <row r="19" spans="1:16" ht="13.5" x14ac:dyDescent="0.25">
      <c r="A19" s="62"/>
      <c r="B19" s="10" t="s">
        <v>286</v>
      </c>
      <c r="C19" s="1">
        <v>26</v>
      </c>
      <c r="D19" s="1">
        <v>32</v>
      </c>
      <c r="E19" s="3" t="s">
        <v>274</v>
      </c>
      <c r="F19" s="3" t="s">
        <v>316</v>
      </c>
      <c r="G19" s="3">
        <v>1</v>
      </c>
      <c r="H19" s="3"/>
      <c r="I19" s="3">
        <v>5</v>
      </c>
      <c r="J19" s="62"/>
      <c r="K19" s="62"/>
      <c r="L19" s="62"/>
      <c r="M19" s="62"/>
      <c r="N19" s="62"/>
      <c r="O19" s="62"/>
      <c r="P19" s="62"/>
    </row>
    <row r="20" spans="1:16" ht="13.5" x14ac:dyDescent="0.25">
      <c r="A20" s="62"/>
      <c r="B20" s="11" t="s">
        <v>287</v>
      </c>
      <c r="C20" s="2">
        <v>16</v>
      </c>
      <c r="D20" s="2">
        <v>19</v>
      </c>
      <c r="E20" s="4" t="s">
        <v>274</v>
      </c>
      <c r="F20" s="3" t="s">
        <v>316</v>
      </c>
      <c r="G20" s="3">
        <v>1</v>
      </c>
      <c r="H20" s="3"/>
      <c r="I20" s="3">
        <v>5</v>
      </c>
      <c r="J20" s="62"/>
      <c r="K20" s="62"/>
      <c r="L20" s="62"/>
      <c r="M20" s="62"/>
      <c r="N20" s="62"/>
      <c r="O20" s="62"/>
      <c r="P20" s="62"/>
    </row>
    <row r="21" spans="1:16" ht="14.25" thickBot="1" x14ac:dyDescent="0.3">
      <c r="A21" s="62"/>
      <c r="B21" s="11" t="s">
        <v>91</v>
      </c>
      <c r="C21" s="2">
        <v>26</v>
      </c>
      <c r="D21" s="2">
        <v>33</v>
      </c>
      <c r="E21" s="4" t="s">
        <v>274</v>
      </c>
      <c r="F21" s="3" t="s">
        <v>316</v>
      </c>
      <c r="G21" s="3">
        <v>1</v>
      </c>
      <c r="H21" s="3"/>
      <c r="I21" s="3">
        <v>3</v>
      </c>
      <c r="J21" s="62"/>
      <c r="K21" s="358" t="s">
        <v>347</v>
      </c>
      <c r="L21" s="358"/>
      <c r="M21" s="358"/>
      <c r="N21" s="62"/>
      <c r="O21" s="62"/>
      <c r="P21" s="62"/>
    </row>
    <row r="22" spans="1:16" ht="13.5" x14ac:dyDescent="0.25">
      <c r="A22" s="62"/>
      <c r="B22" s="11" t="s">
        <v>288</v>
      </c>
      <c r="C22" s="2">
        <v>0</v>
      </c>
      <c r="D22" s="2">
        <v>10</v>
      </c>
      <c r="E22" s="5" t="s">
        <v>275</v>
      </c>
      <c r="F22" s="3" t="s">
        <v>316</v>
      </c>
      <c r="G22" s="3">
        <v>1</v>
      </c>
      <c r="H22" s="3"/>
      <c r="I22" s="3">
        <v>3</v>
      </c>
      <c r="J22" s="62"/>
      <c r="K22" s="355" t="s">
        <v>416</v>
      </c>
      <c r="L22" s="356"/>
      <c r="M22" s="356"/>
      <c r="N22" s="357"/>
      <c r="O22" s="62"/>
      <c r="P22" s="62"/>
    </row>
    <row r="23" spans="1:16" ht="14.25" thickBot="1" x14ac:dyDescent="0.3">
      <c r="A23" s="62"/>
      <c r="B23" s="11" t="s">
        <v>182</v>
      </c>
      <c r="C23" s="14">
        <v>0</v>
      </c>
      <c r="D23" s="299">
        <v>0</v>
      </c>
      <c r="E23" s="286" t="s">
        <v>61</v>
      </c>
      <c r="F23" s="286" t="s">
        <v>316</v>
      </c>
      <c r="G23" s="286">
        <v>1</v>
      </c>
      <c r="H23" s="286"/>
      <c r="I23" s="286">
        <v>3</v>
      </c>
      <c r="J23" s="62"/>
      <c r="K23" s="347" t="s">
        <v>417</v>
      </c>
      <c r="L23" s="348"/>
      <c r="M23" s="348"/>
      <c r="N23" s="349"/>
      <c r="O23" s="62"/>
      <c r="P23" s="62"/>
    </row>
    <row r="24" spans="1:16" ht="13.5" x14ac:dyDescent="0.25">
      <c r="A24" s="62"/>
      <c r="B24" s="13" t="s">
        <v>649</v>
      </c>
      <c r="C24" s="14">
        <v>0</v>
      </c>
      <c r="D24" s="302">
        <f>IF(BT=1,1,0)</f>
        <v>0</v>
      </c>
      <c r="E24" s="286" t="s">
        <v>61</v>
      </c>
      <c r="F24" s="286" t="s">
        <v>316</v>
      </c>
      <c r="G24" s="286">
        <v>0</v>
      </c>
      <c r="H24" s="286"/>
      <c r="I24" s="286">
        <v>5</v>
      </c>
      <c r="J24" s="62"/>
      <c r="K24" s="301"/>
      <c r="L24" s="301"/>
      <c r="M24" s="301"/>
      <c r="N24" s="301"/>
      <c r="O24" s="62"/>
      <c r="P24" s="62"/>
    </row>
    <row r="25" spans="1:16" x14ac:dyDescent="0.2">
      <c r="A25" s="62"/>
      <c r="B25" s="124" t="s">
        <v>253</v>
      </c>
      <c r="C25" s="125"/>
      <c r="D25" s="125"/>
      <c r="E25" s="126"/>
      <c r="F25" s="126"/>
      <c r="G25" s="126"/>
      <c r="H25" s="126"/>
      <c r="I25" s="126"/>
      <c r="J25" s="62"/>
      <c r="K25" s="62"/>
      <c r="L25" s="62"/>
      <c r="M25" s="62"/>
      <c r="N25" s="62"/>
      <c r="O25" s="62"/>
      <c r="P25" s="62"/>
    </row>
    <row r="26" spans="1:16" ht="13.5" x14ac:dyDescent="0.25">
      <c r="A26" s="62"/>
      <c r="B26" s="10" t="s">
        <v>289</v>
      </c>
      <c r="C26" s="109">
        <f>IF(ALT="Alt-A",-1,2000)</f>
        <v>-1</v>
      </c>
      <c r="D26" s="109">
        <f>IF(ALT="Alt-A",1500,16000)</f>
        <v>1500</v>
      </c>
      <c r="E26" s="3" t="s">
        <v>276</v>
      </c>
      <c r="F26" s="119" t="str">
        <f>IF(ALT="Alt-A","Warn","PF")</f>
        <v>Warn</v>
      </c>
      <c r="G26" s="3">
        <v>1</v>
      </c>
      <c r="H26" s="3"/>
      <c r="I26" s="3">
        <v>1</v>
      </c>
      <c r="J26" s="62"/>
      <c r="K26" s="62"/>
      <c r="L26" s="62"/>
      <c r="M26" s="62"/>
      <c r="N26" s="62"/>
      <c r="O26" s="62"/>
      <c r="P26" s="62"/>
    </row>
    <row r="27" spans="1:16" ht="13.5" x14ac:dyDescent="0.25">
      <c r="A27" s="62"/>
      <c r="B27" s="10" t="s">
        <v>28</v>
      </c>
      <c r="C27" s="109">
        <f>C26</f>
        <v>-1</v>
      </c>
      <c r="D27" s="109">
        <f>IF(ALT="Alt-A",1500,16000)</f>
        <v>1500</v>
      </c>
      <c r="E27" s="3" t="s">
        <v>276</v>
      </c>
      <c r="F27" s="119" t="str">
        <f>IF(ALT="Alt-A","Warn","PF")</f>
        <v>Warn</v>
      </c>
      <c r="G27" s="3">
        <v>1</v>
      </c>
      <c r="H27" s="3"/>
      <c r="I27" s="119">
        <f>IF(ALT="Alt-A",0,1)</f>
        <v>0</v>
      </c>
      <c r="J27" s="62"/>
      <c r="K27" s="62"/>
      <c r="L27" s="62"/>
      <c r="M27" s="62"/>
      <c r="N27" s="62"/>
      <c r="O27" s="62"/>
      <c r="P27" s="62"/>
    </row>
    <row r="28" spans="1:16" ht="13.5" x14ac:dyDescent="0.25">
      <c r="A28" s="62"/>
      <c r="B28" s="10" t="s">
        <v>64</v>
      </c>
      <c r="C28" s="3">
        <v>0</v>
      </c>
      <c r="D28" s="3">
        <v>0</v>
      </c>
      <c r="E28" s="4" t="s">
        <v>61</v>
      </c>
      <c r="F28" s="3" t="s">
        <v>317</v>
      </c>
      <c r="G28" s="3">
        <v>0</v>
      </c>
      <c r="H28" s="3"/>
      <c r="I28" s="3">
        <v>1</v>
      </c>
      <c r="J28" s="62"/>
      <c r="K28" s="62"/>
      <c r="L28" s="62"/>
      <c r="M28" s="62"/>
      <c r="N28" s="62"/>
      <c r="O28" s="62"/>
      <c r="P28" s="62"/>
    </row>
    <row r="29" spans="1:16" ht="13.5" x14ac:dyDescent="0.25">
      <c r="A29" s="62"/>
      <c r="B29" s="11" t="s">
        <v>290</v>
      </c>
      <c r="C29" s="2">
        <v>5</v>
      </c>
      <c r="D29" s="2">
        <v>500</v>
      </c>
      <c r="E29" s="4" t="s">
        <v>276</v>
      </c>
      <c r="F29" s="3" t="s">
        <v>316</v>
      </c>
      <c r="G29" s="3">
        <v>1</v>
      </c>
      <c r="H29" s="3"/>
      <c r="I29" s="3">
        <v>1</v>
      </c>
      <c r="J29" s="62"/>
      <c r="K29" s="62"/>
      <c r="L29" s="62"/>
      <c r="M29" s="62"/>
      <c r="N29" s="62"/>
      <c r="O29" s="62"/>
      <c r="P29" s="62"/>
    </row>
    <row r="30" spans="1:16" ht="13.5" x14ac:dyDescent="0.25">
      <c r="A30" s="62"/>
      <c r="B30" s="11" t="s">
        <v>291</v>
      </c>
      <c r="C30" s="2">
        <v>5</v>
      </c>
      <c r="D30" s="2">
        <v>1000</v>
      </c>
      <c r="E30" s="4" t="s">
        <v>276</v>
      </c>
      <c r="F30" s="3" t="s">
        <v>316</v>
      </c>
      <c r="G30" s="3">
        <v>1</v>
      </c>
      <c r="H30" s="3"/>
      <c r="I30" s="3">
        <v>0</v>
      </c>
      <c r="J30" s="62"/>
      <c r="K30" s="62"/>
      <c r="L30" s="62"/>
      <c r="M30" s="62"/>
      <c r="N30" s="62"/>
      <c r="O30" s="62"/>
      <c r="P30" s="62"/>
    </row>
    <row r="31" spans="1:16" x14ac:dyDescent="0.2">
      <c r="A31" s="62"/>
      <c r="B31" s="124" t="s">
        <v>254</v>
      </c>
      <c r="C31" s="125"/>
      <c r="D31" s="125"/>
      <c r="E31" s="126"/>
      <c r="F31" s="126"/>
      <c r="G31" s="126"/>
      <c r="H31" s="126"/>
      <c r="I31" s="126"/>
      <c r="J31" s="62"/>
      <c r="K31" s="62"/>
      <c r="L31" s="62"/>
      <c r="M31" s="62"/>
      <c r="N31" s="62"/>
      <c r="O31" s="62"/>
      <c r="P31" s="62"/>
    </row>
    <row r="32" spans="1:16" ht="13.5" x14ac:dyDescent="0.25">
      <c r="A32" s="62"/>
      <c r="B32" s="10" t="s">
        <v>606</v>
      </c>
      <c r="C32" s="1">
        <v>0</v>
      </c>
      <c r="D32" s="1">
        <v>1</v>
      </c>
      <c r="E32" s="3" t="s">
        <v>61</v>
      </c>
      <c r="F32" s="3" t="s">
        <v>317</v>
      </c>
      <c r="G32" s="3">
        <v>0</v>
      </c>
      <c r="H32" s="3"/>
      <c r="I32" s="3">
        <v>1</v>
      </c>
      <c r="J32" s="62"/>
      <c r="K32" s="62"/>
      <c r="L32" s="62"/>
      <c r="M32" s="62"/>
      <c r="N32" s="62"/>
      <c r="O32" s="62"/>
      <c r="P32" s="62"/>
    </row>
    <row r="33" spans="1:16" ht="13.5" x14ac:dyDescent="0.25">
      <c r="A33" s="62"/>
      <c r="B33" s="11" t="s">
        <v>292</v>
      </c>
      <c r="C33" s="2">
        <v>45</v>
      </c>
      <c r="D33" s="2">
        <v>2000</v>
      </c>
      <c r="E33" s="286" t="s">
        <v>274</v>
      </c>
      <c r="F33" s="3" t="s">
        <v>317</v>
      </c>
      <c r="G33" s="3">
        <v>1</v>
      </c>
      <c r="H33" s="3">
        <v>0</v>
      </c>
      <c r="I33" s="3">
        <v>1</v>
      </c>
      <c r="J33" s="62"/>
      <c r="K33" s="62"/>
      <c r="L33" s="62"/>
      <c r="M33" s="62"/>
      <c r="N33" s="62"/>
      <c r="O33" s="62"/>
      <c r="P33" s="62"/>
    </row>
    <row r="34" spans="1:16" x14ac:dyDescent="0.2">
      <c r="A34" s="62"/>
      <c r="B34" s="124" t="s">
        <v>255</v>
      </c>
      <c r="C34" s="125"/>
      <c r="D34" s="125"/>
      <c r="E34" s="126"/>
      <c r="F34" s="126"/>
      <c r="G34" s="126"/>
      <c r="H34" s="126"/>
      <c r="I34" s="126"/>
      <c r="J34" s="62"/>
      <c r="K34" s="62"/>
      <c r="L34" s="62"/>
      <c r="M34" s="62"/>
      <c r="N34" s="62"/>
      <c r="O34" s="62"/>
      <c r="P34" s="62"/>
    </row>
    <row r="35" spans="1:16" ht="13.5" x14ac:dyDescent="0.25">
      <c r="A35" s="62"/>
      <c r="B35" s="10" t="s">
        <v>636</v>
      </c>
      <c r="C35" s="1">
        <v>15.5</v>
      </c>
      <c r="D35" s="1">
        <v>20.5</v>
      </c>
      <c r="E35" s="3" t="s">
        <v>637</v>
      </c>
      <c r="F35" s="3" t="s">
        <v>316</v>
      </c>
      <c r="G35" s="3">
        <v>1</v>
      </c>
      <c r="H35" s="3"/>
      <c r="I35" s="3">
        <v>5</v>
      </c>
      <c r="J35" s="62"/>
      <c r="K35" s="62"/>
      <c r="L35" s="62"/>
      <c r="M35" s="62"/>
      <c r="N35" s="62"/>
      <c r="O35" s="62"/>
      <c r="P35" s="62"/>
    </row>
    <row r="36" spans="1:16" ht="13.5" x14ac:dyDescent="0.25">
      <c r="A36" s="62"/>
      <c r="B36" s="10" t="s">
        <v>93</v>
      </c>
      <c r="C36" s="2">
        <v>15.5</v>
      </c>
      <c r="D36" s="2">
        <v>20.5</v>
      </c>
      <c r="E36" s="4" t="s">
        <v>637</v>
      </c>
      <c r="F36" s="3" t="s">
        <v>316</v>
      </c>
      <c r="G36" s="3">
        <v>1</v>
      </c>
      <c r="H36" s="3"/>
      <c r="I36" s="3">
        <v>5</v>
      </c>
      <c r="J36" s="62"/>
      <c r="K36" s="62"/>
      <c r="L36" s="62"/>
      <c r="M36" s="62"/>
      <c r="N36" s="62"/>
      <c r="O36" s="62"/>
      <c r="P36" s="62"/>
    </row>
    <row r="37" spans="1:16" ht="13.5" x14ac:dyDescent="0.25">
      <c r="A37" s="62"/>
      <c r="B37" s="11" t="s">
        <v>74</v>
      </c>
      <c r="C37" s="4">
        <v>7</v>
      </c>
      <c r="D37" s="4">
        <v>10</v>
      </c>
      <c r="E37" s="4" t="s">
        <v>637</v>
      </c>
      <c r="F37" s="3" t="s">
        <v>316</v>
      </c>
      <c r="G37" s="288">
        <v>1</v>
      </c>
      <c r="H37" s="285"/>
      <c r="I37" s="4">
        <v>5</v>
      </c>
      <c r="J37" s="62"/>
      <c r="K37" s="62"/>
      <c r="L37" s="62"/>
      <c r="M37" s="62"/>
      <c r="N37" s="62"/>
      <c r="O37" s="62"/>
      <c r="P37" s="62"/>
    </row>
    <row r="38" spans="1:16" ht="14.25" thickBot="1" x14ac:dyDescent="0.3">
      <c r="A38" s="62"/>
      <c r="B38" s="11" t="s">
        <v>94</v>
      </c>
      <c r="C38" s="4">
        <v>7</v>
      </c>
      <c r="D38" s="4">
        <v>10</v>
      </c>
      <c r="E38" s="4" t="s">
        <v>637</v>
      </c>
      <c r="F38" s="3" t="s">
        <v>316</v>
      </c>
      <c r="G38" s="288">
        <v>1</v>
      </c>
      <c r="H38" s="285"/>
      <c r="I38" s="4">
        <v>5</v>
      </c>
      <c r="J38" s="62"/>
      <c r="K38" s="62"/>
      <c r="L38" s="62"/>
      <c r="M38" s="62"/>
      <c r="N38" s="62"/>
      <c r="O38" s="62"/>
      <c r="P38" s="62"/>
    </row>
    <row r="39" spans="1:16" ht="13.5" x14ac:dyDescent="0.25">
      <c r="A39" s="62"/>
      <c r="B39" s="181" t="s">
        <v>401</v>
      </c>
      <c r="C39" s="14">
        <v>-1</v>
      </c>
      <c r="D39" s="183">
        <v>2.8</v>
      </c>
      <c r="E39" s="15" t="s">
        <v>637</v>
      </c>
      <c r="F39" s="3" t="s">
        <v>316</v>
      </c>
      <c r="G39" s="288">
        <v>1</v>
      </c>
      <c r="H39" s="176"/>
      <c r="I39" s="15">
        <v>5</v>
      </c>
      <c r="J39" s="62"/>
      <c r="K39" s="350" t="s">
        <v>412</v>
      </c>
      <c r="L39" s="351"/>
      <c r="M39" s="350" t="s">
        <v>413</v>
      </c>
      <c r="N39" s="351"/>
      <c r="O39" s="62"/>
      <c r="P39" s="62"/>
    </row>
    <row r="40" spans="1:16" x14ac:dyDescent="0.2">
      <c r="A40" s="62"/>
      <c r="B40" s="124" t="s">
        <v>256</v>
      </c>
      <c r="C40" s="125"/>
      <c r="D40" s="125"/>
      <c r="E40" s="126"/>
      <c r="F40" s="126"/>
      <c r="G40" s="126"/>
      <c r="H40" s="126"/>
      <c r="I40" s="126"/>
      <c r="J40" s="62"/>
      <c r="K40" s="127" t="s">
        <v>265</v>
      </c>
      <c r="L40" s="128" t="s">
        <v>266</v>
      </c>
      <c r="M40" s="127" t="s">
        <v>265</v>
      </c>
      <c r="N40" s="128" t="s">
        <v>266</v>
      </c>
      <c r="O40" s="62"/>
      <c r="P40" s="62"/>
    </row>
    <row r="41" spans="1:16" ht="13.5" x14ac:dyDescent="0.25">
      <c r="A41" s="62"/>
      <c r="B41" s="10" t="s">
        <v>607</v>
      </c>
      <c r="C41" s="278">
        <f>IF(AND(HighPwrGrant="NONE",BT="NO"),0,1)</f>
        <v>1</v>
      </c>
      <c r="D41" s="275">
        <f>IF(AND(OR(HighPwrGrant="PHY",HighPwrGrant="PHY+LLDP"),BT="NO"),2,1)</f>
        <v>1</v>
      </c>
      <c r="E41" s="3" t="s">
        <v>61</v>
      </c>
      <c r="F41" s="3" t="s">
        <v>316</v>
      </c>
      <c r="G41" s="3">
        <v>0</v>
      </c>
      <c r="H41" s="3"/>
      <c r="I41" s="3">
        <v>5</v>
      </c>
      <c r="J41" s="62"/>
      <c r="K41" s="129"/>
      <c r="L41" s="131"/>
      <c r="M41" s="129"/>
      <c r="N41" s="131"/>
      <c r="O41" s="62"/>
      <c r="P41" s="62"/>
    </row>
    <row r="42" spans="1:16" ht="13.5" x14ac:dyDescent="0.25">
      <c r="A42" s="62"/>
      <c r="B42" s="11" t="s">
        <v>608</v>
      </c>
      <c r="C42" s="224">
        <f>IF(AND(HighPwrGrant="NONE",BT="NO"),0,IF(AND(HighPwrGrant="NONE",BT="YES"),1,IF(AND(BT="NO",HighPwrGrant="LLDP"),1,2)))</f>
        <v>2</v>
      </c>
      <c r="D42" s="224">
        <f>IF(HighPwrGrant="NONE",1,IF(HighPwrGrant="LLDP",1,IF(BT="NO",2,3)))</f>
        <v>3</v>
      </c>
      <c r="E42" s="3" t="s">
        <v>61</v>
      </c>
      <c r="F42" s="4" t="s">
        <v>316</v>
      </c>
      <c r="G42" s="4">
        <v>0</v>
      </c>
      <c r="H42" s="286"/>
      <c r="I42" s="4">
        <v>5</v>
      </c>
      <c r="J42" s="62"/>
      <c r="K42" s="130"/>
      <c r="L42" s="132"/>
      <c r="M42" s="130"/>
      <c r="N42" s="132"/>
      <c r="O42" s="62"/>
      <c r="P42" s="62"/>
    </row>
    <row r="43" spans="1:16" ht="13.5" x14ac:dyDescent="0.25">
      <c r="A43" s="62"/>
      <c r="B43" s="10" t="s">
        <v>293</v>
      </c>
      <c r="C43" s="276">
        <f>IF(BT="YES",M43,K43)</f>
        <v>88</v>
      </c>
      <c r="D43" s="276">
        <f>IF(BT="YES",N43,L43)</f>
        <v>105</v>
      </c>
      <c r="E43" s="3" t="s">
        <v>276</v>
      </c>
      <c r="F43" s="3" t="s">
        <v>316</v>
      </c>
      <c r="G43" s="3">
        <v>1</v>
      </c>
      <c r="H43" s="3">
        <v>-1</v>
      </c>
      <c r="I43" s="3">
        <v>5</v>
      </c>
      <c r="J43" s="62"/>
      <c r="K43" s="172">
        <v>6</v>
      </c>
      <c r="L43" s="173">
        <v>75</v>
      </c>
      <c r="M43" s="172">
        <v>88</v>
      </c>
      <c r="N43" s="173">
        <v>105</v>
      </c>
      <c r="O43" s="62"/>
      <c r="P43" s="62"/>
    </row>
    <row r="44" spans="1:16" ht="14.25" thickBot="1" x14ac:dyDescent="0.3">
      <c r="A44" s="62"/>
      <c r="B44" s="11" t="s">
        <v>70</v>
      </c>
      <c r="C44" s="2">
        <v>6</v>
      </c>
      <c r="D44" s="2">
        <v>30</v>
      </c>
      <c r="E44" s="3" t="s">
        <v>276</v>
      </c>
      <c r="F44" s="4" t="s">
        <v>316</v>
      </c>
      <c r="G44" s="4">
        <v>1</v>
      </c>
      <c r="H44" s="286"/>
      <c r="I44" s="4">
        <v>5</v>
      </c>
      <c r="J44" s="62"/>
      <c r="K44" s="233" t="s">
        <v>421</v>
      </c>
      <c r="L44" s="234"/>
      <c r="M44" s="233" t="s">
        <v>422</v>
      </c>
      <c r="N44" s="234"/>
      <c r="O44" s="62"/>
      <c r="P44" s="62"/>
    </row>
    <row r="45" spans="1:16" ht="13.5" x14ac:dyDescent="0.25">
      <c r="A45" s="62"/>
      <c r="B45" s="182" t="s">
        <v>432</v>
      </c>
      <c r="C45" s="2">
        <v>88</v>
      </c>
      <c r="D45" s="2">
        <v>105</v>
      </c>
      <c r="E45" s="198" t="s">
        <v>276</v>
      </c>
      <c r="F45" s="4" t="s">
        <v>316</v>
      </c>
      <c r="G45" s="4">
        <v>1</v>
      </c>
      <c r="H45" s="286"/>
      <c r="I45" s="4">
        <v>5</v>
      </c>
      <c r="J45" s="62"/>
      <c r="K45" s="62"/>
      <c r="L45" s="62"/>
      <c r="M45" s="62"/>
      <c r="N45" s="62"/>
      <c r="O45" s="62"/>
      <c r="P45" s="62"/>
    </row>
    <row r="46" spans="1:16" ht="13.5" x14ac:dyDescent="0.25">
      <c r="A46" s="62"/>
      <c r="B46" s="197" t="s">
        <v>71</v>
      </c>
      <c r="C46" s="37">
        <v>6</v>
      </c>
      <c r="D46" s="277">
        <f>IF(BT="YES",20,30)</f>
        <v>20</v>
      </c>
      <c r="E46" s="198" t="s">
        <v>276</v>
      </c>
      <c r="F46" s="4" t="s">
        <v>316</v>
      </c>
      <c r="G46" s="4">
        <v>1</v>
      </c>
      <c r="H46" s="286"/>
      <c r="I46" s="4">
        <v>5</v>
      </c>
      <c r="J46" s="62"/>
      <c r="K46" s="62"/>
      <c r="L46" s="62"/>
      <c r="M46" s="62"/>
      <c r="N46" s="62"/>
      <c r="O46" s="62"/>
      <c r="P46" s="62"/>
    </row>
    <row r="47" spans="1:16" ht="13.5" x14ac:dyDescent="0.25">
      <c r="A47" s="62"/>
      <c r="B47" s="182" t="s">
        <v>654</v>
      </c>
      <c r="C47" s="37">
        <v>6</v>
      </c>
      <c r="D47" s="277">
        <f>IF(BT="YES",20,30)</f>
        <v>20</v>
      </c>
      <c r="E47" s="198" t="s">
        <v>276</v>
      </c>
      <c r="F47" s="4" t="s">
        <v>316</v>
      </c>
      <c r="G47" s="4">
        <v>1</v>
      </c>
      <c r="H47" s="286"/>
      <c r="I47" s="4">
        <v>5</v>
      </c>
      <c r="J47" s="62"/>
      <c r="K47" s="62"/>
      <c r="L47" s="62"/>
      <c r="M47" s="62"/>
      <c r="N47" s="62"/>
      <c r="O47" s="62"/>
      <c r="P47" s="62"/>
    </row>
    <row r="48" spans="1:16" ht="13.5" x14ac:dyDescent="0.25">
      <c r="A48" s="62"/>
      <c r="B48" s="197" t="s">
        <v>72</v>
      </c>
      <c r="C48" s="37">
        <v>6</v>
      </c>
      <c r="D48" s="37">
        <v>12</v>
      </c>
      <c r="E48" s="198" t="s">
        <v>276</v>
      </c>
      <c r="F48" s="4" t="s">
        <v>316</v>
      </c>
      <c r="G48" s="4">
        <v>1</v>
      </c>
      <c r="H48" s="286"/>
      <c r="I48" s="4">
        <v>5</v>
      </c>
      <c r="J48" s="62"/>
      <c r="K48" s="104" t="s">
        <v>431</v>
      </c>
      <c r="L48" s="62"/>
      <c r="M48" s="62"/>
      <c r="N48" s="62"/>
      <c r="O48" s="62"/>
      <c r="P48" s="62"/>
    </row>
    <row r="49" spans="1:16" ht="14.25" thickBot="1" x14ac:dyDescent="0.3">
      <c r="A49" s="62"/>
      <c r="B49" s="182" t="s">
        <v>73</v>
      </c>
      <c r="C49" s="37">
        <v>6</v>
      </c>
      <c r="D49" s="37">
        <v>12</v>
      </c>
      <c r="E49" s="198" t="s">
        <v>276</v>
      </c>
      <c r="F49" s="4" t="s">
        <v>316</v>
      </c>
      <c r="G49" s="4">
        <v>1</v>
      </c>
      <c r="H49" s="286"/>
      <c r="I49" s="4">
        <v>5</v>
      </c>
      <c r="J49" s="62"/>
      <c r="K49" s="104"/>
      <c r="L49" s="62"/>
      <c r="M49" s="62"/>
      <c r="N49" s="62"/>
      <c r="O49" s="62"/>
      <c r="P49" s="62"/>
    </row>
    <row r="50" spans="1:16" ht="13.5" x14ac:dyDescent="0.25">
      <c r="A50" s="62"/>
      <c r="B50" s="197" t="s">
        <v>655</v>
      </c>
      <c r="C50" s="37">
        <v>6</v>
      </c>
      <c r="D50" s="37">
        <v>376</v>
      </c>
      <c r="E50" s="198" t="s">
        <v>276</v>
      </c>
      <c r="F50" s="4" t="s">
        <v>316</v>
      </c>
      <c r="G50" s="4">
        <v>1</v>
      </c>
      <c r="H50" s="286"/>
      <c r="I50" s="4">
        <v>5</v>
      </c>
      <c r="J50" s="62"/>
      <c r="K50" s="337" t="s">
        <v>412</v>
      </c>
      <c r="L50" s="338"/>
      <c r="M50" s="338"/>
      <c r="N50" s="339"/>
      <c r="O50" s="62"/>
      <c r="P50" s="62"/>
    </row>
    <row r="51" spans="1:16" ht="13.5" x14ac:dyDescent="0.25">
      <c r="A51" s="62"/>
      <c r="B51" s="197" t="s">
        <v>643</v>
      </c>
      <c r="C51" s="37">
        <v>6</v>
      </c>
      <c r="D51" s="37">
        <v>12</v>
      </c>
      <c r="E51" s="198" t="s">
        <v>276</v>
      </c>
      <c r="F51" s="4" t="s">
        <v>316</v>
      </c>
      <c r="G51" s="4">
        <v>1</v>
      </c>
      <c r="H51" s="286"/>
      <c r="I51" s="4">
        <v>5</v>
      </c>
      <c r="J51" s="62"/>
      <c r="K51" s="218" t="s">
        <v>419</v>
      </c>
      <c r="L51" s="219" t="s">
        <v>419</v>
      </c>
      <c r="M51" s="219" t="s">
        <v>87</v>
      </c>
      <c r="N51" s="220" t="s">
        <v>88</v>
      </c>
      <c r="O51" s="62"/>
      <c r="P51" s="62"/>
    </row>
    <row r="52" spans="1:16" ht="13.5" x14ac:dyDescent="0.25">
      <c r="A52" s="62"/>
      <c r="B52" s="182" t="s">
        <v>399</v>
      </c>
      <c r="C52" s="299">
        <v>15</v>
      </c>
      <c r="D52" s="299">
        <v>10000</v>
      </c>
      <c r="E52" s="178" t="s">
        <v>276</v>
      </c>
      <c r="F52" s="177" t="s">
        <v>316</v>
      </c>
      <c r="G52" s="15">
        <v>1</v>
      </c>
      <c r="H52" s="15"/>
      <c r="I52" s="15">
        <v>5</v>
      </c>
      <c r="J52" s="62"/>
      <c r="K52" s="212" t="s">
        <v>420</v>
      </c>
      <c r="L52" s="213" t="s">
        <v>420</v>
      </c>
      <c r="M52" s="213" t="s">
        <v>420</v>
      </c>
      <c r="N52" s="214" t="s">
        <v>420</v>
      </c>
      <c r="O52" s="62"/>
      <c r="P52" s="62"/>
    </row>
    <row r="53" spans="1:16" ht="13.5" x14ac:dyDescent="0.25">
      <c r="A53" s="62"/>
      <c r="B53" s="181" t="s">
        <v>400</v>
      </c>
      <c r="C53" s="14">
        <v>0</v>
      </c>
      <c r="D53" s="183">
        <v>3</v>
      </c>
      <c r="E53" s="178" t="s">
        <v>61</v>
      </c>
      <c r="F53" s="177" t="s">
        <v>316</v>
      </c>
      <c r="G53" s="15">
        <v>1</v>
      </c>
      <c r="H53" s="15"/>
      <c r="I53" s="15">
        <v>5</v>
      </c>
      <c r="J53" s="62"/>
      <c r="K53" s="215" t="s">
        <v>83</v>
      </c>
      <c r="L53" s="216" t="s">
        <v>85</v>
      </c>
      <c r="M53" s="216" t="s">
        <v>418</v>
      </c>
      <c r="N53" s="217" t="s">
        <v>418</v>
      </c>
      <c r="O53" s="62"/>
      <c r="P53" s="62"/>
    </row>
    <row r="54" spans="1:16" x14ac:dyDescent="0.2">
      <c r="A54" s="62"/>
      <c r="B54" s="124" t="s">
        <v>95</v>
      </c>
      <c r="C54" s="125"/>
      <c r="D54" s="125"/>
      <c r="E54" s="126"/>
      <c r="F54" s="126"/>
      <c r="G54" s="126"/>
      <c r="H54" s="126"/>
      <c r="I54" s="126"/>
      <c r="J54" s="62"/>
      <c r="K54" s="209" t="s">
        <v>265</v>
      </c>
      <c r="L54" s="208" t="s">
        <v>265</v>
      </c>
      <c r="M54" s="208" t="s">
        <v>265</v>
      </c>
      <c r="N54" s="211" t="s">
        <v>265</v>
      </c>
      <c r="O54" s="62"/>
      <c r="P54" s="62"/>
    </row>
    <row r="55" spans="1:16" ht="13.5" x14ac:dyDescent="0.25">
      <c r="A55" s="62"/>
      <c r="B55" s="10" t="s">
        <v>96</v>
      </c>
      <c r="C55" s="8">
        <v>51</v>
      </c>
      <c r="D55" s="8">
        <v>100</v>
      </c>
      <c r="E55" s="8" t="s">
        <v>273</v>
      </c>
      <c r="F55" s="8" t="s">
        <v>316</v>
      </c>
      <c r="G55" s="8">
        <v>0</v>
      </c>
      <c r="H55" s="8"/>
      <c r="I55" s="8">
        <v>1</v>
      </c>
      <c r="J55" s="62"/>
      <c r="K55" s="172">
        <v>0</v>
      </c>
      <c r="L55" s="37">
        <v>1</v>
      </c>
      <c r="M55" s="37">
        <v>1</v>
      </c>
      <c r="N55" s="173">
        <v>2</v>
      </c>
      <c r="O55" s="62"/>
      <c r="P55" s="62"/>
    </row>
    <row r="56" spans="1:16" ht="13.5" x14ac:dyDescent="0.25">
      <c r="A56" s="62"/>
      <c r="B56" s="11" t="s">
        <v>387</v>
      </c>
      <c r="C56" s="15">
        <v>0</v>
      </c>
      <c r="D56" s="202">
        <f>IF(HighPwrGrant="NONE",IF(BT="YES",0,1),0)</f>
        <v>0</v>
      </c>
      <c r="E56" s="4" t="s">
        <v>61</v>
      </c>
      <c r="F56" s="15" t="s">
        <v>316</v>
      </c>
      <c r="G56" s="15">
        <v>1</v>
      </c>
      <c r="H56" s="15"/>
      <c r="I56" s="15">
        <v>1</v>
      </c>
      <c r="J56" s="62"/>
      <c r="K56" s="209" t="s">
        <v>266</v>
      </c>
      <c r="L56" s="208" t="s">
        <v>266</v>
      </c>
      <c r="M56" s="208" t="s">
        <v>266</v>
      </c>
      <c r="N56" s="211" t="s">
        <v>266</v>
      </c>
      <c r="O56" s="62"/>
      <c r="P56" s="62"/>
    </row>
    <row r="57" spans="1:16" ht="14.25" thickBot="1" x14ac:dyDescent="0.3">
      <c r="A57" s="62"/>
      <c r="B57" s="11" t="s">
        <v>386</v>
      </c>
      <c r="C57" s="15">
        <v>0</v>
      </c>
      <c r="D57" s="202">
        <f>IF(HighPwrGrant="NONE",IF(BT="YES",0,1),0)</f>
        <v>0</v>
      </c>
      <c r="E57" s="4" t="s">
        <v>61</v>
      </c>
      <c r="F57" s="15" t="s">
        <v>316</v>
      </c>
      <c r="G57" s="15">
        <v>1</v>
      </c>
      <c r="H57" s="15"/>
      <c r="I57" s="15">
        <v>1</v>
      </c>
      <c r="J57" s="62"/>
      <c r="K57" s="174">
        <v>1</v>
      </c>
      <c r="L57" s="221">
        <v>1</v>
      </c>
      <c r="M57" s="210">
        <v>2</v>
      </c>
      <c r="N57" s="175">
        <v>2</v>
      </c>
      <c r="O57" s="62"/>
      <c r="P57" s="62"/>
    </row>
    <row r="58" spans="1:16" ht="13.5" x14ac:dyDescent="0.25">
      <c r="A58" s="62"/>
      <c r="B58" s="11" t="s">
        <v>97</v>
      </c>
      <c r="C58" s="15">
        <v>5</v>
      </c>
      <c r="D58" s="15">
        <v>100</v>
      </c>
      <c r="E58" s="15" t="s">
        <v>273</v>
      </c>
      <c r="F58" s="15" t="s">
        <v>316</v>
      </c>
      <c r="G58" s="15">
        <v>1</v>
      </c>
      <c r="H58" s="15"/>
      <c r="I58" s="15">
        <v>1</v>
      </c>
      <c r="J58" s="62"/>
      <c r="K58" s="337" t="s">
        <v>413</v>
      </c>
      <c r="L58" s="338"/>
      <c r="M58" s="338"/>
      <c r="N58" s="339"/>
      <c r="O58" s="62"/>
      <c r="P58" s="62"/>
    </row>
    <row r="59" spans="1:16" ht="13.5" x14ac:dyDescent="0.25">
      <c r="A59" s="62"/>
      <c r="B59" s="11" t="s">
        <v>385</v>
      </c>
      <c r="C59" s="15">
        <v>0</v>
      </c>
      <c r="D59" s="15">
        <v>0</v>
      </c>
      <c r="E59" s="4" t="s">
        <v>61</v>
      </c>
      <c r="F59" s="15" t="s">
        <v>316</v>
      </c>
      <c r="G59" s="15">
        <v>1</v>
      </c>
      <c r="H59" s="15"/>
      <c r="I59" s="15">
        <v>3</v>
      </c>
      <c r="J59" s="62"/>
      <c r="K59" s="218" t="s">
        <v>419</v>
      </c>
      <c r="L59" s="219" t="s">
        <v>419</v>
      </c>
      <c r="M59" s="219" t="s">
        <v>87</v>
      </c>
      <c r="N59" s="220" t="s">
        <v>88</v>
      </c>
      <c r="O59" s="62"/>
      <c r="P59" s="62"/>
    </row>
    <row r="60" spans="1:16" ht="13.5" x14ac:dyDescent="0.25">
      <c r="A60" s="62"/>
      <c r="B60" s="11" t="s">
        <v>98</v>
      </c>
      <c r="C60" s="15">
        <v>15</v>
      </c>
      <c r="D60" s="15">
        <v>10000</v>
      </c>
      <c r="E60" s="15" t="s">
        <v>276</v>
      </c>
      <c r="F60" s="15" t="s">
        <v>316</v>
      </c>
      <c r="G60" s="15">
        <v>1</v>
      </c>
      <c r="H60" s="15"/>
      <c r="I60" s="15">
        <v>1</v>
      </c>
      <c r="J60" s="62"/>
      <c r="K60" s="212" t="s">
        <v>420</v>
      </c>
      <c r="L60" s="213" t="s">
        <v>420</v>
      </c>
      <c r="M60" s="213" t="s">
        <v>420</v>
      </c>
      <c r="N60" s="214" t="s">
        <v>420</v>
      </c>
      <c r="O60" s="62"/>
      <c r="P60" s="62"/>
    </row>
    <row r="61" spans="1:16" x14ac:dyDescent="0.2">
      <c r="A61" s="62"/>
      <c r="B61" s="124" t="s">
        <v>140</v>
      </c>
      <c r="C61" s="125"/>
      <c r="D61" s="125"/>
      <c r="E61" s="126"/>
      <c r="F61" s="126"/>
      <c r="G61" s="126"/>
      <c r="H61" s="126"/>
      <c r="I61" s="126"/>
      <c r="J61" s="62"/>
      <c r="K61" s="215" t="s">
        <v>83</v>
      </c>
      <c r="L61" s="216" t="s">
        <v>85</v>
      </c>
      <c r="M61" s="216" t="s">
        <v>418</v>
      </c>
      <c r="N61" s="217" t="s">
        <v>418</v>
      </c>
      <c r="O61" s="62"/>
      <c r="P61" s="62"/>
    </row>
    <row r="62" spans="1:16" ht="13.5" x14ac:dyDescent="0.25">
      <c r="A62" s="62"/>
      <c r="B62" s="10" t="s">
        <v>142</v>
      </c>
      <c r="C62" s="1">
        <v>0</v>
      </c>
      <c r="D62" s="1">
        <v>0</v>
      </c>
      <c r="E62" s="3" t="s">
        <v>61</v>
      </c>
      <c r="F62" s="3" t="s">
        <v>316</v>
      </c>
      <c r="G62" s="3">
        <v>0</v>
      </c>
      <c r="H62" s="3"/>
      <c r="I62" s="3">
        <v>3</v>
      </c>
      <c r="J62" s="62"/>
      <c r="K62" s="209" t="s">
        <v>265</v>
      </c>
      <c r="L62" s="208" t="s">
        <v>265</v>
      </c>
      <c r="M62" s="208" t="s">
        <v>265</v>
      </c>
      <c r="N62" s="208" t="s">
        <v>265</v>
      </c>
      <c r="O62" s="62"/>
      <c r="P62" s="62"/>
    </row>
    <row r="63" spans="1:16" ht="13.5" x14ac:dyDescent="0.25">
      <c r="A63" s="62"/>
      <c r="B63" s="13" t="s">
        <v>143</v>
      </c>
      <c r="C63" s="14">
        <v>0</v>
      </c>
      <c r="D63" s="14">
        <v>0</v>
      </c>
      <c r="E63" s="15" t="s">
        <v>61</v>
      </c>
      <c r="F63" s="3" t="s">
        <v>316</v>
      </c>
      <c r="G63" s="3">
        <v>0</v>
      </c>
      <c r="H63" s="3"/>
      <c r="I63" s="3">
        <v>3</v>
      </c>
      <c r="J63" s="62"/>
      <c r="K63" s="172">
        <v>1</v>
      </c>
      <c r="L63" s="37">
        <v>1</v>
      </c>
      <c r="M63" s="37">
        <v>1</v>
      </c>
      <c r="N63" s="173">
        <v>2</v>
      </c>
      <c r="O63" s="62"/>
      <c r="P63" s="62"/>
    </row>
    <row r="64" spans="1:16" ht="13.5" x14ac:dyDescent="0.25">
      <c r="A64" s="62"/>
      <c r="B64" s="13" t="s">
        <v>150</v>
      </c>
      <c r="C64" s="14">
        <v>0</v>
      </c>
      <c r="D64" s="14">
        <v>30</v>
      </c>
      <c r="E64" s="15" t="s">
        <v>141</v>
      </c>
      <c r="F64" s="3" t="s">
        <v>317</v>
      </c>
      <c r="G64" s="3">
        <v>1</v>
      </c>
      <c r="H64" s="3"/>
      <c r="I64" s="3">
        <v>1</v>
      </c>
      <c r="J64" s="62"/>
      <c r="K64" s="209" t="s">
        <v>266</v>
      </c>
      <c r="L64" s="208" t="s">
        <v>266</v>
      </c>
      <c r="M64" s="208" t="s">
        <v>266</v>
      </c>
      <c r="N64" s="211" t="s">
        <v>266</v>
      </c>
      <c r="O64" s="62"/>
      <c r="P64" s="62"/>
    </row>
    <row r="65" spans="1:16" ht="14.25" thickBot="1" x14ac:dyDescent="0.3">
      <c r="A65" s="62"/>
      <c r="B65" s="13" t="s">
        <v>151</v>
      </c>
      <c r="C65" s="14">
        <v>1</v>
      </c>
      <c r="D65" s="14">
        <v>2</v>
      </c>
      <c r="E65" s="15" t="s">
        <v>61</v>
      </c>
      <c r="F65" s="3" t="s">
        <v>316</v>
      </c>
      <c r="G65" s="3">
        <v>0</v>
      </c>
      <c r="H65" s="3"/>
      <c r="I65" s="3">
        <v>5</v>
      </c>
      <c r="J65" s="62"/>
      <c r="K65" s="174">
        <v>1</v>
      </c>
      <c r="L65" s="221">
        <v>1</v>
      </c>
      <c r="M65" s="210">
        <v>1</v>
      </c>
      <c r="N65" s="175">
        <v>3</v>
      </c>
      <c r="O65" s="62"/>
      <c r="P65" s="62"/>
    </row>
    <row r="66" spans="1:16" ht="13.5" x14ac:dyDescent="0.25">
      <c r="A66" s="62"/>
      <c r="B66" s="13" t="s">
        <v>156</v>
      </c>
      <c r="C66" s="14">
        <v>0</v>
      </c>
      <c r="D66" s="14">
        <v>10</v>
      </c>
      <c r="E66" s="15" t="s">
        <v>141</v>
      </c>
      <c r="F66" s="3" t="s">
        <v>316</v>
      </c>
      <c r="G66" s="3">
        <v>1</v>
      </c>
      <c r="H66" s="3"/>
      <c r="I66" s="3">
        <v>5</v>
      </c>
      <c r="J66" s="62"/>
      <c r="K66" s="62"/>
      <c r="L66" s="62"/>
      <c r="M66" s="62"/>
      <c r="N66" s="62"/>
      <c r="O66" s="62"/>
      <c r="P66" s="62"/>
    </row>
    <row r="67" spans="1:16" ht="13.5" x14ac:dyDescent="0.25">
      <c r="A67" s="62"/>
      <c r="B67" s="13" t="s">
        <v>152</v>
      </c>
      <c r="C67" s="14">
        <v>8.1</v>
      </c>
      <c r="D67" s="14">
        <v>13</v>
      </c>
      <c r="E67" s="15" t="s">
        <v>639</v>
      </c>
      <c r="F67" s="3" t="s">
        <v>316</v>
      </c>
      <c r="G67" s="3">
        <v>1</v>
      </c>
      <c r="H67" s="3"/>
      <c r="I67" s="3">
        <v>5</v>
      </c>
      <c r="J67" s="62"/>
      <c r="K67" s="62"/>
      <c r="L67" s="62"/>
      <c r="M67" s="62"/>
      <c r="N67" s="62"/>
      <c r="O67" s="62"/>
      <c r="P67" s="62"/>
    </row>
    <row r="68" spans="1:16" ht="13.5" x14ac:dyDescent="0.25">
      <c r="A68" s="62"/>
      <c r="B68" s="13" t="s">
        <v>153</v>
      </c>
      <c r="C68" s="14">
        <v>0</v>
      </c>
      <c r="D68" s="14">
        <v>30</v>
      </c>
      <c r="E68" s="15" t="s">
        <v>141</v>
      </c>
      <c r="F68" s="3" t="s">
        <v>317</v>
      </c>
      <c r="G68" s="3">
        <v>1</v>
      </c>
      <c r="H68" s="3"/>
      <c r="I68" s="3">
        <v>3</v>
      </c>
      <c r="J68" s="62"/>
      <c r="K68" s="62"/>
      <c r="L68" s="62"/>
      <c r="M68" s="62"/>
      <c r="N68" s="62"/>
      <c r="O68" s="62"/>
      <c r="P68" s="62"/>
    </row>
    <row r="69" spans="1:16" ht="13.5" x14ac:dyDescent="0.25">
      <c r="A69" s="62"/>
      <c r="B69" s="13" t="s">
        <v>154</v>
      </c>
      <c r="C69" s="14">
        <v>13</v>
      </c>
      <c r="D69" s="14">
        <v>13</v>
      </c>
      <c r="E69" s="15" t="s">
        <v>639</v>
      </c>
      <c r="F69" s="3" t="s">
        <v>316</v>
      </c>
      <c r="G69" s="3">
        <v>1</v>
      </c>
      <c r="H69" s="3"/>
      <c r="I69" s="3">
        <v>5</v>
      </c>
      <c r="J69" s="62"/>
      <c r="K69" s="62"/>
      <c r="L69" s="62"/>
      <c r="M69" s="62"/>
      <c r="N69" s="62"/>
      <c r="O69" s="62"/>
      <c r="P69" s="62"/>
    </row>
    <row r="70" spans="1:16" ht="13.5" x14ac:dyDescent="0.25">
      <c r="A70" s="62"/>
      <c r="B70" s="13" t="s">
        <v>155</v>
      </c>
      <c r="C70" s="14">
        <v>0</v>
      </c>
      <c r="D70" s="14">
        <v>10</v>
      </c>
      <c r="E70" s="15" t="s">
        <v>141</v>
      </c>
      <c r="F70" s="3" t="s">
        <v>316</v>
      </c>
      <c r="G70" s="3">
        <v>1</v>
      </c>
      <c r="H70" s="3"/>
      <c r="I70" s="3">
        <v>3</v>
      </c>
      <c r="J70" s="62"/>
      <c r="K70" s="62"/>
      <c r="L70" s="62"/>
      <c r="M70" s="62"/>
      <c r="N70" s="62"/>
      <c r="O70" s="62"/>
      <c r="P70" s="62"/>
    </row>
    <row r="71" spans="1:16" ht="13.5" x14ac:dyDescent="0.25">
      <c r="A71" s="62"/>
      <c r="B71" s="13" t="s">
        <v>388</v>
      </c>
      <c r="C71" s="14">
        <v>0</v>
      </c>
      <c r="D71" s="14">
        <v>0</v>
      </c>
      <c r="E71" s="15" t="s">
        <v>61</v>
      </c>
      <c r="F71" s="3" t="s">
        <v>317</v>
      </c>
      <c r="G71" s="3">
        <v>0</v>
      </c>
      <c r="H71" s="3"/>
      <c r="I71" s="3">
        <v>1</v>
      </c>
      <c r="J71" s="62"/>
      <c r="K71" s="62"/>
      <c r="L71" s="62"/>
      <c r="M71" s="62"/>
      <c r="N71" s="62"/>
      <c r="O71" s="62"/>
      <c r="P71" s="62"/>
    </row>
    <row r="72" spans="1:16" ht="13.5" x14ac:dyDescent="0.25">
      <c r="A72" s="62"/>
      <c r="B72" s="13" t="s">
        <v>144</v>
      </c>
      <c r="C72" s="14">
        <v>0</v>
      </c>
      <c r="D72" s="14">
        <v>10</v>
      </c>
      <c r="E72" s="15" t="s">
        <v>141</v>
      </c>
      <c r="F72" s="3" t="s">
        <v>316</v>
      </c>
      <c r="G72" s="3">
        <v>1</v>
      </c>
      <c r="H72" s="3"/>
      <c r="I72" s="3">
        <v>3</v>
      </c>
      <c r="J72" s="62"/>
      <c r="K72" s="62"/>
      <c r="L72" s="62"/>
      <c r="M72" s="62"/>
      <c r="N72" s="62"/>
      <c r="O72" s="62"/>
      <c r="P72" s="62"/>
    </row>
    <row r="73" spans="1:16" ht="13.5" x14ac:dyDescent="0.25">
      <c r="A73" s="62"/>
      <c r="B73" s="13" t="s">
        <v>145</v>
      </c>
      <c r="C73" s="14">
        <v>2</v>
      </c>
      <c r="D73" s="14">
        <v>2</v>
      </c>
      <c r="E73" s="15" t="s">
        <v>61</v>
      </c>
      <c r="F73" s="3" t="s">
        <v>316</v>
      </c>
      <c r="G73" s="3">
        <v>0</v>
      </c>
      <c r="H73" s="3"/>
      <c r="I73" s="3">
        <v>5</v>
      </c>
      <c r="J73" s="62"/>
      <c r="K73" s="62"/>
      <c r="L73" s="62"/>
      <c r="M73" s="62"/>
      <c r="N73" s="62"/>
      <c r="O73" s="62"/>
      <c r="P73" s="62"/>
    </row>
    <row r="74" spans="1:16" ht="13.5" x14ac:dyDescent="0.25">
      <c r="A74" s="62"/>
      <c r="B74" s="13" t="s">
        <v>157</v>
      </c>
      <c r="C74" s="14">
        <v>0</v>
      </c>
      <c r="D74" s="14">
        <v>10</v>
      </c>
      <c r="E74" s="15" t="s">
        <v>141</v>
      </c>
      <c r="F74" s="3" t="s">
        <v>316</v>
      </c>
      <c r="G74" s="3">
        <v>1</v>
      </c>
      <c r="H74" s="3"/>
      <c r="I74" s="3">
        <v>5</v>
      </c>
      <c r="J74" s="62"/>
      <c r="K74" s="62"/>
      <c r="L74" s="62"/>
      <c r="M74" s="62"/>
      <c r="N74" s="62"/>
      <c r="O74" s="62"/>
      <c r="P74" s="62"/>
    </row>
    <row r="75" spans="1:16" ht="13.5" x14ac:dyDescent="0.25">
      <c r="A75" s="62"/>
      <c r="B75" s="13" t="s">
        <v>146</v>
      </c>
      <c r="C75" s="14">
        <v>20.3</v>
      </c>
      <c r="D75" s="14">
        <v>25.5</v>
      </c>
      <c r="E75" s="15" t="s">
        <v>639</v>
      </c>
      <c r="F75" s="3" t="s">
        <v>316</v>
      </c>
      <c r="G75" s="3">
        <v>1</v>
      </c>
      <c r="H75" s="3"/>
      <c r="I75" s="3">
        <v>5</v>
      </c>
      <c r="J75" s="62"/>
      <c r="K75" s="62"/>
      <c r="L75" s="62"/>
      <c r="M75" s="62"/>
      <c r="N75" s="62"/>
      <c r="O75" s="62"/>
      <c r="P75" s="62"/>
    </row>
    <row r="76" spans="1:16" ht="13.5" x14ac:dyDescent="0.25">
      <c r="A76" s="62"/>
      <c r="B76" s="13" t="s">
        <v>147</v>
      </c>
      <c r="C76" s="14">
        <v>0</v>
      </c>
      <c r="D76" s="14">
        <v>30</v>
      </c>
      <c r="E76" s="15" t="s">
        <v>141</v>
      </c>
      <c r="F76" s="3" t="s">
        <v>317</v>
      </c>
      <c r="G76" s="3">
        <v>1</v>
      </c>
      <c r="H76" s="3"/>
      <c r="I76" s="3">
        <v>3</v>
      </c>
      <c r="J76" s="62"/>
      <c r="K76" s="62"/>
      <c r="L76" s="62"/>
      <c r="M76" s="62"/>
      <c r="N76" s="62"/>
      <c r="O76" s="62"/>
      <c r="P76" s="62"/>
    </row>
    <row r="77" spans="1:16" ht="13.5" x14ac:dyDescent="0.25">
      <c r="A77" s="62"/>
      <c r="B77" s="13" t="s">
        <v>148</v>
      </c>
      <c r="C77" s="14">
        <v>25.5</v>
      </c>
      <c r="D77" s="14">
        <v>25.5</v>
      </c>
      <c r="E77" s="15" t="s">
        <v>639</v>
      </c>
      <c r="F77" s="3" t="s">
        <v>316</v>
      </c>
      <c r="G77" s="3">
        <v>1</v>
      </c>
      <c r="H77" s="3"/>
      <c r="I77" s="3">
        <v>5</v>
      </c>
      <c r="J77" s="62"/>
      <c r="K77" s="62"/>
      <c r="L77" s="62"/>
      <c r="M77" s="62"/>
      <c r="N77" s="62"/>
      <c r="O77" s="62"/>
      <c r="P77" s="62"/>
    </row>
    <row r="78" spans="1:16" ht="13.5" x14ac:dyDescent="0.25">
      <c r="A78" s="62"/>
      <c r="B78" s="13" t="s">
        <v>149</v>
      </c>
      <c r="C78" s="14">
        <v>0</v>
      </c>
      <c r="D78" s="14">
        <v>10</v>
      </c>
      <c r="E78" s="15" t="s">
        <v>141</v>
      </c>
      <c r="F78" s="3" t="s">
        <v>316</v>
      </c>
      <c r="G78" s="3">
        <v>1</v>
      </c>
      <c r="H78" s="3"/>
      <c r="I78" s="3">
        <v>3</v>
      </c>
      <c r="J78" s="62"/>
      <c r="K78" s="62"/>
      <c r="L78" s="62"/>
      <c r="M78" s="62"/>
      <c r="N78" s="62"/>
      <c r="O78" s="62"/>
      <c r="P78" s="62"/>
    </row>
    <row r="79" spans="1:16" ht="13.5" x14ac:dyDescent="0.25">
      <c r="A79" s="62"/>
      <c r="B79" s="182" t="s">
        <v>403</v>
      </c>
      <c r="C79" s="14">
        <v>1</v>
      </c>
      <c r="D79" s="14">
        <v>2</v>
      </c>
      <c r="E79" s="15" t="s">
        <v>61</v>
      </c>
      <c r="F79" s="3" t="s">
        <v>316</v>
      </c>
      <c r="G79" s="3">
        <v>0</v>
      </c>
      <c r="H79" s="3"/>
      <c r="I79" s="3">
        <v>1</v>
      </c>
      <c r="J79" s="62"/>
      <c r="K79" s="62"/>
      <c r="L79" s="62"/>
      <c r="M79" s="62"/>
      <c r="N79" s="62"/>
      <c r="O79" s="62"/>
      <c r="P79" s="62"/>
    </row>
    <row r="80" spans="1:16" ht="13.5" x14ac:dyDescent="0.25">
      <c r="A80" s="62"/>
      <c r="B80" s="182" t="s">
        <v>404</v>
      </c>
      <c r="C80" s="14">
        <v>1</v>
      </c>
      <c r="D80" s="14">
        <v>2</v>
      </c>
      <c r="E80" s="15" t="s">
        <v>61</v>
      </c>
      <c r="F80" s="3" t="s">
        <v>316</v>
      </c>
      <c r="G80" s="3">
        <v>0</v>
      </c>
      <c r="H80" s="3"/>
      <c r="I80" s="3">
        <v>1</v>
      </c>
      <c r="J80" s="62"/>
      <c r="K80" s="62"/>
      <c r="L80" s="62"/>
      <c r="M80" s="62"/>
      <c r="N80" s="62"/>
      <c r="O80" s="62"/>
      <c r="P80" s="62"/>
    </row>
    <row r="81" spans="1:16" ht="13.5" x14ac:dyDescent="0.25">
      <c r="A81" s="62"/>
      <c r="B81" s="182" t="s">
        <v>406</v>
      </c>
      <c r="C81" s="14">
        <v>1</v>
      </c>
      <c r="D81" s="14">
        <v>2</v>
      </c>
      <c r="E81" s="15" t="s">
        <v>61</v>
      </c>
      <c r="F81" s="3" t="s">
        <v>316</v>
      </c>
      <c r="G81" s="3">
        <v>0</v>
      </c>
      <c r="H81" s="3"/>
      <c r="I81" s="3">
        <v>1</v>
      </c>
      <c r="J81" s="62"/>
      <c r="K81" s="62"/>
      <c r="L81" s="62"/>
      <c r="M81" s="62"/>
      <c r="N81" s="62"/>
      <c r="O81" s="62"/>
      <c r="P81" s="62"/>
    </row>
    <row r="82" spans="1:16" ht="13.5" x14ac:dyDescent="0.25">
      <c r="A82" s="62"/>
      <c r="B82" s="182" t="s">
        <v>405</v>
      </c>
      <c r="C82" s="14">
        <v>1</v>
      </c>
      <c r="D82" s="14">
        <v>2</v>
      </c>
      <c r="E82" s="15" t="s">
        <v>61</v>
      </c>
      <c r="F82" s="3" t="s">
        <v>316</v>
      </c>
      <c r="G82" s="3">
        <v>0</v>
      </c>
      <c r="H82" s="3"/>
      <c r="I82" s="3">
        <v>1</v>
      </c>
      <c r="J82" s="62"/>
      <c r="K82" s="62"/>
      <c r="L82" s="62"/>
      <c r="M82" s="62"/>
      <c r="N82" s="62"/>
      <c r="O82" s="62"/>
      <c r="P82" s="62"/>
    </row>
    <row r="83" spans="1:16" x14ac:dyDescent="0.2">
      <c r="A83" s="62"/>
      <c r="B83" s="124" t="s">
        <v>257</v>
      </c>
      <c r="C83" s="125"/>
      <c r="D83" s="125"/>
      <c r="E83" s="126"/>
      <c r="F83" s="126"/>
      <c r="G83" s="126"/>
      <c r="H83" s="126"/>
      <c r="I83" s="126"/>
      <c r="J83" s="62"/>
      <c r="K83" s="62"/>
      <c r="L83" s="62"/>
      <c r="M83" s="62"/>
      <c r="N83" s="62"/>
      <c r="O83" s="62"/>
      <c r="P83" s="62"/>
    </row>
    <row r="84" spans="1:16" ht="13.5" x14ac:dyDescent="0.25">
      <c r="A84" s="62"/>
      <c r="B84" s="10" t="s">
        <v>609</v>
      </c>
      <c r="C84" s="1">
        <v>15</v>
      </c>
      <c r="D84" s="1">
        <v>50000</v>
      </c>
      <c r="E84" s="6" t="s">
        <v>277</v>
      </c>
      <c r="F84" s="3" t="s">
        <v>317</v>
      </c>
      <c r="G84" s="3">
        <v>0</v>
      </c>
      <c r="H84" s="3"/>
      <c r="I84" s="3">
        <v>1</v>
      </c>
      <c r="J84" s="62"/>
      <c r="K84" s="62"/>
      <c r="L84" s="62"/>
      <c r="M84" s="62"/>
      <c r="N84" s="62"/>
      <c r="O84" s="62"/>
      <c r="P84" s="62"/>
    </row>
    <row r="85" spans="1:16" ht="13.5" x14ac:dyDescent="0.25">
      <c r="A85" s="62"/>
      <c r="B85" s="10" t="s">
        <v>610</v>
      </c>
      <c r="C85" s="1">
        <v>0</v>
      </c>
      <c r="D85" s="1">
        <v>400</v>
      </c>
      <c r="E85" s="4" t="s">
        <v>276</v>
      </c>
      <c r="F85" s="3" t="s">
        <v>316</v>
      </c>
      <c r="G85" s="3">
        <v>1</v>
      </c>
      <c r="H85" s="3"/>
      <c r="I85" s="3">
        <v>0</v>
      </c>
      <c r="J85" s="62"/>
      <c r="K85" s="62"/>
      <c r="L85" s="62"/>
      <c r="M85" s="62"/>
      <c r="N85" s="62"/>
      <c r="O85" s="62"/>
      <c r="P85" s="62"/>
    </row>
    <row r="86" spans="1:16" ht="13.5" x14ac:dyDescent="0.25">
      <c r="A86" s="62"/>
      <c r="B86" s="10" t="s">
        <v>612</v>
      </c>
      <c r="C86" s="1">
        <v>15</v>
      </c>
      <c r="D86" s="1">
        <v>50000</v>
      </c>
      <c r="E86" s="6" t="s">
        <v>277</v>
      </c>
      <c r="F86" s="3" t="s">
        <v>317</v>
      </c>
      <c r="G86" s="3">
        <v>0</v>
      </c>
      <c r="H86" s="3"/>
      <c r="I86" s="3">
        <v>1</v>
      </c>
      <c r="J86" s="62"/>
      <c r="K86" s="62"/>
      <c r="L86" s="62"/>
      <c r="M86" s="62"/>
      <c r="N86" s="62"/>
      <c r="O86" s="62"/>
      <c r="P86" s="62"/>
    </row>
    <row r="87" spans="1:16" ht="13.5" x14ac:dyDescent="0.25">
      <c r="A87" s="62"/>
      <c r="B87" s="11" t="s">
        <v>611</v>
      </c>
      <c r="C87" s="2">
        <v>0</v>
      </c>
      <c r="D87" s="2">
        <v>400</v>
      </c>
      <c r="E87" s="4" t="s">
        <v>276</v>
      </c>
      <c r="F87" s="3" t="s">
        <v>316</v>
      </c>
      <c r="G87" s="3">
        <v>1</v>
      </c>
      <c r="H87" s="3"/>
      <c r="I87" s="3">
        <v>0</v>
      </c>
      <c r="J87" s="62"/>
      <c r="K87" s="62"/>
      <c r="L87" s="62"/>
      <c r="M87" s="62"/>
      <c r="N87" s="62"/>
      <c r="O87" s="62"/>
      <c r="P87" s="62"/>
    </row>
    <row r="88" spans="1:16" x14ac:dyDescent="0.2">
      <c r="A88" s="62"/>
      <c r="B88" s="124" t="s">
        <v>258</v>
      </c>
      <c r="C88" s="125"/>
      <c r="D88" s="125"/>
      <c r="E88" s="126"/>
      <c r="F88" s="126"/>
      <c r="G88" s="126"/>
      <c r="H88" s="126"/>
      <c r="I88" s="126"/>
      <c r="J88" s="62"/>
      <c r="K88" s="62"/>
      <c r="L88" s="62"/>
      <c r="M88" s="62"/>
      <c r="N88" s="62"/>
      <c r="O88" s="62"/>
      <c r="P88" s="62"/>
    </row>
    <row r="89" spans="1:16" ht="13.5" x14ac:dyDescent="0.25">
      <c r="A89" s="62"/>
      <c r="B89" s="10" t="s">
        <v>294</v>
      </c>
      <c r="C89" s="1">
        <v>400</v>
      </c>
      <c r="D89" s="199">
        <v>450</v>
      </c>
      <c r="E89" s="3" t="s">
        <v>273</v>
      </c>
      <c r="F89" s="3" t="s">
        <v>316</v>
      </c>
      <c r="G89" s="3">
        <v>1</v>
      </c>
      <c r="H89" s="3"/>
      <c r="I89" s="3">
        <v>3</v>
      </c>
      <c r="J89" s="62"/>
      <c r="K89" s="62"/>
      <c r="L89" s="62"/>
      <c r="M89" s="62"/>
      <c r="N89" s="62"/>
      <c r="O89" s="62"/>
      <c r="P89" s="62"/>
    </row>
    <row r="90" spans="1:16" ht="13.5" x14ac:dyDescent="0.25">
      <c r="A90" s="62"/>
      <c r="B90" s="19" t="s">
        <v>111</v>
      </c>
      <c r="C90" s="1">
        <v>400</v>
      </c>
      <c r="D90" s="2">
        <v>450</v>
      </c>
      <c r="E90" s="4" t="s">
        <v>273</v>
      </c>
      <c r="F90" s="3" t="s">
        <v>316</v>
      </c>
      <c r="G90" s="3">
        <v>1</v>
      </c>
      <c r="H90" s="3"/>
      <c r="I90" s="3">
        <v>3</v>
      </c>
      <c r="J90" s="62"/>
      <c r="K90" s="62"/>
      <c r="L90" s="62"/>
      <c r="M90" s="62"/>
      <c r="N90" s="62"/>
      <c r="O90" s="62"/>
      <c r="P90" s="62"/>
    </row>
    <row r="91" spans="1:16" ht="13.5" x14ac:dyDescent="0.25">
      <c r="A91" s="62"/>
      <c r="B91" s="19" t="s">
        <v>112</v>
      </c>
      <c r="C91" s="1">
        <v>400</v>
      </c>
      <c r="D91" s="2">
        <v>450</v>
      </c>
      <c r="E91" s="4" t="s">
        <v>273</v>
      </c>
      <c r="F91" s="3" t="s">
        <v>316</v>
      </c>
      <c r="G91" s="3">
        <v>1</v>
      </c>
      <c r="H91" s="3"/>
      <c r="I91" s="3">
        <v>3</v>
      </c>
      <c r="J91" s="62"/>
      <c r="K91" s="62"/>
      <c r="L91" s="62"/>
      <c r="M91" s="62"/>
      <c r="N91" s="62"/>
      <c r="O91" s="62"/>
      <c r="P91" s="62"/>
    </row>
    <row r="92" spans="1:16" ht="13.5" x14ac:dyDescent="0.25">
      <c r="A92" s="62"/>
      <c r="B92" s="11" t="s">
        <v>308</v>
      </c>
      <c r="C92" s="1">
        <v>400</v>
      </c>
      <c r="D92" s="1">
        <v>450</v>
      </c>
      <c r="E92" s="4" t="s">
        <v>273</v>
      </c>
      <c r="F92" s="3" t="s">
        <v>316</v>
      </c>
      <c r="G92" s="3">
        <v>1</v>
      </c>
      <c r="H92" s="3"/>
      <c r="I92" s="3">
        <v>5</v>
      </c>
      <c r="J92" s="62"/>
      <c r="K92" s="62"/>
      <c r="L92" s="62"/>
      <c r="M92" s="62"/>
      <c r="N92" s="62"/>
      <c r="O92" s="62"/>
      <c r="P92" s="62"/>
    </row>
    <row r="93" spans="1:16" ht="13.5" x14ac:dyDescent="0.25">
      <c r="A93" s="62"/>
      <c r="B93" s="19" t="s">
        <v>99</v>
      </c>
      <c r="C93" s="1">
        <v>50</v>
      </c>
      <c r="D93" s="2">
        <v>75</v>
      </c>
      <c r="E93" s="15" t="s">
        <v>276</v>
      </c>
      <c r="F93" s="3" t="s">
        <v>316</v>
      </c>
      <c r="G93" s="3">
        <v>1</v>
      </c>
      <c r="H93" s="3"/>
      <c r="I93" s="3">
        <v>5</v>
      </c>
      <c r="J93" s="62"/>
      <c r="K93" s="62"/>
      <c r="L93" s="62"/>
      <c r="M93" s="62"/>
      <c r="N93" s="62"/>
      <c r="O93" s="62"/>
      <c r="P93" s="62"/>
    </row>
    <row r="94" spans="1:16" ht="13.5" x14ac:dyDescent="0.25">
      <c r="A94" s="62"/>
      <c r="B94" s="19" t="s">
        <v>100</v>
      </c>
      <c r="C94" s="201">
        <f>IF(HighPwrGrant="NONE",IF(BT="YES",50,44),50)</f>
        <v>50</v>
      </c>
      <c r="D94" s="2">
        <v>57</v>
      </c>
      <c r="E94" s="4" t="s">
        <v>637</v>
      </c>
      <c r="F94" s="4" t="s">
        <v>316</v>
      </c>
      <c r="G94" s="4">
        <v>1</v>
      </c>
      <c r="H94" s="286"/>
      <c r="I94" s="4">
        <v>5</v>
      </c>
      <c r="J94" s="62"/>
      <c r="K94" s="62"/>
      <c r="L94" s="62"/>
      <c r="M94" s="62"/>
      <c r="N94" s="62"/>
      <c r="O94" s="62"/>
      <c r="P94" s="62"/>
    </row>
    <row r="95" spans="1:16" ht="13.5" x14ac:dyDescent="0.25">
      <c r="A95" s="62"/>
      <c r="B95" s="19" t="s">
        <v>22</v>
      </c>
      <c r="C95" s="1">
        <v>30</v>
      </c>
      <c r="D95" s="2">
        <v>57</v>
      </c>
      <c r="E95" s="4" t="s">
        <v>637</v>
      </c>
      <c r="F95" s="4" t="s">
        <v>316</v>
      </c>
      <c r="G95" s="4">
        <v>1</v>
      </c>
      <c r="H95" s="286"/>
      <c r="I95" s="4">
        <v>3</v>
      </c>
      <c r="J95" s="62"/>
      <c r="K95" s="62"/>
      <c r="L95" s="62"/>
      <c r="M95" s="62"/>
      <c r="N95" s="62"/>
      <c r="O95" s="62"/>
      <c r="P95" s="62"/>
    </row>
    <row r="96" spans="1:16" ht="13.5" x14ac:dyDescent="0.25">
      <c r="A96" s="62"/>
      <c r="B96" s="19" t="s">
        <v>356</v>
      </c>
      <c r="C96" s="24">
        <v>0</v>
      </c>
      <c r="D96" s="273">
        <f>IF(BT="YES",0,1)</f>
        <v>0</v>
      </c>
      <c r="E96" s="37" t="s">
        <v>61</v>
      </c>
      <c r="F96" s="274" t="str">
        <f>IF(BT="YES","PF","Warn")</f>
        <v>PF</v>
      </c>
      <c r="G96" s="3">
        <v>0</v>
      </c>
      <c r="H96" s="3"/>
      <c r="I96" s="24">
        <v>5</v>
      </c>
      <c r="J96" s="62"/>
      <c r="K96" s="62"/>
      <c r="L96" s="62"/>
      <c r="M96" s="62"/>
      <c r="N96" s="62"/>
      <c r="O96" s="62"/>
      <c r="P96" s="62"/>
    </row>
    <row r="97" spans="1:16" ht="13.5" x14ac:dyDescent="0.25">
      <c r="A97" s="62"/>
      <c r="B97" s="19" t="s">
        <v>357</v>
      </c>
      <c r="C97" s="24">
        <v>0</v>
      </c>
      <c r="D97" s="273">
        <f>IF(BT="YES",0,1)</f>
        <v>0</v>
      </c>
      <c r="E97" s="37" t="s">
        <v>61</v>
      </c>
      <c r="F97" s="274" t="str">
        <f>IF(BT="YES","PF","Warn")</f>
        <v>PF</v>
      </c>
      <c r="G97" s="3">
        <v>0</v>
      </c>
      <c r="H97" s="3"/>
      <c r="I97" s="24">
        <v>1</v>
      </c>
      <c r="J97" s="62"/>
      <c r="K97" s="62"/>
      <c r="L97" s="62"/>
      <c r="M97" s="62"/>
      <c r="N97" s="62"/>
      <c r="O97" s="62"/>
      <c r="P97" s="62"/>
    </row>
    <row r="98" spans="1:16" ht="13.5" x14ac:dyDescent="0.25">
      <c r="A98" s="62"/>
      <c r="B98" s="11" t="s">
        <v>662</v>
      </c>
      <c r="C98" s="1">
        <v>60</v>
      </c>
      <c r="D98" s="2">
        <v>450</v>
      </c>
      <c r="E98" s="4" t="s">
        <v>273</v>
      </c>
      <c r="F98" s="3" t="s">
        <v>316</v>
      </c>
      <c r="G98" s="3">
        <v>0</v>
      </c>
      <c r="H98" s="3"/>
      <c r="I98" s="3">
        <v>5</v>
      </c>
      <c r="J98" s="62"/>
      <c r="K98" s="62"/>
      <c r="L98" s="62"/>
      <c r="M98" s="62"/>
      <c r="N98" s="62"/>
      <c r="O98" s="62"/>
      <c r="P98" s="62"/>
    </row>
    <row r="99" spans="1:16" x14ac:dyDescent="0.2">
      <c r="A99" s="62"/>
      <c r="B99" s="124" t="s">
        <v>183</v>
      </c>
      <c r="C99" s="125"/>
      <c r="D99" s="125"/>
      <c r="E99" s="126"/>
      <c r="F99" s="126"/>
      <c r="G99" s="126"/>
      <c r="H99" s="126"/>
      <c r="I99" s="126"/>
      <c r="J99" s="62"/>
      <c r="K99" s="62"/>
      <c r="L99" s="62"/>
      <c r="M99" s="62"/>
      <c r="N99" s="62"/>
      <c r="O99" s="62"/>
      <c r="P99" s="62"/>
    </row>
    <row r="100" spans="1:16" ht="13.5" x14ac:dyDescent="0.25">
      <c r="A100" s="62"/>
      <c r="B100" s="10" t="s">
        <v>614</v>
      </c>
      <c r="C100" s="201">
        <f>IF(HighPwrGrant="NONE",IF(BT="YES",50,44),50)</f>
        <v>50</v>
      </c>
      <c r="D100" s="1">
        <v>57</v>
      </c>
      <c r="E100" s="3" t="s">
        <v>637</v>
      </c>
      <c r="F100" s="3" t="s">
        <v>316</v>
      </c>
      <c r="G100" s="3">
        <v>1</v>
      </c>
      <c r="H100" s="3"/>
      <c r="I100" s="3">
        <v>5</v>
      </c>
      <c r="J100" s="62"/>
      <c r="K100" s="62"/>
      <c r="L100" s="62"/>
      <c r="M100" s="62"/>
      <c r="N100" s="62"/>
      <c r="O100" s="62"/>
      <c r="P100" s="62"/>
    </row>
    <row r="101" spans="1:16" ht="13.5" x14ac:dyDescent="0.25">
      <c r="A101" s="62"/>
      <c r="B101" s="13" t="s">
        <v>613</v>
      </c>
      <c r="C101" s="201">
        <f>IF(HighPwrGrant="NONE",IF(BT="YES",50,44),50)</f>
        <v>50</v>
      </c>
      <c r="D101" s="14">
        <v>57</v>
      </c>
      <c r="E101" s="3" t="s">
        <v>637</v>
      </c>
      <c r="F101" s="3" t="s">
        <v>316</v>
      </c>
      <c r="G101" s="3">
        <v>1</v>
      </c>
      <c r="H101" s="3"/>
      <c r="I101" s="3">
        <v>5</v>
      </c>
      <c r="J101" s="62"/>
      <c r="K101" s="62"/>
      <c r="L101" s="62"/>
      <c r="M101" s="62"/>
      <c r="N101" s="62"/>
      <c r="O101" s="62"/>
      <c r="P101" s="62"/>
    </row>
    <row r="102" spans="1:16" ht="13.5" x14ac:dyDescent="0.25">
      <c r="A102" s="62"/>
      <c r="B102" s="13" t="s">
        <v>615</v>
      </c>
      <c r="C102" s="14">
        <v>0</v>
      </c>
      <c r="D102" s="14">
        <v>500</v>
      </c>
      <c r="E102" s="15" t="s">
        <v>640</v>
      </c>
      <c r="F102" s="3" t="s">
        <v>316</v>
      </c>
      <c r="G102" s="3">
        <v>1</v>
      </c>
      <c r="H102" s="3"/>
      <c r="I102" s="3">
        <v>3</v>
      </c>
      <c r="J102" s="62"/>
      <c r="K102" s="62"/>
      <c r="L102" s="62"/>
      <c r="M102" s="62"/>
      <c r="N102" s="62"/>
      <c r="O102" s="62"/>
      <c r="P102" s="62"/>
    </row>
    <row r="103" spans="1:16" ht="13.5" x14ac:dyDescent="0.25">
      <c r="A103" s="62"/>
      <c r="B103" s="13" t="s">
        <v>616</v>
      </c>
      <c r="C103" s="2">
        <v>0</v>
      </c>
      <c r="D103" s="2">
        <v>200</v>
      </c>
      <c r="E103" s="15" t="s">
        <v>640</v>
      </c>
      <c r="F103" s="3" t="s">
        <v>316</v>
      </c>
      <c r="G103" s="3">
        <v>1</v>
      </c>
      <c r="H103" s="3"/>
      <c r="I103" s="3">
        <v>3</v>
      </c>
      <c r="J103" s="62"/>
      <c r="K103" s="62"/>
      <c r="L103" s="62"/>
      <c r="M103" s="62"/>
      <c r="N103" s="62"/>
      <c r="O103" s="62"/>
      <c r="P103" s="62"/>
    </row>
    <row r="104" spans="1:16" ht="13.5" x14ac:dyDescent="0.25">
      <c r="A104" s="62"/>
      <c r="B104" s="13" t="s">
        <v>617</v>
      </c>
      <c r="C104" s="201">
        <f>IF(HighPwrGrant="NONE",IF(BT="YES",50,44),50)</f>
        <v>50</v>
      </c>
      <c r="D104" s="2">
        <v>57</v>
      </c>
      <c r="E104" s="4" t="s">
        <v>637</v>
      </c>
      <c r="F104" s="3" t="s">
        <v>316</v>
      </c>
      <c r="G104" s="3">
        <v>1</v>
      </c>
      <c r="H104" s="3"/>
      <c r="I104" s="3">
        <v>5</v>
      </c>
      <c r="J104" s="62"/>
      <c r="K104" s="62"/>
      <c r="L104" s="62"/>
      <c r="M104" s="62"/>
      <c r="N104" s="62"/>
      <c r="O104" s="62"/>
      <c r="P104" s="62"/>
    </row>
    <row r="105" spans="1:16" ht="13.5" x14ac:dyDescent="0.25">
      <c r="A105" s="62"/>
      <c r="B105" s="13" t="s">
        <v>618</v>
      </c>
      <c r="C105" s="201">
        <f>IF(HighPwrGrant="NONE",IF(BT="YES",50,44),50)</f>
        <v>50</v>
      </c>
      <c r="D105" s="2">
        <v>57</v>
      </c>
      <c r="E105" s="4" t="s">
        <v>637</v>
      </c>
      <c r="F105" s="3" t="s">
        <v>316</v>
      </c>
      <c r="G105" s="3">
        <v>1</v>
      </c>
      <c r="H105" s="3"/>
      <c r="I105" s="3">
        <v>3</v>
      </c>
      <c r="J105" s="62"/>
      <c r="K105" s="62"/>
      <c r="L105" s="62"/>
      <c r="M105" s="62"/>
      <c r="N105" s="62"/>
      <c r="O105" s="62"/>
      <c r="P105" s="62"/>
    </row>
    <row r="106" spans="1:16" x14ac:dyDescent="0.2">
      <c r="A106" s="62"/>
      <c r="B106" s="124" t="s">
        <v>101</v>
      </c>
      <c r="C106" s="125"/>
      <c r="D106" s="125"/>
      <c r="E106" s="126"/>
      <c r="F106" s="126"/>
      <c r="G106" s="126"/>
      <c r="H106" s="126"/>
      <c r="I106" s="126"/>
      <c r="J106" s="62"/>
      <c r="K106" s="62"/>
      <c r="L106" s="62"/>
      <c r="M106" s="62"/>
      <c r="N106" s="62"/>
      <c r="O106" s="62"/>
      <c r="P106" s="62"/>
    </row>
    <row r="107" spans="1:16" ht="13.5" x14ac:dyDescent="0.25">
      <c r="A107" s="62"/>
      <c r="B107" s="10" t="s">
        <v>102</v>
      </c>
      <c r="C107" s="1">
        <v>14.2</v>
      </c>
      <c r="D107" s="1">
        <v>22.7</v>
      </c>
      <c r="E107" s="3" t="s">
        <v>639</v>
      </c>
      <c r="F107" s="3" t="s">
        <v>316</v>
      </c>
      <c r="G107" s="3">
        <v>1</v>
      </c>
      <c r="H107" s="3"/>
      <c r="I107" s="3">
        <v>1</v>
      </c>
      <c r="J107" s="62"/>
      <c r="K107" s="62"/>
      <c r="L107" s="62"/>
      <c r="M107" s="62"/>
      <c r="N107" s="62"/>
      <c r="O107" s="62"/>
      <c r="P107" s="62"/>
    </row>
    <row r="108" spans="1:16" ht="13.5" x14ac:dyDescent="0.25">
      <c r="A108" s="62"/>
      <c r="B108" s="11" t="s">
        <v>337</v>
      </c>
      <c r="C108" s="4">
        <v>100</v>
      </c>
      <c r="D108" s="4">
        <v>9999</v>
      </c>
      <c r="E108" s="4" t="s">
        <v>201</v>
      </c>
      <c r="F108" s="3" t="s">
        <v>316</v>
      </c>
      <c r="G108" s="3">
        <v>1</v>
      </c>
      <c r="H108" s="3"/>
      <c r="I108" s="3">
        <v>5</v>
      </c>
      <c r="J108" s="62"/>
      <c r="K108" s="62"/>
      <c r="L108" s="62"/>
      <c r="M108" s="62"/>
      <c r="N108" s="62"/>
      <c r="O108" s="62"/>
      <c r="P108" s="62"/>
    </row>
    <row r="109" spans="1:16" ht="13.5" x14ac:dyDescent="0.25">
      <c r="A109" s="62"/>
      <c r="B109" s="10" t="s">
        <v>106</v>
      </c>
      <c r="C109" s="2">
        <v>3.9</v>
      </c>
      <c r="D109" s="2">
        <v>22.7</v>
      </c>
      <c r="E109" s="3" t="s">
        <v>639</v>
      </c>
      <c r="F109" s="3" t="s">
        <v>316</v>
      </c>
      <c r="G109" s="3">
        <v>1</v>
      </c>
      <c r="H109" s="3"/>
      <c r="I109" s="3">
        <v>1</v>
      </c>
      <c r="J109" s="62"/>
      <c r="K109" s="62"/>
      <c r="L109" s="62"/>
      <c r="M109" s="62"/>
      <c r="N109" s="62"/>
      <c r="O109" s="62"/>
      <c r="P109" s="62"/>
    </row>
    <row r="110" spans="1:16" ht="13.5" x14ac:dyDescent="0.25">
      <c r="A110" s="62"/>
      <c r="B110" s="11" t="s">
        <v>338</v>
      </c>
      <c r="C110" s="4">
        <v>100</v>
      </c>
      <c r="D110" s="4">
        <v>9999</v>
      </c>
      <c r="E110" s="4" t="s">
        <v>201</v>
      </c>
      <c r="F110" s="3" t="s">
        <v>316</v>
      </c>
      <c r="G110" s="3">
        <v>1</v>
      </c>
      <c r="H110" s="3"/>
      <c r="I110" s="3">
        <v>5</v>
      </c>
      <c r="J110" s="62"/>
      <c r="K110" s="62"/>
      <c r="L110" s="62"/>
      <c r="M110" s="62"/>
      <c r="N110" s="62"/>
      <c r="O110" s="62"/>
      <c r="P110" s="62"/>
    </row>
    <row r="111" spans="1:16" ht="13.5" x14ac:dyDescent="0.25">
      <c r="A111" s="62"/>
      <c r="B111" s="10" t="s">
        <v>107</v>
      </c>
      <c r="C111" s="2">
        <v>6.8</v>
      </c>
      <c r="D111" s="2">
        <v>22.7</v>
      </c>
      <c r="E111" s="3" t="s">
        <v>639</v>
      </c>
      <c r="F111" s="3" t="s">
        <v>316</v>
      </c>
      <c r="G111" s="3">
        <v>1</v>
      </c>
      <c r="H111" s="3"/>
      <c r="I111" s="3">
        <v>1</v>
      </c>
      <c r="J111" s="62"/>
      <c r="K111" s="62"/>
      <c r="L111" s="62"/>
      <c r="M111" s="62"/>
      <c r="N111" s="62"/>
      <c r="O111" s="62"/>
      <c r="P111" s="62"/>
    </row>
    <row r="112" spans="1:16" ht="13.5" x14ac:dyDescent="0.25">
      <c r="A112" s="62"/>
      <c r="B112" s="11" t="s">
        <v>339</v>
      </c>
      <c r="C112" s="4">
        <v>100</v>
      </c>
      <c r="D112" s="4">
        <v>9999</v>
      </c>
      <c r="E112" s="4" t="s">
        <v>201</v>
      </c>
      <c r="F112" s="3" t="s">
        <v>316</v>
      </c>
      <c r="G112" s="3">
        <v>1</v>
      </c>
      <c r="H112" s="3"/>
      <c r="I112" s="3">
        <v>5</v>
      </c>
      <c r="J112" s="62"/>
      <c r="K112" s="62"/>
      <c r="L112" s="62"/>
      <c r="M112" s="62"/>
      <c r="N112" s="62"/>
      <c r="O112" s="62"/>
      <c r="P112" s="62"/>
    </row>
    <row r="113" spans="1:16" ht="13.5" x14ac:dyDescent="0.25">
      <c r="A113" s="62"/>
      <c r="B113" s="10" t="s">
        <v>108</v>
      </c>
      <c r="C113" s="2">
        <v>14.2</v>
      </c>
      <c r="D113" s="2">
        <v>22.7</v>
      </c>
      <c r="E113" s="3" t="s">
        <v>639</v>
      </c>
      <c r="F113" s="3" t="s">
        <v>316</v>
      </c>
      <c r="G113" s="3">
        <v>1</v>
      </c>
      <c r="H113" s="3"/>
      <c r="I113" s="3">
        <v>1</v>
      </c>
      <c r="J113" s="62"/>
      <c r="K113" s="62"/>
      <c r="L113" s="62"/>
      <c r="M113" s="62"/>
      <c r="N113" s="62"/>
      <c r="O113" s="62"/>
      <c r="P113" s="62"/>
    </row>
    <row r="114" spans="1:16" ht="13.5" x14ac:dyDescent="0.25">
      <c r="A114" s="62"/>
      <c r="B114" s="11" t="s">
        <v>340</v>
      </c>
      <c r="C114" s="4">
        <v>100</v>
      </c>
      <c r="D114" s="4">
        <v>9999</v>
      </c>
      <c r="E114" s="4" t="s">
        <v>201</v>
      </c>
      <c r="F114" s="3" t="s">
        <v>316</v>
      </c>
      <c r="G114" s="3">
        <v>1</v>
      </c>
      <c r="H114" s="3"/>
      <c r="I114" s="3">
        <v>5</v>
      </c>
      <c r="J114" s="62"/>
      <c r="K114" s="62"/>
      <c r="L114" s="62"/>
      <c r="M114" s="62"/>
      <c r="N114" s="62"/>
      <c r="O114" s="62"/>
      <c r="P114" s="62"/>
    </row>
    <row r="115" spans="1:16" ht="13.5" x14ac:dyDescent="0.25">
      <c r="A115" s="62"/>
      <c r="B115" s="10" t="s">
        <v>109</v>
      </c>
      <c r="C115" s="121">
        <f>IF(HighPwrGrant="NONE",14.2,28.7)</f>
        <v>28.7</v>
      </c>
      <c r="D115" s="121">
        <f>IF(HighPwrGrant="NONE",22.7,38.9)</f>
        <v>38.9</v>
      </c>
      <c r="E115" s="3" t="s">
        <v>639</v>
      </c>
      <c r="F115" s="3" t="s">
        <v>316</v>
      </c>
      <c r="G115" s="3">
        <v>1</v>
      </c>
      <c r="H115" s="3"/>
      <c r="I115" s="3">
        <v>1</v>
      </c>
      <c r="J115" s="62"/>
      <c r="K115" s="62"/>
      <c r="L115" s="62"/>
      <c r="M115" s="62"/>
      <c r="N115" s="62"/>
      <c r="O115" s="62"/>
      <c r="P115" s="62"/>
    </row>
    <row r="116" spans="1:16" ht="13.5" x14ac:dyDescent="0.25">
      <c r="A116" s="62"/>
      <c r="B116" s="11" t="s">
        <v>341</v>
      </c>
      <c r="C116" s="4">
        <v>100</v>
      </c>
      <c r="D116" s="4">
        <v>9999</v>
      </c>
      <c r="E116" s="4" t="s">
        <v>201</v>
      </c>
      <c r="F116" s="4" t="s">
        <v>316</v>
      </c>
      <c r="G116" s="4">
        <v>1</v>
      </c>
      <c r="H116" s="286"/>
      <c r="I116" s="4">
        <v>5</v>
      </c>
      <c r="J116" s="62"/>
      <c r="K116" s="62"/>
      <c r="L116" s="62"/>
      <c r="M116" s="62"/>
      <c r="N116" s="62"/>
      <c r="O116" s="62"/>
      <c r="P116" s="62"/>
    </row>
    <row r="117" spans="1:16" ht="13.5" x14ac:dyDescent="0.25">
      <c r="A117" s="62"/>
      <c r="B117" s="11" t="s">
        <v>110</v>
      </c>
      <c r="C117" s="121">
        <f>IF(LEFT(HighPwrGrant,3)="PHY",1,0)</f>
        <v>1</v>
      </c>
      <c r="D117" s="121">
        <f>IF(LEFT(HighPwrGrant,3)="PHY",1,0)</f>
        <v>1</v>
      </c>
      <c r="E117" s="39" t="s">
        <v>61</v>
      </c>
      <c r="F117" s="3" t="s">
        <v>316</v>
      </c>
      <c r="G117" s="3">
        <v>0</v>
      </c>
      <c r="H117" s="3"/>
      <c r="I117" s="3">
        <v>5</v>
      </c>
      <c r="J117" s="62"/>
      <c r="K117" s="62"/>
      <c r="L117" s="62"/>
      <c r="M117" s="62"/>
      <c r="N117" s="62"/>
      <c r="O117" s="62"/>
      <c r="P117" s="62"/>
    </row>
    <row r="118" spans="1:16" ht="13.5" x14ac:dyDescent="0.25">
      <c r="A118" s="62"/>
      <c r="B118" s="13" t="s">
        <v>380</v>
      </c>
      <c r="C118" s="2">
        <v>1</v>
      </c>
      <c r="D118" s="2">
        <v>1</v>
      </c>
      <c r="E118" s="39" t="s">
        <v>61</v>
      </c>
      <c r="F118" s="3" t="s">
        <v>316</v>
      </c>
      <c r="G118" s="3">
        <v>0</v>
      </c>
      <c r="H118" s="3"/>
      <c r="I118" s="3">
        <v>5</v>
      </c>
      <c r="J118" s="62"/>
      <c r="K118" s="62"/>
      <c r="L118" s="62"/>
      <c r="M118" s="62"/>
      <c r="N118" s="62"/>
      <c r="O118" s="62"/>
      <c r="P118" s="62"/>
    </row>
    <row r="119" spans="1:16" ht="13.5" x14ac:dyDescent="0.25">
      <c r="A119" s="62"/>
      <c r="B119" s="13" t="s">
        <v>381</v>
      </c>
      <c r="C119" s="4">
        <v>1</v>
      </c>
      <c r="D119" s="4">
        <v>1</v>
      </c>
      <c r="E119" s="39" t="s">
        <v>61</v>
      </c>
      <c r="F119" s="3" t="s">
        <v>316</v>
      </c>
      <c r="G119" s="4">
        <v>0</v>
      </c>
      <c r="H119" s="286"/>
      <c r="I119" s="4">
        <v>5</v>
      </c>
      <c r="J119" s="62"/>
      <c r="K119" s="62"/>
      <c r="L119" s="62"/>
      <c r="M119" s="62"/>
      <c r="N119" s="62"/>
      <c r="O119" s="62"/>
      <c r="P119" s="62"/>
    </row>
    <row r="120" spans="1:16" x14ac:dyDescent="0.2">
      <c r="A120" s="62"/>
      <c r="B120" s="124" t="s">
        <v>192</v>
      </c>
      <c r="C120" s="125"/>
      <c r="D120" s="125"/>
      <c r="E120" s="126"/>
      <c r="F120" s="126"/>
      <c r="G120" s="126"/>
      <c r="H120" s="126"/>
      <c r="I120" s="126"/>
      <c r="J120" s="62"/>
      <c r="K120" s="62"/>
      <c r="L120" s="62"/>
      <c r="M120" s="62"/>
      <c r="N120" s="62"/>
      <c r="O120" s="62"/>
      <c r="P120" s="62"/>
    </row>
    <row r="121" spans="1:16" ht="13.5" x14ac:dyDescent="0.25">
      <c r="A121" s="62"/>
      <c r="B121" s="10" t="s">
        <v>619</v>
      </c>
      <c r="C121" s="1">
        <v>0</v>
      </c>
      <c r="D121" s="1">
        <v>1750</v>
      </c>
      <c r="E121" s="3" t="s">
        <v>273</v>
      </c>
      <c r="F121" s="8" t="s">
        <v>316</v>
      </c>
      <c r="G121" s="8">
        <v>1</v>
      </c>
      <c r="H121" s="8"/>
      <c r="I121" s="8">
        <v>3</v>
      </c>
      <c r="J121" s="62"/>
      <c r="K121" s="62"/>
      <c r="L121" s="62"/>
      <c r="M121" s="62"/>
      <c r="N121" s="62"/>
      <c r="O121" s="62"/>
      <c r="P121" s="62"/>
    </row>
    <row r="122" spans="1:16" ht="13.5" x14ac:dyDescent="0.25">
      <c r="A122" s="62"/>
      <c r="B122" s="13" t="s">
        <v>193</v>
      </c>
      <c r="C122" s="2">
        <v>400</v>
      </c>
      <c r="D122" s="2">
        <v>1750</v>
      </c>
      <c r="E122" s="15" t="s">
        <v>273</v>
      </c>
      <c r="F122" s="15" t="s">
        <v>316</v>
      </c>
      <c r="G122" s="15">
        <v>1</v>
      </c>
      <c r="H122" s="15"/>
      <c r="I122" s="14">
        <v>5</v>
      </c>
      <c r="J122" s="62"/>
      <c r="K122" s="62"/>
      <c r="L122" s="62"/>
      <c r="M122" s="62"/>
      <c r="N122" s="62"/>
      <c r="O122" s="62"/>
      <c r="P122" s="62"/>
    </row>
    <row r="123" spans="1:16" ht="13.5" x14ac:dyDescent="0.25">
      <c r="A123" s="62"/>
      <c r="B123" s="13" t="s">
        <v>194</v>
      </c>
      <c r="C123" s="93">
        <f>IF(HighPwrGrant="NONE",IF(BT="YES",10,50),10)</f>
        <v>10</v>
      </c>
      <c r="D123" s="93">
        <f>IF(HighPwrGrant="NONE",IF(BT="YES",9999,75),9999)</f>
        <v>9999</v>
      </c>
      <c r="E123" s="15" t="s">
        <v>276</v>
      </c>
      <c r="F123" s="15" t="s">
        <v>316</v>
      </c>
      <c r="G123" s="15">
        <v>1</v>
      </c>
      <c r="H123" s="15"/>
      <c r="I123" s="14">
        <v>3</v>
      </c>
      <c r="J123" s="62"/>
      <c r="K123" s="62"/>
      <c r="L123" s="62"/>
      <c r="M123" s="62"/>
      <c r="N123" s="62"/>
      <c r="O123" s="62"/>
      <c r="P123" s="62"/>
    </row>
    <row r="124" spans="1:16" ht="13.5" x14ac:dyDescent="0.25">
      <c r="A124" s="62"/>
      <c r="B124" s="182" t="s">
        <v>434</v>
      </c>
      <c r="C124" s="1">
        <v>10</v>
      </c>
      <c r="D124" s="14">
        <v>9999</v>
      </c>
      <c r="E124" s="15" t="s">
        <v>276</v>
      </c>
      <c r="F124" s="15" t="s">
        <v>316</v>
      </c>
      <c r="G124" s="15">
        <v>1</v>
      </c>
      <c r="H124" s="15"/>
      <c r="I124" s="14">
        <v>3</v>
      </c>
      <c r="J124" s="62"/>
      <c r="K124" s="62"/>
      <c r="L124" s="62"/>
      <c r="M124" s="62"/>
      <c r="N124" s="62"/>
      <c r="O124" s="62"/>
      <c r="P124" s="62"/>
    </row>
    <row r="125" spans="1:16" ht="13.5" x14ac:dyDescent="0.25">
      <c r="A125" s="62"/>
      <c r="B125" s="182" t="s">
        <v>436</v>
      </c>
      <c r="C125" s="1">
        <v>0</v>
      </c>
      <c r="D125" s="14">
        <v>75</v>
      </c>
      <c r="E125" s="15" t="s">
        <v>276</v>
      </c>
      <c r="F125" s="15" t="s">
        <v>316</v>
      </c>
      <c r="G125" s="15">
        <v>1</v>
      </c>
      <c r="H125" s="15"/>
      <c r="I125" s="14">
        <v>3</v>
      </c>
      <c r="J125" s="62"/>
      <c r="K125" s="62"/>
      <c r="L125" s="62"/>
      <c r="M125" s="62"/>
      <c r="N125" s="62"/>
      <c r="O125" s="62"/>
      <c r="P125" s="62"/>
    </row>
    <row r="126" spans="1:16" ht="13.5" x14ac:dyDescent="0.25">
      <c r="A126" s="62"/>
      <c r="B126" s="13" t="s">
        <v>195</v>
      </c>
      <c r="C126" s="201">
        <f>IF(HighPwrGrant="NONE",IF(BT="YES",50,44),50)</f>
        <v>50</v>
      </c>
      <c r="D126" s="14">
        <v>57</v>
      </c>
      <c r="E126" s="15" t="s">
        <v>637</v>
      </c>
      <c r="F126" s="15" t="s">
        <v>316</v>
      </c>
      <c r="G126" s="15">
        <v>1</v>
      </c>
      <c r="H126" s="15"/>
      <c r="I126" s="14">
        <v>5</v>
      </c>
      <c r="J126" s="62"/>
      <c r="K126" s="62"/>
      <c r="L126" s="62"/>
      <c r="M126" s="62"/>
      <c r="N126" s="62"/>
      <c r="O126" s="62"/>
      <c r="P126" s="62"/>
    </row>
    <row r="127" spans="1:16" ht="13.5" x14ac:dyDescent="0.25">
      <c r="A127" s="62"/>
      <c r="B127" s="11" t="s">
        <v>196</v>
      </c>
      <c r="C127" s="2">
        <v>400</v>
      </c>
      <c r="D127" s="2">
        <v>1750</v>
      </c>
      <c r="E127" s="4" t="s">
        <v>273</v>
      </c>
      <c r="F127" s="4" t="s">
        <v>317</v>
      </c>
      <c r="G127" s="4">
        <v>1</v>
      </c>
      <c r="H127" s="286"/>
      <c r="I127" s="2">
        <v>1</v>
      </c>
      <c r="J127" s="62"/>
      <c r="K127" s="62"/>
      <c r="L127" s="62"/>
      <c r="M127" s="62"/>
      <c r="N127" s="62"/>
      <c r="O127" s="62"/>
      <c r="P127" s="62"/>
    </row>
    <row r="128" spans="1:16" ht="13.5" x14ac:dyDescent="0.25">
      <c r="A128" s="62"/>
      <c r="B128" s="11" t="s">
        <v>620</v>
      </c>
      <c r="C128" s="2">
        <v>0</v>
      </c>
      <c r="D128" s="2">
        <v>1750</v>
      </c>
      <c r="E128" s="4" t="s">
        <v>273</v>
      </c>
      <c r="F128" s="4" t="s">
        <v>316</v>
      </c>
      <c r="G128" s="4">
        <v>1</v>
      </c>
      <c r="H128" s="286"/>
      <c r="I128" s="4">
        <v>3</v>
      </c>
      <c r="J128" s="62"/>
      <c r="K128" s="62"/>
      <c r="L128" s="62"/>
      <c r="M128" s="62"/>
      <c r="N128" s="62"/>
      <c r="O128" s="62"/>
      <c r="P128" s="62"/>
    </row>
    <row r="129" spans="1:16" ht="13.5" x14ac:dyDescent="0.25">
      <c r="A129" s="62"/>
      <c r="B129" s="13" t="s">
        <v>197</v>
      </c>
      <c r="C129" s="14">
        <v>683</v>
      </c>
      <c r="D129" s="14">
        <v>1750</v>
      </c>
      <c r="E129" s="15" t="s">
        <v>273</v>
      </c>
      <c r="F129" s="15" t="s">
        <v>316</v>
      </c>
      <c r="G129" s="15">
        <v>1</v>
      </c>
      <c r="H129" s="15"/>
      <c r="I129" s="14">
        <v>5</v>
      </c>
      <c r="J129" s="62"/>
      <c r="K129" s="62"/>
      <c r="L129" s="62"/>
      <c r="M129" s="62"/>
      <c r="N129" s="62"/>
      <c r="O129" s="62"/>
      <c r="P129" s="62"/>
    </row>
    <row r="130" spans="1:16" ht="13.5" x14ac:dyDescent="0.25">
      <c r="A130" s="62"/>
      <c r="B130" s="13" t="s">
        <v>198</v>
      </c>
      <c r="C130" s="2">
        <v>10</v>
      </c>
      <c r="D130" s="14">
        <v>75</v>
      </c>
      <c r="E130" s="15" t="s">
        <v>276</v>
      </c>
      <c r="F130" s="15" t="s">
        <v>316</v>
      </c>
      <c r="G130" s="15">
        <v>1</v>
      </c>
      <c r="H130" s="15"/>
      <c r="I130" s="14">
        <v>3</v>
      </c>
      <c r="J130" s="62"/>
      <c r="K130" s="62"/>
      <c r="L130" s="62"/>
      <c r="M130" s="62"/>
      <c r="N130" s="62"/>
      <c r="O130" s="62"/>
      <c r="P130" s="62"/>
    </row>
    <row r="131" spans="1:16" ht="13.5" x14ac:dyDescent="0.25">
      <c r="A131" s="62"/>
      <c r="B131" s="182" t="s">
        <v>435</v>
      </c>
      <c r="C131" s="2">
        <v>10</v>
      </c>
      <c r="D131" s="14">
        <v>9999</v>
      </c>
      <c r="E131" s="15" t="s">
        <v>276</v>
      </c>
      <c r="F131" s="15" t="s">
        <v>316</v>
      </c>
      <c r="G131" s="15">
        <v>1</v>
      </c>
      <c r="H131" s="15"/>
      <c r="I131" s="14">
        <v>3</v>
      </c>
      <c r="J131" s="62"/>
      <c r="K131" s="62"/>
      <c r="L131" s="62"/>
      <c r="M131" s="62"/>
      <c r="N131" s="62"/>
      <c r="O131" s="62"/>
      <c r="P131" s="62"/>
    </row>
    <row r="132" spans="1:16" ht="13.5" x14ac:dyDescent="0.25">
      <c r="A132" s="62"/>
      <c r="B132" s="182" t="s">
        <v>437</v>
      </c>
      <c r="C132" s="1">
        <v>0</v>
      </c>
      <c r="D132" s="14">
        <v>75</v>
      </c>
      <c r="E132" s="15" t="s">
        <v>276</v>
      </c>
      <c r="F132" s="15" t="s">
        <v>316</v>
      </c>
      <c r="G132" s="15">
        <v>1</v>
      </c>
      <c r="H132" s="15"/>
      <c r="I132" s="14">
        <v>3</v>
      </c>
      <c r="J132" s="62"/>
      <c r="K132" s="62"/>
      <c r="L132" s="62"/>
      <c r="M132" s="62"/>
      <c r="N132" s="62"/>
      <c r="O132" s="62"/>
      <c r="P132" s="62"/>
    </row>
    <row r="133" spans="1:16" ht="13.5" x14ac:dyDescent="0.25">
      <c r="A133" s="62"/>
      <c r="B133" s="13" t="s">
        <v>199</v>
      </c>
      <c r="C133" s="14">
        <v>50</v>
      </c>
      <c r="D133" s="14">
        <v>57</v>
      </c>
      <c r="E133" s="15" t="s">
        <v>637</v>
      </c>
      <c r="F133" s="15" t="s">
        <v>316</v>
      </c>
      <c r="G133" s="15">
        <v>1</v>
      </c>
      <c r="H133" s="15"/>
      <c r="I133" s="14">
        <v>5</v>
      </c>
      <c r="J133" s="62"/>
      <c r="K133" s="62"/>
      <c r="L133" s="62"/>
      <c r="M133" s="62"/>
      <c r="N133" s="62"/>
      <c r="O133" s="62"/>
      <c r="P133" s="62"/>
    </row>
    <row r="134" spans="1:16" ht="13.5" x14ac:dyDescent="0.25">
      <c r="A134" s="62"/>
      <c r="B134" s="13" t="s">
        <v>200</v>
      </c>
      <c r="C134" s="14">
        <v>683</v>
      </c>
      <c r="D134" s="14">
        <v>1750</v>
      </c>
      <c r="E134" s="15" t="s">
        <v>273</v>
      </c>
      <c r="F134" s="15" t="s">
        <v>317</v>
      </c>
      <c r="G134" s="15">
        <v>1</v>
      </c>
      <c r="H134" s="15"/>
      <c r="I134" s="14">
        <v>1</v>
      </c>
      <c r="J134" s="62"/>
      <c r="K134" s="62"/>
      <c r="L134" s="62"/>
      <c r="M134" s="62"/>
      <c r="N134" s="62"/>
      <c r="O134" s="62"/>
      <c r="P134" s="62"/>
    </row>
    <row r="135" spans="1:16" ht="13.5" x14ac:dyDescent="0.25">
      <c r="A135" s="62"/>
      <c r="B135" s="13" t="s">
        <v>332</v>
      </c>
      <c r="C135" s="93">
        <f>IF(HighPwrGrant="NONE",IF(BT="YES",92.4,-1),92.4)</f>
        <v>92.4</v>
      </c>
      <c r="D135" s="93">
        <f>IF(HighPwrGrant="NONE",IF(BT="YES",115,-1),115)</f>
        <v>115</v>
      </c>
      <c r="E135" s="15" t="s">
        <v>201</v>
      </c>
      <c r="F135" s="15" t="s">
        <v>316</v>
      </c>
      <c r="G135" s="15">
        <v>1</v>
      </c>
      <c r="H135" s="15"/>
      <c r="I135" s="14">
        <v>3</v>
      </c>
      <c r="J135" s="62"/>
      <c r="K135" s="62"/>
      <c r="L135" s="62"/>
      <c r="M135" s="62"/>
      <c r="N135" s="62"/>
      <c r="O135" s="62"/>
      <c r="P135" s="62"/>
    </row>
    <row r="136" spans="1:16" ht="13.5" x14ac:dyDescent="0.25">
      <c r="A136" s="62"/>
      <c r="B136" s="13" t="s">
        <v>333</v>
      </c>
      <c r="C136" s="14">
        <v>92.4</v>
      </c>
      <c r="D136" s="14">
        <v>115</v>
      </c>
      <c r="E136" s="15" t="s">
        <v>201</v>
      </c>
      <c r="F136" s="15" t="s">
        <v>316</v>
      </c>
      <c r="G136" s="15">
        <v>1</v>
      </c>
      <c r="H136" s="15"/>
      <c r="I136" s="14">
        <v>3</v>
      </c>
      <c r="J136" s="62"/>
      <c r="K136" s="62"/>
      <c r="L136" s="62"/>
      <c r="M136" s="62"/>
      <c r="N136" s="62"/>
      <c r="O136" s="62"/>
      <c r="P136" s="62"/>
    </row>
    <row r="137" spans="1:16" x14ac:dyDescent="0.2">
      <c r="A137" s="62"/>
      <c r="B137" s="124" t="s">
        <v>202</v>
      </c>
      <c r="C137" s="125"/>
      <c r="D137" s="125"/>
      <c r="E137" s="126"/>
      <c r="F137" s="126"/>
      <c r="G137" s="126"/>
      <c r="H137" s="126"/>
      <c r="I137" s="126"/>
      <c r="J137" s="62"/>
      <c r="K137" s="62"/>
      <c r="L137" s="62"/>
      <c r="M137" s="62"/>
      <c r="N137" s="62"/>
      <c r="O137" s="62"/>
      <c r="P137" s="62"/>
    </row>
    <row r="138" spans="1:16" ht="13.5" x14ac:dyDescent="0.25">
      <c r="A138" s="62"/>
      <c r="B138" s="10" t="s">
        <v>203</v>
      </c>
      <c r="C138" s="1">
        <v>100</v>
      </c>
      <c r="D138" s="1">
        <v>125</v>
      </c>
      <c r="E138" s="8" t="s">
        <v>201</v>
      </c>
      <c r="F138" s="8" t="s">
        <v>316</v>
      </c>
      <c r="G138" s="8">
        <v>1</v>
      </c>
      <c r="H138" s="8"/>
      <c r="I138" s="8">
        <v>5</v>
      </c>
      <c r="J138" s="62"/>
      <c r="K138" s="62"/>
      <c r="L138" s="62"/>
      <c r="M138" s="62"/>
      <c r="N138" s="62"/>
      <c r="O138" s="62"/>
      <c r="P138" s="62"/>
    </row>
    <row r="139" spans="1:16" ht="13.5" x14ac:dyDescent="0.25">
      <c r="A139" s="62"/>
      <c r="B139" s="13" t="s">
        <v>204</v>
      </c>
      <c r="C139" s="201">
        <f>IF(HighPwrGrant="NONE",IF(BT="YES",50,44),50)</f>
        <v>50</v>
      </c>
      <c r="D139" s="14">
        <v>57</v>
      </c>
      <c r="E139" s="15" t="s">
        <v>637</v>
      </c>
      <c r="F139" s="15" t="s">
        <v>316</v>
      </c>
      <c r="G139" s="15">
        <v>1</v>
      </c>
      <c r="H139" s="15"/>
      <c r="I139" s="14">
        <v>5</v>
      </c>
      <c r="J139" s="62"/>
      <c r="K139" s="62"/>
      <c r="L139" s="62"/>
      <c r="M139" s="62"/>
      <c r="N139" s="62"/>
      <c r="O139" s="62"/>
      <c r="P139" s="62"/>
    </row>
    <row r="140" spans="1:16" ht="13.5" x14ac:dyDescent="0.25">
      <c r="A140" s="62"/>
      <c r="B140" s="13" t="s">
        <v>205</v>
      </c>
      <c r="C140" s="201">
        <f>IF(HighPwrGrant="NONE",IF(BT="YES",50,44),50)</f>
        <v>50</v>
      </c>
      <c r="D140" s="2">
        <v>57</v>
      </c>
      <c r="E140" s="4" t="s">
        <v>637</v>
      </c>
      <c r="F140" s="4" t="s">
        <v>316</v>
      </c>
      <c r="G140" s="4">
        <v>1</v>
      </c>
      <c r="H140" s="286"/>
      <c r="I140" s="2">
        <v>5</v>
      </c>
      <c r="J140" s="62"/>
      <c r="K140" s="62"/>
      <c r="L140" s="62"/>
      <c r="M140" s="62"/>
      <c r="N140" s="62"/>
      <c r="O140" s="62"/>
      <c r="P140" s="62"/>
    </row>
    <row r="141" spans="1:16" ht="13.5" x14ac:dyDescent="0.25">
      <c r="A141" s="62"/>
      <c r="B141" s="13" t="s">
        <v>206</v>
      </c>
      <c r="C141" s="2">
        <v>100</v>
      </c>
      <c r="D141" s="2">
        <v>125</v>
      </c>
      <c r="E141" s="4" t="s">
        <v>201</v>
      </c>
      <c r="F141" s="4" t="s">
        <v>316</v>
      </c>
      <c r="G141" s="4">
        <v>1</v>
      </c>
      <c r="H141" s="286"/>
      <c r="I141" s="4">
        <v>5</v>
      </c>
      <c r="J141" s="62"/>
      <c r="K141" s="62"/>
      <c r="L141" s="62"/>
      <c r="M141" s="62"/>
      <c r="N141" s="62"/>
      <c r="O141" s="62"/>
      <c r="P141" s="62"/>
    </row>
    <row r="142" spans="1:16" ht="13.5" x14ac:dyDescent="0.25">
      <c r="A142" s="62"/>
      <c r="B142" s="13" t="s">
        <v>207</v>
      </c>
      <c r="C142" s="14">
        <v>50</v>
      </c>
      <c r="D142" s="14">
        <v>57</v>
      </c>
      <c r="E142" s="15" t="s">
        <v>637</v>
      </c>
      <c r="F142" s="15" t="s">
        <v>316</v>
      </c>
      <c r="G142" s="15">
        <v>1</v>
      </c>
      <c r="H142" s="15"/>
      <c r="I142" s="14">
        <v>5</v>
      </c>
      <c r="J142" s="62"/>
      <c r="K142" s="62"/>
      <c r="L142" s="62"/>
      <c r="M142" s="62"/>
      <c r="N142" s="62"/>
      <c r="O142" s="62"/>
      <c r="P142" s="62"/>
    </row>
    <row r="143" spans="1:16" ht="13.5" x14ac:dyDescent="0.25">
      <c r="A143" s="62"/>
      <c r="B143" s="13" t="s">
        <v>208</v>
      </c>
      <c r="C143" s="14">
        <v>50</v>
      </c>
      <c r="D143" s="14">
        <v>57</v>
      </c>
      <c r="E143" s="4" t="s">
        <v>637</v>
      </c>
      <c r="F143" s="4" t="s">
        <v>316</v>
      </c>
      <c r="G143" s="4">
        <v>1</v>
      </c>
      <c r="H143" s="286"/>
      <c r="I143" s="2">
        <v>5</v>
      </c>
      <c r="J143" s="62"/>
      <c r="K143" s="62"/>
      <c r="L143" s="62"/>
      <c r="M143" s="62"/>
      <c r="N143" s="62"/>
      <c r="O143" s="62"/>
      <c r="P143" s="62"/>
    </row>
    <row r="144" spans="1:16" x14ac:dyDescent="0.2">
      <c r="A144" s="62"/>
      <c r="B144" s="261" t="s">
        <v>446</v>
      </c>
      <c r="C144" s="262"/>
      <c r="D144" s="262"/>
      <c r="E144" s="263"/>
      <c r="F144" s="263"/>
      <c r="G144" s="263"/>
      <c r="H144" s="263"/>
      <c r="I144" s="263"/>
      <c r="J144" s="62"/>
      <c r="K144" s="62"/>
      <c r="L144" s="62"/>
      <c r="M144" s="62"/>
      <c r="N144" s="62"/>
      <c r="O144" s="62"/>
      <c r="P144" s="62"/>
    </row>
    <row r="145" spans="1:16" ht="13.5" x14ac:dyDescent="0.25">
      <c r="A145" s="62"/>
      <c r="B145" s="264" t="s">
        <v>447</v>
      </c>
      <c r="C145" s="265">
        <v>1</v>
      </c>
      <c r="D145" s="265">
        <v>1</v>
      </c>
      <c r="E145" s="266" t="s">
        <v>61</v>
      </c>
      <c r="F145" s="266" t="s">
        <v>317</v>
      </c>
      <c r="G145" s="266">
        <v>1</v>
      </c>
      <c r="H145" s="266"/>
      <c r="I145" s="266"/>
      <c r="J145" s="62"/>
      <c r="K145" s="62"/>
      <c r="L145" s="62"/>
      <c r="M145" s="62"/>
      <c r="N145" s="62"/>
      <c r="O145" s="62"/>
      <c r="P145" s="62"/>
    </row>
    <row r="146" spans="1:16" ht="13.5" x14ac:dyDescent="0.25">
      <c r="A146" s="62"/>
      <c r="B146" s="267" t="s">
        <v>448</v>
      </c>
      <c r="C146" s="268">
        <v>1</v>
      </c>
      <c r="D146" s="268">
        <v>99</v>
      </c>
      <c r="E146" s="269" t="s">
        <v>61</v>
      </c>
      <c r="F146" s="269" t="s">
        <v>316</v>
      </c>
      <c r="G146" s="269">
        <v>1</v>
      </c>
      <c r="H146" s="269"/>
      <c r="I146" s="268">
        <v>3</v>
      </c>
      <c r="J146" s="62"/>
      <c r="K146" s="62"/>
      <c r="L146" s="62"/>
      <c r="M146" s="62"/>
      <c r="N146" s="62"/>
      <c r="O146" s="62"/>
      <c r="P146" s="62"/>
    </row>
    <row r="147" spans="1:16" ht="13.5" x14ac:dyDescent="0.25">
      <c r="A147" s="62"/>
      <c r="B147" s="267" t="s">
        <v>449</v>
      </c>
      <c r="C147" s="270">
        <v>1</v>
      </c>
      <c r="D147" s="270">
        <v>99</v>
      </c>
      <c r="E147" s="271" t="s">
        <v>61</v>
      </c>
      <c r="F147" s="271" t="s">
        <v>316</v>
      </c>
      <c r="G147" s="271">
        <v>1</v>
      </c>
      <c r="H147" s="287"/>
      <c r="I147" s="270">
        <v>3</v>
      </c>
      <c r="J147" s="62"/>
      <c r="K147" s="62"/>
      <c r="L147" s="62"/>
      <c r="M147" s="62"/>
      <c r="N147" s="62"/>
      <c r="O147" s="62"/>
      <c r="P147" s="62"/>
    </row>
    <row r="148" spans="1:16" ht="13.5" x14ac:dyDescent="0.25">
      <c r="A148" s="62"/>
      <c r="B148" s="267" t="s">
        <v>458</v>
      </c>
      <c r="C148" s="270">
        <v>1</v>
      </c>
      <c r="D148" s="270">
        <v>99</v>
      </c>
      <c r="E148" s="271" t="s">
        <v>61</v>
      </c>
      <c r="F148" s="271" t="s">
        <v>316</v>
      </c>
      <c r="G148" s="271">
        <v>1</v>
      </c>
      <c r="H148" s="287"/>
      <c r="I148" s="271">
        <v>3</v>
      </c>
      <c r="J148" s="62"/>
      <c r="K148" s="62"/>
      <c r="L148" s="62"/>
      <c r="M148" s="62"/>
      <c r="N148" s="62"/>
      <c r="O148" s="62"/>
      <c r="P148" s="62"/>
    </row>
    <row r="149" spans="1:16" ht="13.5" x14ac:dyDescent="0.25">
      <c r="A149" s="62"/>
      <c r="B149" s="267" t="s">
        <v>459</v>
      </c>
      <c r="C149" s="268">
        <v>1</v>
      </c>
      <c r="D149" s="268">
        <v>99</v>
      </c>
      <c r="E149" s="269" t="s">
        <v>61</v>
      </c>
      <c r="F149" s="269" t="s">
        <v>316</v>
      </c>
      <c r="G149" s="269">
        <v>1</v>
      </c>
      <c r="H149" s="269"/>
      <c r="I149" s="268">
        <v>3</v>
      </c>
      <c r="J149" s="62"/>
      <c r="K149" s="62"/>
      <c r="L149" s="62"/>
      <c r="M149" s="62"/>
      <c r="N149" s="62"/>
      <c r="O149" s="62"/>
      <c r="P149" s="62"/>
    </row>
    <row r="150" spans="1:16" ht="13.5" x14ac:dyDescent="0.25">
      <c r="A150" s="62"/>
      <c r="B150" s="267" t="s">
        <v>460</v>
      </c>
      <c r="C150" s="268">
        <v>1</v>
      </c>
      <c r="D150" s="268">
        <v>99</v>
      </c>
      <c r="E150" s="269" t="s">
        <v>61</v>
      </c>
      <c r="F150" s="269" t="s">
        <v>316</v>
      </c>
      <c r="G150" s="269">
        <v>1</v>
      </c>
      <c r="H150" s="269"/>
      <c r="I150" s="268">
        <v>3</v>
      </c>
      <c r="J150" s="62"/>
      <c r="K150" s="62"/>
      <c r="L150" s="62"/>
      <c r="M150" s="62"/>
      <c r="N150" s="62"/>
      <c r="O150" s="62"/>
      <c r="P150" s="62"/>
    </row>
    <row r="151" spans="1:16" x14ac:dyDescent="0.2">
      <c r="A151" s="62"/>
      <c r="B151" s="124" t="s">
        <v>267</v>
      </c>
      <c r="C151" s="125"/>
      <c r="D151" s="125"/>
      <c r="E151" s="126"/>
      <c r="F151" s="126"/>
      <c r="G151" s="126"/>
      <c r="H151" s="126"/>
      <c r="I151" s="126"/>
      <c r="J151" s="62"/>
      <c r="K151" s="62"/>
      <c r="L151" s="62"/>
      <c r="M151" s="62"/>
      <c r="N151" s="62"/>
      <c r="O151" s="62"/>
      <c r="P151" s="62"/>
    </row>
    <row r="152" spans="1:16" ht="13.5" x14ac:dyDescent="0.25">
      <c r="A152" s="62"/>
      <c r="B152" s="10" t="s">
        <v>301</v>
      </c>
      <c r="C152" s="1">
        <v>1</v>
      </c>
      <c r="D152" s="272">
        <f>IF(BT="YES",6,60)</f>
        <v>6</v>
      </c>
      <c r="E152" s="3" t="s">
        <v>276</v>
      </c>
      <c r="F152" s="3" t="s">
        <v>316</v>
      </c>
      <c r="G152" s="3">
        <v>1</v>
      </c>
      <c r="H152" s="3"/>
      <c r="I152" s="3">
        <v>5</v>
      </c>
      <c r="J152" s="62"/>
      <c r="K152" s="62"/>
      <c r="L152" s="62"/>
      <c r="M152" s="62"/>
      <c r="N152" s="62"/>
      <c r="O152" s="62"/>
      <c r="P152" s="62"/>
    </row>
    <row r="153" spans="1:16" ht="13.5" x14ac:dyDescent="0.25">
      <c r="A153" s="62"/>
      <c r="B153" s="11" t="s">
        <v>23</v>
      </c>
      <c r="C153" s="2">
        <v>1</v>
      </c>
      <c r="D153" s="2">
        <v>1</v>
      </c>
      <c r="E153" s="4" t="s">
        <v>61</v>
      </c>
      <c r="F153" s="4" t="s">
        <v>316</v>
      </c>
      <c r="G153" s="4">
        <v>0</v>
      </c>
      <c r="H153" s="286"/>
      <c r="I153" s="4">
        <v>5</v>
      </c>
      <c r="J153" s="62"/>
      <c r="K153" s="62"/>
      <c r="L153" s="62"/>
      <c r="M153" s="62"/>
      <c r="N153" s="62"/>
      <c r="O153" s="62"/>
      <c r="P153" s="62"/>
    </row>
    <row r="154" spans="1:16" x14ac:dyDescent="0.2">
      <c r="A154" s="62"/>
      <c r="B154" s="124" t="s">
        <v>268</v>
      </c>
      <c r="C154" s="125"/>
      <c r="D154" s="125"/>
      <c r="E154" s="126"/>
      <c r="F154" s="126"/>
      <c r="G154" s="126"/>
      <c r="H154" s="126"/>
      <c r="I154" s="126"/>
      <c r="J154" s="62"/>
      <c r="K154" s="62"/>
      <c r="L154" s="62"/>
      <c r="M154" s="62"/>
      <c r="N154" s="62"/>
      <c r="O154" s="62"/>
      <c r="P154" s="62"/>
    </row>
    <row r="155" spans="1:16" ht="13.5" x14ac:dyDescent="0.25">
      <c r="A155" s="62"/>
      <c r="B155" s="10" t="s">
        <v>24</v>
      </c>
      <c r="C155" s="273">
        <f>IF(BT="YES",4,5)</f>
        <v>4</v>
      </c>
      <c r="D155" s="273">
        <f>IF(BT="YES",9,10)</f>
        <v>9</v>
      </c>
      <c r="E155" s="3" t="s">
        <v>273</v>
      </c>
      <c r="F155" s="3" t="s">
        <v>316</v>
      </c>
      <c r="G155" s="3">
        <v>1</v>
      </c>
      <c r="H155" s="3"/>
      <c r="I155" s="3">
        <v>5</v>
      </c>
      <c r="J155" s="62"/>
      <c r="K155" s="62"/>
      <c r="L155" s="62"/>
      <c r="M155" s="62"/>
      <c r="N155" s="62"/>
      <c r="O155" s="62"/>
      <c r="P155" s="62"/>
    </row>
    <row r="156" spans="1:16" ht="13.5" x14ac:dyDescent="0.25">
      <c r="A156" s="62"/>
      <c r="B156" s="11" t="s">
        <v>302</v>
      </c>
      <c r="C156" s="273">
        <f>IF(BT="YES",320,300)</f>
        <v>320</v>
      </c>
      <c r="D156" s="2">
        <v>400</v>
      </c>
      <c r="E156" s="4" t="s">
        <v>276</v>
      </c>
      <c r="F156" s="3" t="s">
        <v>316</v>
      </c>
      <c r="G156" s="3">
        <v>0</v>
      </c>
      <c r="H156" s="3"/>
      <c r="I156" s="3">
        <v>1</v>
      </c>
      <c r="J156" s="62"/>
      <c r="K156" s="62"/>
      <c r="L156" s="62"/>
      <c r="M156" s="62"/>
      <c r="N156" s="62"/>
      <c r="O156" s="62"/>
      <c r="P156" s="62"/>
    </row>
    <row r="157" spans="1:16" x14ac:dyDescent="0.2">
      <c r="A157" s="62"/>
      <c r="B157" s="124" t="s">
        <v>262</v>
      </c>
      <c r="C157" s="125"/>
      <c r="D157" s="125"/>
      <c r="E157" s="126"/>
      <c r="F157" s="126"/>
      <c r="G157" s="126"/>
      <c r="H157" s="126"/>
      <c r="I157" s="126"/>
      <c r="J157" s="62"/>
      <c r="K157" s="62"/>
      <c r="L157" s="62"/>
      <c r="M157" s="62"/>
      <c r="N157" s="62"/>
      <c r="O157" s="62"/>
      <c r="P157" s="62"/>
    </row>
    <row r="158" spans="1:16" ht="13.5" x14ac:dyDescent="0.25">
      <c r="A158" s="62"/>
      <c r="B158" s="10" t="s">
        <v>184</v>
      </c>
      <c r="C158" s="1">
        <v>-1</v>
      </c>
      <c r="D158" s="1">
        <f>1750</f>
        <v>1750</v>
      </c>
      <c r="E158" s="3" t="s">
        <v>273</v>
      </c>
      <c r="F158" s="3" t="s">
        <v>316</v>
      </c>
      <c r="G158" s="3">
        <v>1</v>
      </c>
      <c r="H158" s="3"/>
      <c r="I158" s="1">
        <v>5</v>
      </c>
      <c r="J158" s="62"/>
      <c r="K158" s="62"/>
      <c r="L158" s="62"/>
      <c r="M158" s="62"/>
      <c r="N158" s="62"/>
      <c r="O158" s="62"/>
      <c r="P158" s="62"/>
    </row>
    <row r="159" spans="1:16" ht="13.5" x14ac:dyDescent="0.25">
      <c r="A159" s="62"/>
      <c r="B159" s="11" t="s">
        <v>185</v>
      </c>
      <c r="C159" s="1">
        <v>50</v>
      </c>
      <c r="D159" s="1">
        <v>9999</v>
      </c>
      <c r="E159" s="3" t="s">
        <v>276</v>
      </c>
      <c r="F159" s="3" t="s">
        <v>316</v>
      </c>
      <c r="G159" s="3">
        <v>1</v>
      </c>
      <c r="H159" s="3"/>
      <c r="I159" s="1">
        <v>1</v>
      </c>
      <c r="J159" s="62"/>
      <c r="K159" s="62"/>
      <c r="L159" s="62"/>
      <c r="M159" s="62"/>
      <c r="N159" s="62"/>
      <c r="O159" s="62"/>
      <c r="P159" s="62"/>
    </row>
    <row r="160" spans="1:16" ht="13.5" x14ac:dyDescent="0.25">
      <c r="A160" s="62"/>
      <c r="B160" s="11" t="s">
        <v>186</v>
      </c>
      <c r="C160" s="1">
        <v>-1</v>
      </c>
      <c r="D160" s="120">
        <f>IF(HighPwrGrant="NONE",399,683)</f>
        <v>683</v>
      </c>
      <c r="E160" s="3" t="s">
        <v>273</v>
      </c>
      <c r="F160" s="3" t="s">
        <v>316</v>
      </c>
      <c r="G160" s="3">
        <v>1</v>
      </c>
      <c r="H160" s="3"/>
      <c r="I160" s="1">
        <v>5</v>
      </c>
      <c r="J160" s="62"/>
      <c r="K160" s="62"/>
      <c r="L160" s="62"/>
      <c r="M160" s="62"/>
      <c r="N160" s="62"/>
      <c r="O160" s="62"/>
      <c r="P160" s="62"/>
    </row>
    <row r="161" spans="1:16" ht="13.5" x14ac:dyDescent="0.25">
      <c r="A161" s="62"/>
      <c r="B161" s="11" t="s">
        <v>187</v>
      </c>
      <c r="C161" s="1">
        <v>-1</v>
      </c>
      <c r="D161" s="1">
        <v>2000</v>
      </c>
      <c r="E161" s="3" t="s">
        <v>276</v>
      </c>
      <c r="F161" s="3" t="s">
        <v>316</v>
      </c>
      <c r="G161" s="3">
        <v>1</v>
      </c>
      <c r="H161" s="3"/>
      <c r="I161" s="1">
        <v>1</v>
      </c>
      <c r="J161" s="62"/>
      <c r="K161" s="62"/>
      <c r="L161" s="62"/>
      <c r="M161" s="62"/>
      <c r="N161" s="62"/>
      <c r="O161" s="62"/>
      <c r="P161" s="62"/>
    </row>
    <row r="162" spans="1:16" ht="13.5" x14ac:dyDescent="0.25">
      <c r="A162" s="62"/>
      <c r="B162" s="11" t="s">
        <v>188</v>
      </c>
      <c r="C162" s="1">
        <v>-1</v>
      </c>
      <c r="D162" s="1">
        <v>1750</v>
      </c>
      <c r="E162" s="3" t="s">
        <v>273</v>
      </c>
      <c r="F162" s="3" t="s">
        <v>316</v>
      </c>
      <c r="G162" s="3">
        <v>1</v>
      </c>
      <c r="H162" s="3"/>
      <c r="I162" s="1">
        <v>5</v>
      </c>
      <c r="J162" s="62"/>
      <c r="K162" s="62"/>
      <c r="L162" s="62"/>
      <c r="M162" s="62"/>
      <c r="N162" s="62"/>
      <c r="O162" s="62"/>
      <c r="P162" s="62"/>
    </row>
    <row r="163" spans="1:16" ht="13.5" x14ac:dyDescent="0.25">
      <c r="A163" s="62"/>
      <c r="B163" s="11" t="s">
        <v>189</v>
      </c>
      <c r="C163" s="1">
        <v>10</v>
      </c>
      <c r="D163" s="1">
        <v>9999</v>
      </c>
      <c r="E163" s="3" t="s">
        <v>276</v>
      </c>
      <c r="F163" s="3" t="s">
        <v>316</v>
      </c>
      <c r="G163" s="3">
        <v>1</v>
      </c>
      <c r="H163" s="3"/>
      <c r="I163" s="1">
        <v>1</v>
      </c>
      <c r="J163" s="62"/>
      <c r="K163" s="62"/>
      <c r="L163" s="62"/>
      <c r="M163" s="62"/>
      <c r="N163" s="62"/>
      <c r="O163" s="62"/>
      <c r="P163" s="62"/>
    </row>
    <row r="164" spans="1:16" ht="13.5" x14ac:dyDescent="0.25">
      <c r="A164" s="62"/>
      <c r="B164" s="11" t="s">
        <v>190</v>
      </c>
      <c r="C164" s="1">
        <v>-1</v>
      </c>
      <c r="D164" s="1">
        <v>683</v>
      </c>
      <c r="E164" s="3" t="s">
        <v>273</v>
      </c>
      <c r="F164" s="3" t="s">
        <v>316</v>
      </c>
      <c r="G164" s="3">
        <v>1</v>
      </c>
      <c r="H164" s="3"/>
      <c r="I164" s="1">
        <v>5</v>
      </c>
      <c r="J164" s="62"/>
      <c r="K164" s="62"/>
      <c r="L164" s="62"/>
      <c r="M164" s="62"/>
      <c r="N164" s="62"/>
      <c r="O164" s="62"/>
      <c r="P164" s="62"/>
    </row>
    <row r="165" spans="1:16" ht="13.5" x14ac:dyDescent="0.25">
      <c r="A165" s="62"/>
      <c r="B165" s="11" t="s">
        <v>191</v>
      </c>
      <c r="C165" s="1">
        <v>-1</v>
      </c>
      <c r="D165" s="1">
        <v>2000</v>
      </c>
      <c r="E165" s="3" t="s">
        <v>276</v>
      </c>
      <c r="F165" s="3" t="s">
        <v>316</v>
      </c>
      <c r="G165" s="3">
        <v>1</v>
      </c>
      <c r="H165" s="3"/>
      <c r="I165" s="1">
        <v>1</v>
      </c>
      <c r="J165" s="62"/>
      <c r="K165" s="62"/>
      <c r="L165" s="62"/>
      <c r="M165" s="62"/>
      <c r="N165" s="62"/>
      <c r="O165" s="62"/>
      <c r="P165" s="62"/>
    </row>
    <row r="166" spans="1:16" x14ac:dyDescent="0.2">
      <c r="A166" s="62"/>
      <c r="B166" s="124" t="s">
        <v>263</v>
      </c>
      <c r="C166" s="125"/>
      <c r="D166" s="125"/>
      <c r="E166" s="126"/>
      <c r="F166" s="126"/>
      <c r="G166" s="126"/>
      <c r="H166" s="126"/>
      <c r="I166" s="126"/>
      <c r="J166" s="62"/>
      <c r="K166" s="62"/>
      <c r="L166" s="62"/>
      <c r="M166" s="62"/>
      <c r="N166" s="62"/>
      <c r="O166" s="62"/>
      <c r="P166" s="62"/>
    </row>
    <row r="167" spans="1:16" ht="13.5" x14ac:dyDescent="0.25">
      <c r="A167" s="62"/>
      <c r="B167" s="38" t="s">
        <v>300</v>
      </c>
      <c r="C167" s="1">
        <v>0</v>
      </c>
      <c r="D167" s="1">
        <v>500</v>
      </c>
      <c r="E167" s="3" t="s">
        <v>276</v>
      </c>
      <c r="F167" s="3" t="s">
        <v>316</v>
      </c>
      <c r="G167" s="3">
        <v>1</v>
      </c>
      <c r="H167" s="3"/>
      <c r="I167" s="3">
        <v>1</v>
      </c>
      <c r="J167" s="62"/>
      <c r="K167" s="62"/>
      <c r="L167" s="62"/>
      <c r="M167" s="62"/>
      <c r="N167" s="62"/>
      <c r="O167" s="62"/>
      <c r="P167" s="62"/>
    </row>
    <row r="168" spans="1:16" ht="13.5" x14ac:dyDescent="0.25">
      <c r="A168" s="62"/>
      <c r="B168" s="19" t="s">
        <v>312</v>
      </c>
      <c r="C168" s="2">
        <v>-1</v>
      </c>
      <c r="D168" s="2">
        <v>0.52</v>
      </c>
      <c r="E168" s="5" t="s">
        <v>275</v>
      </c>
      <c r="F168" s="3" t="s">
        <v>316</v>
      </c>
      <c r="G168" s="3">
        <v>2</v>
      </c>
      <c r="H168" s="3"/>
      <c r="I168" s="3">
        <v>1</v>
      </c>
      <c r="J168" s="62"/>
      <c r="K168" s="62"/>
      <c r="L168" s="62"/>
      <c r="M168" s="62"/>
      <c r="N168" s="62"/>
      <c r="O168" s="62"/>
      <c r="P168" s="62"/>
    </row>
    <row r="169" spans="1:16" ht="13.5" x14ac:dyDescent="0.25">
      <c r="A169" s="62"/>
      <c r="B169" s="19" t="s">
        <v>313</v>
      </c>
      <c r="C169" s="2">
        <v>45</v>
      </c>
      <c r="D169" s="2">
        <v>50000</v>
      </c>
      <c r="E169" s="4" t="s">
        <v>274</v>
      </c>
      <c r="F169" s="3" t="s">
        <v>317</v>
      </c>
      <c r="G169" s="3">
        <v>0</v>
      </c>
      <c r="H169" s="3"/>
      <c r="I169" s="3">
        <v>1</v>
      </c>
      <c r="J169" s="62"/>
      <c r="K169" s="62"/>
      <c r="L169" s="62"/>
      <c r="M169" s="62"/>
      <c r="N169" s="62"/>
      <c r="O169" s="62"/>
      <c r="P169" s="62"/>
    </row>
    <row r="170" spans="1:16" x14ac:dyDescent="0.2">
      <c r="A170" s="62"/>
      <c r="B170" s="124" t="s">
        <v>264</v>
      </c>
      <c r="C170" s="125"/>
      <c r="D170" s="125"/>
      <c r="E170" s="126"/>
      <c r="F170" s="126"/>
      <c r="G170" s="126"/>
      <c r="H170" s="126"/>
      <c r="I170" s="126"/>
      <c r="J170" s="62"/>
      <c r="K170" s="62"/>
      <c r="L170" s="62"/>
      <c r="M170" s="62"/>
      <c r="N170" s="62"/>
      <c r="O170" s="62"/>
      <c r="P170" s="62"/>
    </row>
    <row r="171" spans="1:16" ht="13.5" x14ac:dyDescent="0.25">
      <c r="A171" s="62"/>
      <c r="B171" s="10" t="s">
        <v>310</v>
      </c>
      <c r="C171" s="1">
        <v>0</v>
      </c>
      <c r="D171" s="1">
        <v>2.8</v>
      </c>
      <c r="E171" s="3" t="s">
        <v>637</v>
      </c>
      <c r="F171" s="3" t="s">
        <v>316</v>
      </c>
      <c r="G171" s="3">
        <v>1</v>
      </c>
      <c r="H171" s="3"/>
      <c r="I171" s="3">
        <v>1</v>
      </c>
      <c r="J171" s="62"/>
      <c r="K171" s="62"/>
      <c r="L171" s="62"/>
      <c r="M171" s="62"/>
      <c r="N171" s="62"/>
      <c r="O171" s="62"/>
      <c r="P171" s="62"/>
    </row>
    <row r="172" spans="1:16" ht="13.5" x14ac:dyDescent="0.25">
      <c r="A172" s="62"/>
      <c r="B172" s="11" t="s">
        <v>309</v>
      </c>
      <c r="C172" s="2">
        <v>750</v>
      </c>
      <c r="D172" s="2">
        <v>10000</v>
      </c>
      <c r="E172" s="4" t="s">
        <v>276</v>
      </c>
      <c r="F172" s="3" t="s">
        <v>316</v>
      </c>
      <c r="G172" s="3">
        <v>0</v>
      </c>
      <c r="H172" s="3"/>
      <c r="I172" s="3">
        <v>0</v>
      </c>
      <c r="J172" s="62"/>
      <c r="K172" s="62"/>
      <c r="L172" s="62"/>
      <c r="M172" s="62"/>
      <c r="N172" s="62"/>
      <c r="O172" s="62"/>
      <c r="P172" s="62"/>
    </row>
    <row r="173" spans="1:16" ht="13.5" x14ac:dyDescent="0.25">
      <c r="A173" s="62"/>
      <c r="B173" s="11" t="s">
        <v>311</v>
      </c>
      <c r="C173" s="2">
        <v>0</v>
      </c>
      <c r="D173" s="2">
        <v>20.5</v>
      </c>
      <c r="E173" s="4" t="s">
        <v>637</v>
      </c>
      <c r="F173" s="3" t="s">
        <v>316</v>
      </c>
      <c r="G173" s="3">
        <v>1</v>
      </c>
      <c r="H173" s="3"/>
      <c r="I173" s="3">
        <v>1</v>
      </c>
      <c r="J173" s="62"/>
      <c r="K173" s="62"/>
      <c r="L173" s="62"/>
      <c r="M173" s="62"/>
      <c r="N173" s="62"/>
      <c r="O173" s="62"/>
      <c r="P173" s="62"/>
    </row>
    <row r="174" spans="1:16" x14ac:dyDescent="0.2">
      <c r="A174" s="62"/>
      <c r="B174" s="124" t="s">
        <v>259</v>
      </c>
      <c r="C174" s="125"/>
      <c r="D174" s="125"/>
      <c r="E174" s="126"/>
      <c r="F174" s="126"/>
      <c r="G174" s="126"/>
      <c r="H174" s="126"/>
      <c r="I174" s="126"/>
      <c r="J174" s="62"/>
      <c r="K174" s="62"/>
      <c r="L174" s="62"/>
      <c r="M174" s="62"/>
      <c r="N174" s="62"/>
      <c r="O174" s="62"/>
      <c r="P174" s="62"/>
    </row>
    <row r="175" spans="1:16" ht="13.5" x14ac:dyDescent="0.25">
      <c r="A175" s="62"/>
      <c r="B175" s="10" t="s">
        <v>295</v>
      </c>
      <c r="C175" s="1">
        <v>300</v>
      </c>
      <c r="D175" s="1">
        <v>400</v>
      </c>
      <c r="E175" s="3" t="s">
        <v>276</v>
      </c>
      <c r="F175" s="3" t="s">
        <v>316</v>
      </c>
      <c r="G175" s="3">
        <v>0</v>
      </c>
      <c r="H175" s="3"/>
      <c r="I175" s="3">
        <v>1</v>
      </c>
      <c r="J175" s="62"/>
      <c r="K175" s="62"/>
      <c r="L175" s="62"/>
      <c r="M175" s="62"/>
      <c r="N175" s="62"/>
      <c r="O175" s="62"/>
      <c r="P175" s="62"/>
    </row>
    <row r="176" spans="1:16" ht="13.5" x14ac:dyDescent="0.25">
      <c r="A176" s="62"/>
      <c r="B176" s="12" t="s">
        <v>304</v>
      </c>
      <c r="C176" s="7">
        <v>0</v>
      </c>
      <c r="D176" s="7">
        <v>0</v>
      </c>
      <c r="E176" s="8" t="s">
        <v>273</v>
      </c>
      <c r="F176" s="3" t="s">
        <v>316</v>
      </c>
      <c r="G176" s="3">
        <v>1</v>
      </c>
      <c r="H176" s="3"/>
      <c r="I176" s="3">
        <v>0</v>
      </c>
      <c r="J176" s="62"/>
      <c r="K176" s="62"/>
      <c r="L176" s="62"/>
      <c r="M176" s="62"/>
      <c r="N176" s="62"/>
      <c r="O176" s="62"/>
      <c r="P176" s="62"/>
    </row>
    <row r="177" spans="1:16" x14ac:dyDescent="0.2">
      <c r="A177" s="62"/>
      <c r="B177" s="124" t="s">
        <v>260</v>
      </c>
      <c r="C177" s="125"/>
      <c r="D177" s="125"/>
      <c r="E177" s="126"/>
      <c r="F177" s="126"/>
      <c r="G177" s="126"/>
      <c r="H177" s="126"/>
      <c r="I177" s="126"/>
      <c r="J177" s="62"/>
      <c r="K177" s="62"/>
      <c r="L177" s="62"/>
      <c r="M177" s="62"/>
      <c r="N177" s="62"/>
      <c r="O177" s="62"/>
      <c r="P177" s="62"/>
    </row>
    <row r="178" spans="1:16" ht="13.5" x14ac:dyDescent="0.25">
      <c r="A178" s="62"/>
      <c r="B178" s="10" t="s">
        <v>296</v>
      </c>
      <c r="C178" s="1">
        <v>1.9</v>
      </c>
      <c r="D178" s="1">
        <v>5.7</v>
      </c>
      <c r="E178" s="3" t="s">
        <v>305</v>
      </c>
      <c r="F178" s="3" t="s">
        <v>316</v>
      </c>
      <c r="G178" s="3">
        <v>1</v>
      </c>
      <c r="H178" s="3"/>
      <c r="I178" s="3">
        <v>3</v>
      </c>
      <c r="J178" s="62"/>
      <c r="K178" s="62"/>
      <c r="L178" s="62"/>
      <c r="M178" s="62"/>
      <c r="N178" s="62"/>
      <c r="O178" s="62"/>
      <c r="P178" s="62"/>
    </row>
    <row r="179" spans="1:16" ht="13.5" x14ac:dyDescent="0.25">
      <c r="A179" s="62"/>
      <c r="B179" s="10" t="s">
        <v>29</v>
      </c>
      <c r="C179" s="1">
        <v>3.25</v>
      </c>
      <c r="D179" s="1">
        <v>10</v>
      </c>
      <c r="E179" s="3" t="s">
        <v>30</v>
      </c>
      <c r="F179" s="3" t="s">
        <v>316</v>
      </c>
      <c r="G179" s="3">
        <v>1</v>
      </c>
      <c r="H179" s="3"/>
      <c r="I179" s="3">
        <v>1</v>
      </c>
      <c r="J179" s="62"/>
      <c r="K179" s="62"/>
      <c r="L179" s="62"/>
      <c r="M179" s="62"/>
      <c r="N179" s="62"/>
      <c r="O179" s="62"/>
      <c r="P179" s="62"/>
    </row>
    <row r="180" spans="1:16" ht="13.5" x14ac:dyDescent="0.25">
      <c r="A180" s="62"/>
      <c r="B180" s="11" t="s">
        <v>297</v>
      </c>
      <c r="C180" s="2">
        <v>0</v>
      </c>
      <c r="D180" s="2">
        <v>500</v>
      </c>
      <c r="E180" s="4" t="s">
        <v>278</v>
      </c>
      <c r="F180" s="3" t="s">
        <v>316</v>
      </c>
      <c r="G180" s="3">
        <v>0</v>
      </c>
      <c r="H180" s="3"/>
      <c r="I180" s="3">
        <v>3</v>
      </c>
      <c r="J180" s="62"/>
      <c r="K180" s="62"/>
      <c r="L180" s="62"/>
      <c r="M180" s="62"/>
      <c r="N180" s="62"/>
      <c r="O180" s="62"/>
      <c r="P180" s="62"/>
    </row>
    <row r="181" spans="1:16" ht="13.5" x14ac:dyDescent="0.25">
      <c r="A181" s="62"/>
      <c r="B181" s="11" t="s">
        <v>298</v>
      </c>
      <c r="C181" s="2">
        <v>0</v>
      </c>
      <c r="D181" s="2">
        <v>0.1</v>
      </c>
      <c r="E181" s="4" t="s">
        <v>272</v>
      </c>
      <c r="F181" s="3" t="s">
        <v>316</v>
      </c>
      <c r="G181" s="3">
        <v>4</v>
      </c>
      <c r="H181" s="3"/>
      <c r="I181" s="3">
        <v>1</v>
      </c>
      <c r="J181" s="62"/>
      <c r="K181" s="62"/>
      <c r="L181" s="62"/>
      <c r="M181" s="62"/>
      <c r="N181" s="62"/>
      <c r="O181" s="62"/>
      <c r="P181" s="62"/>
    </row>
    <row r="182" spans="1:16" ht="13.5" x14ac:dyDescent="0.25">
      <c r="A182" s="62"/>
      <c r="B182" s="13" t="s">
        <v>307</v>
      </c>
      <c r="C182" s="14">
        <v>0</v>
      </c>
      <c r="D182" s="14">
        <v>5</v>
      </c>
      <c r="E182" s="15" t="s">
        <v>273</v>
      </c>
      <c r="F182" s="3" t="s">
        <v>316</v>
      </c>
      <c r="G182" s="3">
        <v>1</v>
      </c>
      <c r="H182" s="3"/>
      <c r="I182" s="3">
        <v>0</v>
      </c>
      <c r="J182" s="62"/>
      <c r="K182" s="62"/>
      <c r="L182" s="62"/>
      <c r="M182" s="62"/>
      <c r="N182" s="62"/>
      <c r="O182" s="62"/>
      <c r="P182" s="62"/>
    </row>
    <row r="183" spans="1:16" x14ac:dyDescent="0.2">
      <c r="A183" s="62"/>
      <c r="B183" s="124" t="s">
        <v>261</v>
      </c>
      <c r="C183" s="125"/>
      <c r="D183" s="125"/>
      <c r="E183" s="126"/>
      <c r="F183" s="126"/>
      <c r="G183" s="126"/>
      <c r="H183" s="126"/>
      <c r="I183" s="126"/>
      <c r="J183" s="62"/>
      <c r="K183" s="62"/>
      <c r="L183" s="62"/>
      <c r="M183" s="62"/>
      <c r="N183" s="62"/>
      <c r="O183" s="62"/>
      <c r="P183" s="62"/>
    </row>
    <row r="184" spans="1:16" ht="13.5" x14ac:dyDescent="0.25">
      <c r="A184" s="62"/>
      <c r="B184" s="10" t="s">
        <v>299</v>
      </c>
      <c r="C184" s="1">
        <v>0</v>
      </c>
      <c r="D184" s="1">
        <v>30</v>
      </c>
      <c r="E184" s="3" t="s">
        <v>305</v>
      </c>
      <c r="F184" s="3" t="s">
        <v>316</v>
      </c>
      <c r="G184" s="3">
        <v>1</v>
      </c>
      <c r="H184" s="3"/>
      <c r="I184" s="3">
        <v>1</v>
      </c>
      <c r="J184" s="62"/>
      <c r="K184" s="62"/>
      <c r="L184" s="62"/>
      <c r="M184" s="62"/>
      <c r="N184" s="62"/>
      <c r="O184" s="62"/>
      <c r="P184" s="62"/>
    </row>
    <row r="185" spans="1:16" ht="13.5" x14ac:dyDescent="0.25">
      <c r="A185" s="62"/>
      <c r="B185" s="11" t="s">
        <v>306</v>
      </c>
      <c r="C185" s="2">
        <v>0</v>
      </c>
      <c r="D185" s="2">
        <v>60</v>
      </c>
      <c r="E185" s="4" t="s">
        <v>305</v>
      </c>
      <c r="F185" s="3" t="s">
        <v>316</v>
      </c>
      <c r="G185" s="3">
        <v>1</v>
      </c>
      <c r="H185" s="3"/>
      <c r="I185" s="3">
        <v>1</v>
      </c>
      <c r="J185" s="62"/>
      <c r="K185" s="62"/>
      <c r="L185" s="62"/>
      <c r="M185" s="62"/>
      <c r="N185" s="62"/>
      <c r="O185" s="62"/>
      <c r="P185" s="62"/>
    </row>
    <row r="186" spans="1:16" x14ac:dyDescent="0.2">
      <c r="A186" s="62"/>
      <c r="B186" s="62"/>
      <c r="C186" s="62"/>
      <c r="D186" s="62"/>
      <c r="E186" s="62"/>
      <c r="F186" s="62"/>
      <c r="G186" s="62"/>
      <c r="H186" s="62"/>
      <c r="I186" s="62"/>
      <c r="J186" s="62"/>
      <c r="K186" s="62"/>
      <c r="L186" s="62"/>
      <c r="M186" s="62"/>
      <c r="N186" s="62"/>
      <c r="O186" s="62"/>
      <c r="P186" s="62"/>
    </row>
    <row r="187" spans="1:16" ht="15.75" x14ac:dyDescent="0.25">
      <c r="A187" s="62"/>
      <c r="B187" s="163" t="s">
        <v>439</v>
      </c>
      <c r="C187" s="62"/>
      <c r="D187" s="62"/>
      <c r="E187" s="62"/>
      <c r="F187" s="62"/>
      <c r="G187" s="62"/>
      <c r="H187" s="62"/>
      <c r="I187" s="62"/>
      <c r="J187" s="62"/>
      <c r="K187" s="62"/>
      <c r="L187" s="62"/>
      <c r="M187" s="62"/>
      <c r="N187" s="62"/>
      <c r="O187" s="62"/>
      <c r="P187" s="62"/>
    </row>
    <row r="188" spans="1:16" x14ac:dyDescent="0.2">
      <c r="A188" s="62"/>
      <c r="B188" s="24">
        <v>5</v>
      </c>
      <c r="C188" s="34" t="s">
        <v>330</v>
      </c>
      <c r="D188" s="35"/>
      <c r="E188" s="35"/>
      <c r="F188" s="35"/>
      <c r="G188" s="35"/>
      <c r="H188" s="36"/>
      <c r="I188" s="62"/>
      <c r="J188" s="62"/>
      <c r="K188" s="62"/>
      <c r="L188" s="62"/>
      <c r="M188" s="62"/>
      <c r="N188" s="62"/>
      <c r="O188" s="62"/>
      <c r="P188" s="62"/>
    </row>
    <row r="189" spans="1:16" x14ac:dyDescent="0.2">
      <c r="A189" s="62"/>
      <c r="B189" s="24">
        <v>3</v>
      </c>
      <c r="C189" s="34" t="s">
        <v>331</v>
      </c>
      <c r="D189" s="35"/>
      <c r="E189" s="35"/>
      <c r="F189" s="35"/>
      <c r="G189" s="35"/>
      <c r="H189" s="36"/>
      <c r="I189" s="62"/>
      <c r="J189" s="62"/>
      <c r="K189" s="62"/>
      <c r="L189" s="62"/>
      <c r="M189" s="62"/>
      <c r="N189" s="62"/>
      <c r="O189" s="62"/>
      <c r="P189" s="62"/>
    </row>
    <row r="190" spans="1:16" x14ac:dyDescent="0.2">
      <c r="A190" s="62"/>
      <c r="B190" s="24">
        <v>1</v>
      </c>
      <c r="C190" s="34" t="s">
        <v>45</v>
      </c>
      <c r="D190" s="35"/>
      <c r="E190" s="35"/>
      <c r="F190" s="35"/>
      <c r="G190" s="35"/>
      <c r="H190" s="36"/>
      <c r="I190" s="62"/>
      <c r="J190" s="62"/>
      <c r="K190" s="62"/>
      <c r="L190" s="62"/>
      <c r="M190" s="62"/>
      <c r="N190" s="62"/>
      <c r="O190" s="62"/>
      <c r="P190" s="62"/>
    </row>
    <row r="191" spans="1:16" x14ac:dyDescent="0.2">
      <c r="A191" s="62"/>
      <c r="B191" s="24">
        <v>0</v>
      </c>
      <c r="C191" s="34" t="s">
        <v>46</v>
      </c>
      <c r="D191" s="35"/>
      <c r="E191" s="35"/>
      <c r="F191" s="35"/>
      <c r="G191" s="35"/>
      <c r="H191" s="36"/>
      <c r="I191" s="62"/>
    </row>
    <row r="192" spans="1:16" x14ac:dyDescent="0.2">
      <c r="A192" s="62"/>
      <c r="B192" s="62"/>
      <c r="C192" s="62"/>
      <c r="D192" s="62"/>
      <c r="E192" s="62"/>
      <c r="F192" s="62"/>
      <c r="G192" s="62"/>
      <c r="H192" s="62"/>
      <c r="I192" s="62"/>
    </row>
    <row r="193" spans="1:1" x14ac:dyDescent="0.2">
      <c r="A193" s="62"/>
    </row>
    <row r="194" spans="1:1" x14ac:dyDescent="0.2">
      <c r="A194" s="62"/>
    </row>
  </sheetData>
  <mergeCells count="14">
    <mergeCell ref="K50:N50"/>
    <mergeCell ref="K58:N58"/>
    <mergeCell ref="K6:L6"/>
    <mergeCell ref="K5:L5"/>
    <mergeCell ref="K13:N13"/>
    <mergeCell ref="K23:N23"/>
    <mergeCell ref="M39:N39"/>
    <mergeCell ref="K17:N17"/>
    <mergeCell ref="K39:L39"/>
    <mergeCell ref="K22:N22"/>
    <mergeCell ref="K21:M21"/>
    <mergeCell ref="K18:N18"/>
    <mergeCell ref="K7:L8"/>
    <mergeCell ref="K9:L9"/>
  </mergeCells>
  <phoneticPr fontId="0" type="noConversion"/>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205"/>
  <sheetViews>
    <sheetView zoomScaleNormal="100" workbookViewId="0"/>
  </sheetViews>
  <sheetFormatPr defaultRowHeight="12.75" x14ac:dyDescent="0.2"/>
  <cols>
    <col min="2" max="2" width="33" customWidth="1"/>
    <col min="3" max="3" width="63" customWidth="1"/>
    <col min="4" max="4" width="56.85546875" customWidth="1"/>
    <col min="5" max="5" width="9.85546875" customWidth="1"/>
    <col min="6" max="6" width="7.42578125" customWidth="1"/>
    <col min="7" max="7" width="10.5703125" customWidth="1"/>
    <col min="8" max="8" width="8.85546875" customWidth="1"/>
  </cols>
  <sheetData>
    <row r="1" spans="1:9" x14ac:dyDescent="0.2">
      <c r="A1" s="62"/>
      <c r="B1" s="62"/>
      <c r="C1" s="62"/>
      <c r="D1" s="62"/>
      <c r="E1" s="62"/>
      <c r="F1" s="62"/>
      <c r="G1" s="62"/>
      <c r="H1" s="62"/>
      <c r="I1" s="62"/>
    </row>
    <row r="2" spans="1:9" ht="18.75" thickBot="1" x14ac:dyDescent="0.3">
      <c r="A2" s="62"/>
      <c r="B2" s="399" t="s">
        <v>440</v>
      </c>
      <c r="C2" s="400"/>
      <c r="D2" s="62"/>
      <c r="E2" s="62"/>
      <c r="F2" s="62"/>
      <c r="G2" s="62"/>
      <c r="H2" s="62"/>
      <c r="I2" s="62"/>
    </row>
    <row r="3" spans="1:9" ht="13.5" thickBot="1" x14ac:dyDescent="0.25">
      <c r="A3" s="62"/>
      <c r="B3" s="62"/>
      <c r="C3" s="62"/>
      <c r="D3" s="62"/>
      <c r="E3" s="62"/>
      <c r="F3" s="62"/>
      <c r="G3" s="62"/>
      <c r="H3" s="62"/>
      <c r="I3" s="62"/>
    </row>
    <row r="4" spans="1:9" ht="15.75" thickBot="1" x14ac:dyDescent="0.3">
      <c r="A4" s="62"/>
      <c r="B4" s="133" t="s">
        <v>269</v>
      </c>
      <c r="C4" s="134" t="s">
        <v>318</v>
      </c>
      <c r="D4" s="135" t="s">
        <v>463</v>
      </c>
      <c r="E4" s="374" t="s">
        <v>412</v>
      </c>
      <c r="F4" s="375"/>
      <c r="G4" s="376" t="s">
        <v>413</v>
      </c>
      <c r="H4" s="375"/>
      <c r="I4" s="62"/>
    </row>
    <row r="5" spans="1:9" ht="15.75" thickBot="1" x14ac:dyDescent="0.3">
      <c r="A5" s="62"/>
      <c r="B5" s="136" t="s">
        <v>250</v>
      </c>
      <c r="C5" s="137"/>
      <c r="D5" s="137"/>
      <c r="E5" s="255" t="s">
        <v>507</v>
      </c>
      <c r="F5" s="255" t="s">
        <v>508</v>
      </c>
      <c r="G5" s="255" t="s">
        <v>507</v>
      </c>
      <c r="H5" s="255" t="s">
        <v>508</v>
      </c>
      <c r="I5" s="62"/>
    </row>
    <row r="6" spans="1:9" ht="13.5" customHeight="1" x14ac:dyDescent="0.2">
      <c r="A6" s="62"/>
      <c r="B6" s="68" t="s">
        <v>279</v>
      </c>
      <c r="C6" s="23" t="s">
        <v>319</v>
      </c>
      <c r="D6" s="100"/>
      <c r="E6" s="370" t="s">
        <v>468</v>
      </c>
      <c r="F6" s="370" t="s">
        <v>467</v>
      </c>
      <c r="G6" s="370" t="s">
        <v>509</v>
      </c>
      <c r="H6" s="372" t="s">
        <v>510</v>
      </c>
      <c r="I6" s="62"/>
    </row>
    <row r="7" spans="1:9" ht="13.5" customHeight="1" x14ac:dyDescent="0.2">
      <c r="A7" s="62"/>
      <c r="B7" s="69" t="s">
        <v>280</v>
      </c>
      <c r="C7" s="20" t="s">
        <v>322</v>
      </c>
      <c r="D7" s="18"/>
      <c r="E7" s="370"/>
      <c r="F7" s="370"/>
      <c r="G7" s="370"/>
      <c r="H7" s="372"/>
      <c r="I7" s="62"/>
    </row>
    <row r="8" spans="1:9" ht="13.5" customHeight="1" x14ac:dyDescent="0.2">
      <c r="A8" s="62"/>
      <c r="B8" s="69" t="s">
        <v>281</v>
      </c>
      <c r="C8" s="20" t="s">
        <v>320</v>
      </c>
      <c r="D8" s="18"/>
      <c r="E8" s="370"/>
      <c r="F8" s="370"/>
      <c r="G8" s="370"/>
      <c r="H8" s="372"/>
      <c r="I8" s="62"/>
    </row>
    <row r="9" spans="1:9" ht="51.75" customHeight="1" x14ac:dyDescent="0.2">
      <c r="A9" s="62"/>
      <c r="B9" s="69" t="s">
        <v>282</v>
      </c>
      <c r="C9" s="20" t="s">
        <v>378</v>
      </c>
      <c r="D9" s="18" t="s">
        <v>43</v>
      </c>
      <c r="E9" s="370"/>
      <c r="F9" s="370"/>
      <c r="G9" s="370"/>
      <c r="H9" s="372"/>
      <c r="I9" s="62"/>
    </row>
    <row r="10" spans="1:9" ht="13.5" customHeight="1" x14ac:dyDescent="0.2">
      <c r="A10" s="62"/>
      <c r="B10" s="69" t="s">
        <v>283</v>
      </c>
      <c r="C10" s="20" t="s">
        <v>321</v>
      </c>
      <c r="D10" s="18"/>
      <c r="E10" s="370"/>
      <c r="F10" s="370"/>
      <c r="G10" s="370"/>
      <c r="H10" s="372"/>
      <c r="I10" s="62"/>
    </row>
    <row r="11" spans="1:9" ht="13.5" customHeight="1" x14ac:dyDescent="0.2">
      <c r="A11" s="62"/>
      <c r="B11" s="69" t="s">
        <v>284</v>
      </c>
      <c r="C11" s="20" t="s">
        <v>65</v>
      </c>
      <c r="D11" s="18"/>
      <c r="E11" s="370"/>
      <c r="F11" s="370"/>
      <c r="G11" s="370"/>
      <c r="H11" s="372"/>
      <c r="I11" s="62"/>
    </row>
    <row r="12" spans="1:9" ht="13.5" customHeight="1" x14ac:dyDescent="0.2">
      <c r="A12" s="62"/>
      <c r="B12" s="69" t="s">
        <v>92</v>
      </c>
      <c r="C12" s="22" t="s">
        <v>113</v>
      </c>
      <c r="D12" s="101"/>
      <c r="E12" s="370"/>
      <c r="F12" s="370"/>
      <c r="G12" s="370"/>
      <c r="H12" s="372"/>
      <c r="I12" s="62"/>
    </row>
    <row r="13" spans="1:9" ht="63.75" x14ac:dyDescent="0.2">
      <c r="A13" s="62"/>
      <c r="B13" s="70" t="s">
        <v>66</v>
      </c>
      <c r="C13" s="20" t="s">
        <v>360</v>
      </c>
      <c r="D13" s="101" t="s">
        <v>361</v>
      </c>
      <c r="E13" s="370"/>
      <c r="F13" s="370"/>
      <c r="G13" s="370"/>
      <c r="H13" s="372"/>
      <c r="I13" s="62"/>
    </row>
    <row r="14" spans="1:9" ht="13.5" customHeight="1" thickBot="1" x14ac:dyDescent="0.25">
      <c r="A14" s="62"/>
      <c r="B14" s="406" t="s">
        <v>67</v>
      </c>
      <c r="C14" s="22" t="s">
        <v>362</v>
      </c>
      <c r="D14" s="381" t="s">
        <v>363</v>
      </c>
      <c r="E14" s="370"/>
      <c r="F14" s="370"/>
      <c r="G14" s="370"/>
      <c r="H14" s="372"/>
      <c r="I14" s="62"/>
    </row>
    <row r="15" spans="1:9" ht="13.5" customHeight="1" thickBot="1" x14ac:dyDescent="0.25">
      <c r="A15" s="62"/>
      <c r="B15" s="407"/>
      <c r="C15" s="32" t="s">
        <v>78</v>
      </c>
      <c r="D15" s="382"/>
      <c r="E15" s="370"/>
      <c r="F15" s="370"/>
      <c r="G15" s="370"/>
      <c r="H15" s="372"/>
      <c r="I15" s="62"/>
    </row>
    <row r="16" spans="1:9" ht="13.5" customHeight="1" thickBot="1" x14ac:dyDescent="0.25">
      <c r="A16" s="62"/>
      <c r="B16" s="407"/>
      <c r="C16" s="32" t="s">
        <v>68</v>
      </c>
      <c r="D16" s="382"/>
      <c r="E16" s="370"/>
      <c r="F16" s="370"/>
      <c r="G16" s="370"/>
      <c r="H16" s="372"/>
      <c r="I16" s="62"/>
    </row>
    <row r="17" spans="1:9" ht="13.5" customHeight="1" thickBot="1" x14ac:dyDescent="0.25">
      <c r="A17" s="62"/>
      <c r="B17" s="407"/>
      <c r="C17" s="32" t="s">
        <v>69</v>
      </c>
      <c r="D17" s="382"/>
      <c r="E17" s="370"/>
      <c r="F17" s="370"/>
      <c r="G17" s="370"/>
      <c r="H17" s="372"/>
      <c r="I17" s="62"/>
    </row>
    <row r="18" spans="1:9" ht="28.5" customHeight="1" thickBot="1" x14ac:dyDescent="0.25">
      <c r="A18" s="62"/>
      <c r="B18" s="407"/>
      <c r="C18" s="32" t="s">
        <v>80</v>
      </c>
      <c r="D18" s="382"/>
      <c r="E18" s="370"/>
      <c r="F18" s="370"/>
      <c r="G18" s="370"/>
      <c r="H18" s="372"/>
      <c r="I18" s="62"/>
    </row>
    <row r="19" spans="1:9" ht="48" customHeight="1" thickBot="1" x14ac:dyDescent="0.25">
      <c r="A19" s="62"/>
      <c r="B19" s="407"/>
      <c r="C19" s="82" t="s">
        <v>79</v>
      </c>
      <c r="D19" s="382"/>
      <c r="E19" s="371"/>
      <c r="F19" s="371"/>
      <c r="G19" s="371"/>
      <c r="H19" s="373"/>
      <c r="I19" s="62"/>
    </row>
    <row r="20" spans="1:9" ht="12.75" customHeight="1" x14ac:dyDescent="0.2">
      <c r="A20" s="62"/>
      <c r="B20" s="136" t="s">
        <v>251</v>
      </c>
      <c r="C20" s="137"/>
      <c r="D20" s="137"/>
      <c r="E20" s="239"/>
      <c r="F20" s="240"/>
      <c r="G20" s="239"/>
      <c r="H20" s="256"/>
      <c r="I20" s="62"/>
    </row>
    <row r="21" spans="1:9" ht="13.5" x14ac:dyDescent="0.2">
      <c r="A21" s="62"/>
      <c r="B21" s="68" t="s">
        <v>303</v>
      </c>
      <c r="C21" s="16" t="s">
        <v>0</v>
      </c>
      <c r="D21" s="100"/>
      <c r="E21" s="370" t="s">
        <v>466</v>
      </c>
      <c r="F21" s="370" t="s">
        <v>465</v>
      </c>
      <c r="G21" s="370" t="s">
        <v>513</v>
      </c>
      <c r="H21" s="372" t="s">
        <v>512</v>
      </c>
      <c r="I21" s="62"/>
    </row>
    <row r="22" spans="1:9" ht="25.5" customHeight="1" thickBot="1" x14ac:dyDescent="0.25">
      <c r="A22" s="62"/>
      <c r="B22" s="80" t="s">
        <v>285</v>
      </c>
      <c r="C22" s="81" t="s">
        <v>323</v>
      </c>
      <c r="D22" s="99"/>
      <c r="E22" s="371"/>
      <c r="F22" s="371"/>
      <c r="G22" s="371"/>
      <c r="H22" s="373"/>
      <c r="I22" s="62"/>
    </row>
    <row r="23" spans="1:9" ht="12.75" customHeight="1" x14ac:dyDescent="0.2">
      <c r="A23" s="62"/>
      <c r="B23" s="136" t="s">
        <v>252</v>
      </c>
      <c r="C23" s="137"/>
      <c r="D23" s="137"/>
      <c r="E23" s="240"/>
      <c r="F23" s="240"/>
      <c r="G23" s="240"/>
      <c r="H23" s="256"/>
      <c r="I23" s="62"/>
    </row>
    <row r="24" spans="1:9" ht="13.5" customHeight="1" x14ac:dyDescent="0.2">
      <c r="A24" s="62"/>
      <c r="B24" s="68" t="s">
        <v>286</v>
      </c>
      <c r="C24" s="16" t="s">
        <v>1</v>
      </c>
      <c r="D24" s="100"/>
      <c r="E24" s="370" t="s">
        <v>470</v>
      </c>
      <c r="F24" s="370" t="s">
        <v>469</v>
      </c>
      <c r="G24" s="370" t="s">
        <v>518</v>
      </c>
      <c r="H24" s="370" t="s">
        <v>516</v>
      </c>
      <c r="I24" s="62"/>
    </row>
    <row r="25" spans="1:9" ht="13.5" customHeight="1" x14ac:dyDescent="0.2">
      <c r="A25" s="62"/>
      <c r="B25" s="69" t="s">
        <v>287</v>
      </c>
      <c r="C25" s="16" t="s">
        <v>2</v>
      </c>
      <c r="D25" s="18"/>
      <c r="E25" s="370"/>
      <c r="F25" s="370"/>
      <c r="G25" s="370"/>
      <c r="H25" s="370"/>
      <c r="I25" s="62"/>
    </row>
    <row r="26" spans="1:9" ht="25.5" x14ac:dyDescent="0.2">
      <c r="A26" s="62"/>
      <c r="B26" s="71" t="s">
        <v>91</v>
      </c>
      <c r="C26" s="23" t="s">
        <v>114</v>
      </c>
      <c r="D26" s="18" t="s">
        <v>115</v>
      </c>
      <c r="E26" s="370"/>
      <c r="F26" s="370"/>
      <c r="G26" s="370"/>
      <c r="H26" s="370"/>
      <c r="I26" s="62"/>
    </row>
    <row r="27" spans="1:9" ht="13.5" customHeight="1" x14ac:dyDescent="0.2">
      <c r="A27" s="62"/>
      <c r="B27" s="69" t="s">
        <v>288</v>
      </c>
      <c r="C27" s="17" t="s">
        <v>3</v>
      </c>
      <c r="D27" s="18"/>
      <c r="E27" s="370"/>
      <c r="F27" s="370"/>
      <c r="G27" s="370"/>
      <c r="H27" s="370"/>
      <c r="I27" s="62"/>
    </row>
    <row r="28" spans="1:9" ht="25.5" x14ac:dyDescent="0.2">
      <c r="A28" s="62"/>
      <c r="B28" s="69" t="s">
        <v>182</v>
      </c>
      <c r="C28" s="17" t="s">
        <v>212</v>
      </c>
      <c r="D28" s="18" t="s">
        <v>213</v>
      </c>
      <c r="E28" s="370"/>
      <c r="F28" s="370"/>
      <c r="G28" s="370"/>
      <c r="H28" s="370"/>
      <c r="I28" s="62"/>
    </row>
    <row r="29" spans="1:9" ht="51.75" thickBot="1" x14ac:dyDescent="0.25">
      <c r="A29" s="62"/>
      <c r="B29" s="103" t="s">
        <v>650</v>
      </c>
      <c r="C29" s="85" t="s">
        <v>652</v>
      </c>
      <c r="D29" s="99" t="s">
        <v>651</v>
      </c>
      <c r="E29" s="371"/>
      <c r="F29" s="371"/>
      <c r="G29" s="371"/>
      <c r="H29" s="371"/>
      <c r="I29" s="62"/>
    </row>
    <row r="30" spans="1:9" ht="12.75" customHeight="1" x14ac:dyDescent="0.2">
      <c r="A30" s="62"/>
      <c r="B30" s="136" t="s">
        <v>253</v>
      </c>
      <c r="C30" s="137"/>
      <c r="D30" s="137"/>
      <c r="E30" s="240"/>
      <c r="F30" s="240"/>
      <c r="G30" s="240"/>
      <c r="H30" s="256"/>
      <c r="I30" s="62"/>
    </row>
    <row r="31" spans="1:9" ht="51.75" customHeight="1" x14ac:dyDescent="0.2">
      <c r="A31" s="62"/>
      <c r="B31" s="68" t="s">
        <v>289</v>
      </c>
      <c r="C31" s="16" t="s">
        <v>4</v>
      </c>
      <c r="D31" s="401" t="s">
        <v>52</v>
      </c>
      <c r="E31" s="370" t="s">
        <v>477</v>
      </c>
      <c r="F31" s="370" t="s">
        <v>476</v>
      </c>
      <c r="G31" s="370" t="s">
        <v>520</v>
      </c>
      <c r="H31" s="372" t="s">
        <v>519</v>
      </c>
      <c r="I31" s="62"/>
    </row>
    <row r="32" spans="1:9" ht="27" customHeight="1" x14ac:dyDescent="0.2">
      <c r="A32" s="62"/>
      <c r="B32" s="71" t="s">
        <v>27</v>
      </c>
      <c r="C32" s="23" t="s">
        <v>31</v>
      </c>
      <c r="D32" s="402"/>
      <c r="E32" s="370"/>
      <c r="F32" s="370"/>
      <c r="G32" s="370"/>
      <c r="H32" s="372"/>
      <c r="I32" s="62"/>
    </row>
    <row r="33" spans="1:9" ht="78" customHeight="1" x14ac:dyDescent="0.2">
      <c r="A33" s="62"/>
      <c r="B33" s="71" t="s">
        <v>63</v>
      </c>
      <c r="C33" s="41" t="s">
        <v>364</v>
      </c>
      <c r="D33" s="100" t="s">
        <v>334</v>
      </c>
      <c r="E33" s="370"/>
      <c r="F33" s="370"/>
      <c r="G33" s="370"/>
      <c r="H33" s="372"/>
      <c r="I33" s="62"/>
    </row>
    <row r="34" spans="1:9" ht="13.5" customHeight="1" x14ac:dyDescent="0.2">
      <c r="A34" s="62"/>
      <c r="B34" s="69" t="s">
        <v>290</v>
      </c>
      <c r="C34" s="17" t="s">
        <v>365</v>
      </c>
      <c r="D34" s="18" t="s">
        <v>366</v>
      </c>
      <c r="E34" s="370"/>
      <c r="F34" s="370"/>
      <c r="G34" s="370"/>
      <c r="H34" s="372"/>
      <c r="I34" s="62"/>
    </row>
    <row r="35" spans="1:9" ht="14.25" customHeight="1" thickBot="1" x14ac:dyDescent="0.25">
      <c r="A35" s="62"/>
      <c r="B35" s="80" t="s">
        <v>291</v>
      </c>
      <c r="C35" s="81" t="s">
        <v>5</v>
      </c>
      <c r="D35" s="99" t="s">
        <v>57</v>
      </c>
      <c r="E35" s="371"/>
      <c r="F35" s="371"/>
      <c r="G35" s="371"/>
      <c r="H35" s="373"/>
      <c r="I35" s="62"/>
    </row>
    <row r="36" spans="1:9" ht="12.75" customHeight="1" x14ac:dyDescent="0.2">
      <c r="A36" s="62"/>
      <c r="B36" s="136" t="s">
        <v>254</v>
      </c>
      <c r="C36" s="137"/>
      <c r="D36" s="137"/>
      <c r="E36" s="240"/>
      <c r="F36" s="240"/>
      <c r="G36" s="240"/>
      <c r="H36" s="256"/>
      <c r="I36" s="62"/>
    </row>
    <row r="37" spans="1:9" ht="13.5" customHeight="1" x14ac:dyDescent="0.2">
      <c r="A37" s="62"/>
      <c r="B37" s="68" t="s">
        <v>606</v>
      </c>
      <c r="C37" s="280" t="s">
        <v>621</v>
      </c>
      <c r="D37" s="281" t="s">
        <v>622</v>
      </c>
      <c r="E37" s="370" t="s">
        <v>466</v>
      </c>
      <c r="F37" s="370" t="s">
        <v>464</v>
      </c>
      <c r="G37" s="370" t="s">
        <v>523</v>
      </c>
      <c r="H37" s="372" t="s">
        <v>522</v>
      </c>
      <c r="I37" s="62"/>
    </row>
    <row r="38" spans="1:9" ht="78.75" customHeight="1" thickBot="1" x14ac:dyDescent="0.25">
      <c r="A38" s="62"/>
      <c r="B38" s="245" t="s">
        <v>292</v>
      </c>
      <c r="C38" s="282" t="s">
        <v>116</v>
      </c>
      <c r="D38" s="283" t="s">
        <v>623</v>
      </c>
      <c r="E38" s="377"/>
      <c r="F38" s="371"/>
      <c r="G38" s="371"/>
      <c r="H38" s="373"/>
      <c r="I38" s="62"/>
    </row>
    <row r="39" spans="1:9" ht="12.75" customHeight="1" x14ac:dyDescent="0.2">
      <c r="A39" s="62"/>
      <c r="B39" s="136" t="s">
        <v>255</v>
      </c>
      <c r="C39" s="137"/>
      <c r="D39" s="279"/>
      <c r="E39" s="240"/>
      <c r="F39" s="240"/>
      <c r="G39" s="240"/>
      <c r="H39" s="256"/>
      <c r="I39" s="62"/>
    </row>
    <row r="40" spans="1:9" ht="13.5" customHeight="1" x14ac:dyDescent="0.2">
      <c r="A40" s="62"/>
      <c r="B40" s="68" t="s">
        <v>636</v>
      </c>
      <c r="C40" s="16" t="s">
        <v>75</v>
      </c>
      <c r="D40" s="401" t="s">
        <v>634</v>
      </c>
      <c r="E40" s="370" t="s">
        <v>471</v>
      </c>
      <c r="F40" s="370" t="s">
        <v>474</v>
      </c>
      <c r="G40" s="370" t="s">
        <v>528</v>
      </c>
      <c r="H40" s="372" t="s">
        <v>537</v>
      </c>
      <c r="I40" s="62"/>
    </row>
    <row r="41" spans="1:9" ht="13.5" customHeight="1" x14ac:dyDescent="0.25">
      <c r="A41" s="62"/>
      <c r="B41" s="73" t="s">
        <v>93</v>
      </c>
      <c r="C41" s="17" t="s">
        <v>117</v>
      </c>
      <c r="D41" s="402"/>
      <c r="E41" s="370"/>
      <c r="F41" s="370"/>
      <c r="G41" s="370"/>
      <c r="H41" s="372"/>
      <c r="I41" s="62"/>
    </row>
    <row r="42" spans="1:9" ht="38.25" customHeight="1" x14ac:dyDescent="0.2">
      <c r="A42" s="62"/>
      <c r="B42" s="72" t="s">
        <v>74</v>
      </c>
      <c r="C42" s="17" t="s">
        <v>76</v>
      </c>
      <c r="D42" s="403" t="s">
        <v>119</v>
      </c>
      <c r="E42" s="370"/>
      <c r="F42" s="370"/>
      <c r="G42" s="370"/>
      <c r="H42" s="372"/>
      <c r="I42" s="62"/>
    </row>
    <row r="43" spans="1:9" ht="14.25" customHeight="1" x14ac:dyDescent="0.25">
      <c r="A43" s="62"/>
      <c r="B43" s="190" t="s">
        <v>94</v>
      </c>
      <c r="C43" s="191" t="s">
        <v>118</v>
      </c>
      <c r="D43" s="403"/>
      <c r="E43" s="370"/>
      <c r="F43" s="370"/>
      <c r="G43" s="370"/>
      <c r="H43" s="372"/>
      <c r="I43" s="62"/>
    </row>
    <row r="44" spans="1:9" ht="26.25" customHeight="1" thickBot="1" x14ac:dyDescent="0.25">
      <c r="A44" s="62"/>
      <c r="B44" s="192" t="s">
        <v>401</v>
      </c>
      <c r="C44" s="189" t="s">
        <v>409</v>
      </c>
      <c r="D44" s="99"/>
      <c r="E44" s="370"/>
      <c r="F44" s="370"/>
      <c r="G44" s="370"/>
      <c r="H44" s="372"/>
      <c r="I44" s="62"/>
    </row>
    <row r="45" spans="1:9" ht="12.75" customHeight="1" x14ac:dyDescent="0.2">
      <c r="A45" s="62"/>
      <c r="B45" s="136" t="s">
        <v>256</v>
      </c>
      <c r="C45" s="137"/>
      <c r="D45" s="137"/>
      <c r="E45" s="240"/>
      <c r="F45" s="240"/>
      <c r="G45" s="240"/>
      <c r="H45" s="256"/>
      <c r="I45" s="62"/>
    </row>
    <row r="46" spans="1:9" ht="27" customHeight="1" x14ac:dyDescent="0.2">
      <c r="A46" s="62"/>
      <c r="B46" s="68" t="s">
        <v>293</v>
      </c>
      <c r="C46" s="16" t="s">
        <v>6</v>
      </c>
      <c r="D46" s="100" t="s">
        <v>647</v>
      </c>
      <c r="E46" s="370" t="s">
        <v>472</v>
      </c>
      <c r="F46" s="370" t="s">
        <v>495</v>
      </c>
      <c r="G46" s="370" t="s">
        <v>544</v>
      </c>
      <c r="H46" s="372" t="s">
        <v>546</v>
      </c>
      <c r="I46" s="62"/>
    </row>
    <row r="47" spans="1:9" ht="40.5" customHeight="1" x14ac:dyDescent="0.2">
      <c r="A47" s="62"/>
      <c r="B47" s="68" t="s">
        <v>607</v>
      </c>
      <c r="C47" s="280" t="s">
        <v>624</v>
      </c>
      <c r="D47" s="284" t="s">
        <v>626</v>
      </c>
      <c r="E47" s="370"/>
      <c r="F47" s="370"/>
      <c r="G47" s="370"/>
      <c r="H47" s="372"/>
      <c r="I47" s="62"/>
    </row>
    <row r="48" spans="1:9" ht="40.5" customHeight="1" x14ac:dyDescent="0.2">
      <c r="A48" s="62"/>
      <c r="B48" s="72" t="s">
        <v>608</v>
      </c>
      <c r="C48" s="42" t="s">
        <v>625</v>
      </c>
      <c r="D48" s="100" t="s">
        <v>627</v>
      </c>
      <c r="E48" s="370"/>
      <c r="F48" s="370"/>
      <c r="G48" s="370"/>
      <c r="H48" s="372"/>
      <c r="I48" s="62"/>
    </row>
    <row r="49" spans="1:9" ht="13.5" customHeight="1" x14ac:dyDescent="0.2">
      <c r="A49" s="62"/>
      <c r="B49" s="72" t="s">
        <v>70</v>
      </c>
      <c r="C49" s="42" t="s">
        <v>657</v>
      </c>
      <c r="D49" s="18" t="s">
        <v>579</v>
      </c>
      <c r="E49" s="370"/>
      <c r="F49" s="370"/>
      <c r="G49" s="370"/>
      <c r="H49" s="372"/>
      <c r="I49" s="62"/>
    </row>
    <row r="50" spans="1:9" ht="13.5" customHeight="1" x14ac:dyDescent="0.2">
      <c r="A50" s="62"/>
      <c r="B50" s="72" t="s">
        <v>432</v>
      </c>
      <c r="C50" s="42" t="s">
        <v>433</v>
      </c>
      <c r="D50" s="18" t="s">
        <v>580</v>
      </c>
      <c r="E50" s="370"/>
      <c r="F50" s="370"/>
      <c r="G50" s="370"/>
      <c r="H50" s="372"/>
      <c r="I50" s="62"/>
    </row>
    <row r="51" spans="1:9" ht="13.5" customHeight="1" x14ac:dyDescent="0.2">
      <c r="A51" s="62"/>
      <c r="B51" s="72" t="s">
        <v>71</v>
      </c>
      <c r="C51" s="40" t="s">
        <v>658</v>
      </c>
      <c r="D51" s="18" t="s">
        <v>653</v>
      </c>
      <c r="E51" s="370"/>
      <c r="F51" s="370"/>
      <c r="G51" s="370"/>
      <c r="H51" s="372"/>
      <c r="I51" s="62"/>
    </row>
    <row r="52" spans="1:9" ht="13.5" customHeight="1" x14ac:dyDescent="0.2">
      <c r="A52" s="62"/>
      <c r="B52" s="72" t="s">
        <v>654</v>
      </c>
      <c r="C52" s="40" t="s">
        <v>656</v>
      </c>
      <c r="D52" s="18" t="s">
        <v>580</v>
      </c>
      <c r="E52" s="370"/>
      <c r="F52" s="370"/>
      <c r="G52" s="370"/>
      <c r="H52" s="372"/>
      <c r="I52" s="62"/>
    </row>
    <row r="53" spans="1:9" ht="13.5" customHeight="1" x14ac:dyDescent="0.2">
      <c r="A53" s="62"/>
      <c r="B53" s="184" t="s">
        <v>72</v>
      </c>
      <c r="C53" s="194" t="s">
        <v>659</v>
      </c>
      <c r="D53" s="414" t="s">
        <v>645</v>
      </c>
      <c r="E53" s="370"/>
      <c r="F53" s="370"/>
      <c r="G53" s="370"/>
      <c r="H53" s="372"/>
      <c r="I53" s="62"/>
    </row>
    <row r="54" spans="1:9" ht="13.5" customHeight="1" x14ac:dyDescent="0.2">
      <c r="A54" s="62"/>
      <c r="B54" s="187" t="s">
        <v>73</v>
      </c>
      <c r="C54" s="40" t="s">
        <v>660</v>
      </c>
      <c r="D54" s="415"/>
      <c r="E54" s="370"/>
      <c r="F54" s="370"/>
      <c r="G54" s="370"/>
      <c r="H54" s="372"/>
      <c r="I54" s="62"/>
    </row>
    <row r="55" spans="1:9" ht="27" customHeight="1" x14ac:dyDescent="0.2">
      <c r="A55" s="62"/>
      <c r="B55" s="187" t="s">
        <v>655</v>
      </c>
      <c r="C55" s="303" t="s">
        <v>661</v>
      </c>
      <c r="D55" s="415"/>
      <c r="E55" s="370"/>
      <c r="F55" s="370"/>
      <c r="G55" s="370"/>
      <c r="H55" s="372"/>
      <c r="I55" s="62"/>
    </row>
    <row r="56" spans="1:9" ht="27" customHeight="1" x14ac:dyDescent="0.2">
      <c r="A56" s="62"/>
      <c r="B56" s="187" t="s">
        <v>643</v>
      </c>
      <c r="C56" s="193" t="s">
        <v>644</v>
      </c>
      <c r="D56" s="300" t="s">
        <v>646</v>
      </c>
      <c r="E56" s="370"/>
      <c r="F56" s="370"/>
      <c r="G56" s="370"/>
      <c r="H56" s="372"/>
      <c r="I56" s="62"/>
    </row>
    <row r="57" spans="1:9" ht="14.25" customHeight="1" x14ac:dyDescent="0.2">
      <c r="A57" s="62"/>
      <c r="B57" s="187" t="s">
        <v>400</v>
      </c>
      <c r="C57" s="194" t="s">
        <v>410</v>
      </c>
      <c r="D57" s="404" t="s">
        <v>580</v>
      </c>
      <c r="E57" s="370"/>
      <c r="F57" s="370"/>
      <c r="G57" s="370"/>
      <c r="H57" s="372"/>
      <c r="I57" s="62"/>
    </row>
    <row r="58" spans="1:9" ht="27" customHeight="1" thickBot="1" x14ac:dyDescent="0.25">
      <c r="A58" s="62"/>
      <c r="B58" s="188" t="s">
        <v>399</v>
      </c>
      <c r="C58" s="195" t="s">
        <v>411</v>
      </c>
      <c r="D58" s="405"/>
      <c r="E58" s="370"/>
      <c r="F58" s="370"/>
      <c r="G58" s="370"/>
      <c r="H58" s="372"/>
      <c r="I58" s="62"/>
    </row>
    <row r="59" spans="1:9" ht="12.75" customHeight="1" x14ac:dyDescent="0.2">
      <c r="A59" s="62"/>
      <c r="B59" s="136" t="s">
        <v>120</v>
      </c>
      <c r="C59" s="137"/>
      <c r="D59" s="137"/>
      <c r="E59" s="240"/>
      <c r="F59" s="240"/>
      <c r="G59" s="240"/>
      <c r="H59" s="256"/>
      <c r="I59" s="62"/>
    </row>
    <row r="60" spans="1:9" ht="13.5" customHeight="1" x14ac:dyDescent="0.25">
      <c r="A60" s="62"/>
      <c r="B60" s="77" t="s">
        <v>96</v>
      </c>
      <c r="C60" s="16" t="s">
        <v>121</v>
      </c>
      <c r="D60" s="100"/>
      <c r="E60" s="370" t="s">
        <v>473</v>
      </c>
      <c r="F60" s="370" t="s">
        <v>475</v>
      </c>
      <c r="G60" s="370" t="s">
        <v>548</v>
      </c>
      <c r="H60" s="372" t="s">
        <v>549</v>
      </c>
      <c r="I60" s="62"/>
    </row>
    <row r="61" spans="1:9" ht="13.5" customHeight="1" x14ac:dyDescent="0.25">
      <c r="A61" s="62"/>
      <c r="B61" s="73" t="s">
        <v>387</v>
      </c>
      <c r="C61" s="17" t="s">
        <v>122</v>
      </c>
      <c r="D61" s="18" t="s">
        <v>127</v>
      </c>
      <c r="E61" s="370"/>
      <c r="F61" s="370"/>
      <c r="G61" s="370"/>
      <c r="H61" s="372"/>
      <c r="I61" s="62"/>
    </row>
    <row r="62" spans="1:9" ht="13.5" customHeight="1" x14ac:dyDescent="0.25">
      <c r="A62" s="62"/>
      <c r="B62" s="73" t="s">
        <v>386</v>
      </c>
      <c r="C62" s="17" t="s">
        <v>123</v>
      </c>
      <c r="D62" s="18" t="s">
        <v>127</v>
      </c>
      <c r="E62" s="370"/>
      <c r="F62" s="370"/>
      <c r="G62" s="370"/>
      <c r="H62" s="372"/>
      <c r="I62" s="62"/>
    </row>
    <row r="63" spans="1:9" ht="13.5" customHeight="1" x14ac:dyDescent="0.25">
      <c r="A63" s="62"/>
      <c r="B63" s="73" t="s">
        <v>97</v>
      </c>
      <c r="C63" s="17" t="s">
        <v>124</v>
      </c>
      <c r="D63" s="18"/>
      <c r="E63" s="370"/>
      <c r="F63" s="370"/>
      <c r="G63" s="370"/>
      <c r="H63" s="372"/>
      <c r="I63" s="62"/>
    </row>
    <row r="64" spans="1:9" ht="13.5" customHeight="1" x14ac:dyDescent="0.25">
      <c r="A64" s="62"/>
      <c r="B64" s="73" t="s">
        <v>385</v>
      </c>
      <c r="C64" s="42" t="s">
        <v>126</v>
      </c>
      <c r="D64" s="18" t="s">
        <v>127</v>
      </c>
      <c r="E64" s="370"/>
      <c r="F64" s="370"/>
      <c r="G64" s="370"/>
      <c r="H64" s="372"/>
      <c r="I64" s="62"/>
    </row>
    <row r="65" spans="1:9" ht="36" customHeight="1" thickBot="1" x14ac:dyDescent="0.25">
      <c r="A65" s="62"/>
      <c r="B65" s="84" t="s">
        <v>98</v>
      </c>
      <c r="C65" s="81" t="s">
        <v>125</v>
      </c>
      <c r="D65" s="99" t="s">
        <v>128</v>
      </c>
      <c r="E65" s="370"/>
      <c r="F65" s="370"/>
      <c r="G65" s="370"/>
      <c r="H65" s="372"/>
      <c r="I65" s="62"/>
    </row>
    <row r="66" spans="1:9" ht="12.75" customHeight="1" x14ac:dyDescent="0.2">
      <c r="A66" s="62"/>
      <c r="B66" s="136" t="s">
        <v>140</v>
      </c>
      <c r="C66" s="137"/>
      <c r="D66" s="137"/>
      <c r="E66" s="240"/>
      <c r="F66" s="240"/>
      <c r="G66" s="240"/>
      <c r="H66" s="256"/>
      <c r="I66" s="62"/>
    </row>
    <row r="67" spans="1:9" ht="13.5" customHeight="1" x14ac:dyDescent="0.2">
      <c r="A67" s="62"/>
      <c r="B67" s="74" t="s">
        <v>142</v>
      </c>
      <c r="C67" s="23" t="s">
        <v>165</v>
      </c>
      <c r="D67" s="100" t="s">
        <v>181</v>
      </c>
      <c r="E67" s="370" t="s">
        <v>492</v>
      </c>
      <c r="F67" s="370" t="s">
        <v>550</v>
      </c>
      <c r="G67" s="370" t="s">
        <v>552</v>
      </c>
      <c r="H67" s="372" t="s">
        <v>551</v>
      </c>
      <c r="I67" s="62"/>
    </row>
    <row r="68" spans="1:9" ht="13.5" customHeight="1" x14ac:dyDescent="0.2">
      <c r="A68" s="62"/>
      <c r="B68" s="75" t="s">
        <v>143</v>
      </c>
      <c r="C68" s="23" t="s">
        <v>166</v>
      </c>
      <c r="D68" s="18" t="s">
        <v>180</v>
      </c>
      <c r="E68" s="370"/>
      <c r="F68" s="370"/>
      <c r="G68" s="370"/>
      <c r="H68" s="372"/>
      <c r="I68" s="62"/>
    </row>
    <row r="69" spans="1:9" ht="25.5" x14ac:dyDescent="0.2">
      <c r="A69" s="62"/>
      <c r="B69" s="75" t="s">
        <v>158</v>
      </c>
      <c r="C69" s="20" t="s">
        <v>170</v>
      </c>
      <c r="D69" s="18" t="s">
        <v>167</v>
      </c>
      <c r="E69" s="370"/>
      <c r="F69" s="370"/>
      <c r="G69" s="370"/>
      <c r="H69" s="372"/>
      <c r="I69" s="62"/>
    </row>
    <row r="70" spans="1:9" ht="25.5" x14ac:dyDescent="0.2">
      <c r="A70" s="62"/>
      <c r="B70" s="75" t="s">
        <v>159</v>
      </c>
      <c r="C70" s="20" t="s">
        <v>169</v>
      </c>
      <c r="D70" s="18" t="s">
        <v>171</v>
      </c>
      <c r="E70" s="370"/>
      <c r="F70" s="370"/>
      <c r="G70" s="370"/>
      <c r="H70" s="372"/>
      <c r="I70" s="62"/>
    </row>
    <row r="71" spans="1:9" ht="25.5" x14ac:dyDescent="0.2">
      <c r="A71" s="62"/>
      <c r="B71" s="75" t="s">
        <v>160</v>
      </c>
      <c r="C71" s="20" t="s">
        <v>168</v>
      </c>
      <c r="D71" s="18" t="s">
        <v>172</v>
      </c>
      <c r="E71" s="370"/>
      <c r="F71" s="370"/>
      <c r="G71" s="370"/>
      <c r="H71" s="372"/>
      <c r="I71" s="62"/>
    </row>
    <row r="72" spans="1:9" ht="25.5" x14ac:dyDescent="0.2">
      <c r="A72" s="62"/>
      <c r="B72" s="75" t="s">
        <v>161</v>
      </c>
      <c r="C72" s="20" t="s">
        <v>176</v>
      </c>
      <c r="D72" s="18" t="s">
        <v>175</v>
      </c>
      <c r="E72" s="370"/>
      <c r="F72" s="370"/>
      <c r="G72" s="370"/>
      <c r="H72" s="372"/>
      <c r="I72" s="62"/>
    </row>
    <row r="73" spans="1:9" ht="25.5" x14ac:dyDescent="0.2">
      <c r="A73" s="62"/>
      <c r="B73" s="75" t="s">
        <v>162</v>
      </c>
      <c r="C73" s="20" t="s">
        <v>173</v>
      </c>
      <c r="D73" s="18" t="s">
        <v>174</v>
      </c>
      <c r="E73" s="370"/>
      <c r="F73" s="370"/>
      <c r="G73" s="370"/>
      <c r="H73" s="372"/>
      <c r="I73" s="62"/>
    </row>
    <row r="74" spans="1:9" ht="25.5" x14ac:dyDescent="0.2">
      <c r="A74" s="62"/>
      <c r="B74" s="75" t="s">
        <v>163</v>
      </c>
      <c r="C74" s="20" t="s">
        <v>177</v>
      </c>
      <c r="D74" s="18" t="s">
        <v>178</v>
      </c>
      <c r="E74" s="370"/>
      <c r="F74" s="370"/>
      <c r="G74" s="370"/>
      <c r="H74" s="372"/>
      <c r="I74" s="62"/>
    </row>
    <row r="75" spans="1:9" ht="25.5" x14ac:dyDescent="0.2">
      <c r="A75" s="62"/>
      <c r="B75" s="75" t="s">
        <v>164</v>
      </c>
      <c r="C75" s="20" t="s">
        <v>179</v>
      </c>
      <c r="D75" s="18" t="s">
        <v>172</v>
      </c>
      <c r="E75" s="370"/>
      <c r="F75" s="370"/>
      <c r="G75" s="370"/>
      <c r="H75" s="372"/>
      <c r="I75" s="62"/>
    </row>
    <row r="76" spans="1:9" ht="38.25" x14ac:dyDescent="0.2">
      <c r="A76" s="62"/>
      <c r="B76" s="184" t="s">
        <v>388</v>
      </c>
      <c r="C76" s="185" t="s">
        <v>390</v>
      </c>
      <c r="D76" s="186" t="s">
        <v>391</v>
      </c>
      <c r="E76" s="370"/>
      <c r="F76" s="370"/>
      <c r="G76" s="370"/>
      <c r="H76" s="372"/>
      <c r="I76" s="62"/>
    </row>
    <row r="77" spans="1:9" ht="25.5" x14ac:dyDescent="0.2">
      <c r="A77" s="62"/>
      <c r="B77" s="184" t="s">
        <v>407</v>
      </c>
      <c r="C77" s="189" t="s">
        <v>602</v>
      </c>
      <c r="D77" s="404" t="s">
        <v>603</v>
      </c>
      <c r="E77" s="370"/>
      <c r="F77" s="370"/>
      <c r="G77" s="370"/>
      <c r="H77" s="372"/>
      <c r="I77" s="62"/>
    </row>
    <row r="78" spans="1:9" ht="26.25" thickBot="1" x14ac:dyDescent="0.25">
      <c r="A78" s="62"/>
      <c r="B78" s="184" t="s">
        <v>408</v>
      </c>
      <c r="C78" s="189" t="s">
        <v>602</v>
      </c>
      <c r="D78" s="405"/>
      <c r="E78" s="371"/>
      <c r="F78" s="371"/>
      <c r="G78" s="371"/>
      <c r="H78" s="373"/>
      <c r="I78" s="62"/>
    </row>
    <row r="79" spans="1:9" ht="12.75" customHeight="1" x14ac:dyDescent="0.2">
      <c r="A79" s="62"/>
      <c r="B79" s="136" t="s">
        <v>257</v>
      </c>
      <c r="C79" s="137"/>
      <c r="D79" s="137"/>
      <c r="E79" s="241"/>
      <c r="F79" s="241"/>
      <c r="G79" s="241"/>
      <c r="H79" s="257"/>
      <c r="I79" s="62"/>
    </row>
    <row r="80" spans="1:9" ht="130.5" customHeight="1" x14ac:dyDescent="0.2">
      <c r="A80" s="62"/>
      <c r="B80" s="68" t="s">
        <v>628</v>
      </c>
      <c r="C80" s="16" t="s">
        <v>7</v>
      </c>
      <c r="D80" s="100" t="s">
        <v>438</v>
      </c>
      <c r="E80" s="370" t="s">
        <v>477</v>
      </c>
      <c r="F80" s="370" t="s">
        <v>476</v>
      </c>
      <c r="G80" s="370" t="s">
        <v>556</v>
      </c>
      <c r="H80" s="372" t="s">
        <v>554</v>
      </c>
      <c r="I80" s="62"/>
    </row>
    <row r="81" spans="1:9" ht="26.25" thickBot="1" x14ac:dyDescent="0.25">
      <c r="A81" s="62"/>
      <c r="B81" s="80" t="s">
        <v>629</v>
      </c>
      <c r="C81" s="81" t="s">
        <v>8</v>
      </c>
      <c r="D81" s="99" t="s">
        <v>56</v>
      </c>
      <c r="E81" s="371"/>
      <c r="F81" s="371"/>
      <c r="G81" s="371"/>
      <c r="H81" s="373"/>
      <c r="I81" s="62"/>
    </row>
    <row r="82" spans="1:9" ht="12.75" customHeight="1" x14ac:dyDescent="0.2">
      <c r="A82" s="62"/>
      <c r="B82" s="136" t="s">
        <v>258</v>
      </c>
      <c r="C82" s="137"/>
      <c r="D82" s="137"/>
      <c r="E82" s="240"/>
      <c r="F82" s="240"/>
      <c r="G82" s="240"/>
      <c r="H82" s="256"/>
      <c r="I82" s="62"/>
    </row>
    <row r="83" spans="1:9" ht="25.5" customHeight="1" x14ac:dyDescent="0.2">
      <c r="A83" s="62"/>
      <c r="B83" s="245" t="s">
        <v>294</v>
      </c>
      <c r="C83" s="310" t="s">
        <v>129</v>
      </c>
      <c r="D83" s="311"/>
      <c r="E83" s="370" t="s">
        <v>479</v>
      </c>
      <c r="F83" s="370" t="s">
        <v>478</v>
      </c>
      <c r="G83" s="370" t="s">
        <v>558</v>
      </c>
      <c r="H83" s="370" t="s">
        <v>557</v>
      </c>
      <c r="I83" s="62"/>
    </row>
    <row r="84" spans="1:9" ht="25.5" x14ac:dyDescent="0.2">
      <c r="A84" s="62"/>
      <c r="B84" s="312" t="s">
        <v>348</v>
      </c>
      <c r="C84" s="303" t="s">
        <v>359</v>
      </c>
      <c r="D84" s="313" t="s">
        <v>32</v>
      </c>
      <c r="E84" s="370"/>
      <c r="F84" s="370"/>
      <c r="G84" s="370"/>
      <c r="H84" s="370"/>
      <c r="I84" s="62"/>
    </row>
    <row r="85" spans="1:9" ht="38.25" x14ac:dyDescent="0.2">
      <c r="A85" s="62"/>
      <c r="B85" s="312" t="s">
        <v>308</v>
      </c>
      <c r="C85" s="194" t="s">
        <v>35</v>
      </c>
      <c r="D85" s="313" t="s">
        <v>648</v>
      </c>
      <c r="E85" s="370"/>
      <c r="F85" s="370"/>
      <c r="G85" s="370"/>
      <c r="H85" s="370"/>
      <c r="I85" s="62"/>
    </row>
    <row r="86" spans="1:9" ht="51" x14ac:dyDescent="0.2">
      <c r="A86" s="62"/>
      <c r="B86" s="314" t="s">
        <v>22</v>
      </c>
      <c r="C86" s="315" t="s">
        <v>33</v>
      </c>
      <c r="D86" s="313" t="s">
        <v>367</v>
      </c>
      <c r="E86" s="370"/>
      <c r="F86" s="370"/>
      <c r="G86" s="370"/>
      <c r="H86" s="370"/>
      <c r="I86" s="62"/>
    </row>
    <row r="87" spans="1:9" ht="24.75" customHeight="1" x14ac:dyDescent="0.2">
      <c r="A87" s="62"/>
      <c r="B87" s="314" t="s">
        <v>135</v>
      </c>
      <c r="C87" s="315" t="s">
        <v>34</v>
      </c>
      <c r="D87" s="313" t="s">
        <v>136</v>
      </c>
      <c r="E87" s="370"/>
      <c r="F87" s="370"/>
      <c r="G87" s="370"/>
      <c r="H87" s="370"/>
      <c r="I87" s="62"/>
    </row>
    <row r="88" spans="1:9" ht="24.75" customHeight="1" x14ac:dyDescent="0.2">
      <c r="A88" s="62"/>
      <c r="B88" s="314" t="s">
        <v>100</v>
      </c>
      <c r="C88" s="315" t="s">
        <v>130</v>
      </c>
      <c r="D88" s="313" t="s">
        <v>131</v>
      </c>
      <c r="E88" s="370"/>
      <c r="F88" s="370"/>
      <c r="G88" s="370"/>
      <c r="H88" s="370"/>
      <c r="I88" s="62"/>
    </row>
    <row r="89" spans="1:9" ht="143.25" customHeight="1" x14ac:dyDescent="0.2">
      <c r="A89" s="62"/>
      <c r="B89" s="314" t="s">
        <v>358</v>
      </c>
      <c r="C89" s="303" t="s">
        <v>379</v>
      </c>
      <c r="D89" s="313" t="s">
        <v>581</v>
      </c>
      <c r="E89" s="370"/>
      <c r="F89" s="370"/>
      <c r="G89" s="370"/>
      <c r="H89" s="370"/>
      <c r="I89" s="62"/>
    </row>
    <row r="90" spans="1:9" ht="26.25" thickBot="1" x14ac:dyDescent="0.25">
      <c r="A90" s="62"/>
      <c r="B90" s="316" t="s">
        <v>663</v>
      </c>
      <c r="C90" s="195" t="s">
        <v>664</v>
      </c>
      <c r="D90" s="317" t="s">
        <v>665</v>
      </c>
      <c r="E90" s="371"/>
      <c r="F90" s="371"/>
      <c r="G90" s="371"/>
      <c r="H90" s="371"/>
      <c r="I90" s="62"/>
    </row>
    <row r="91" spans="1:9" x14ac:dyDescent="0.2">
      <c r="A91" s="62"/>
      <c r="B91" s="136" t="s">
        <v>215</v>
      </c>
      <c r="C91" s="137"/>
      <c r="D91" s="138"/>
      <c r="E91" s="242"/>
      <c r="F91" s="242"/>
      <c r="G91" s="242"/>
      <c r="H91" s="258"/>
      <c r="I91" s="62"/>
    </row>
    <row r="92" spans="1:9" ht="25.5" x14ac:dyDescent="0.2">
      <c r="A92" s="62"/>
      <c r="B92" s="71" t="s">
        <v>216</v>
      </c>
      <c r="C92" s="23" t="s">
        <v>222</v>
      </c>
      <c r="D92" s="23"/>
      <c r="E92" s="370" t="s">
        <v>494</v>
      </c>
      <c r="F92" s="370" t="s">
        <v>493</v>
      </c>
      <c r="G92" s="370" t="s">
        <v>560</v>
      </c>
      <c r="H92" s="372" t="s">
        <v>559</v>
      </c>
      <c r="I92" s="62"/>
    </row>
    <row r="93" spans="1:9" ht="25.5" x14ac:dyDescent="0.2">
      <c r="A93" s="62"/>
      <c r="B93" s="76" t="s">
        <v>217</v>
      </c>
      <c r="C93" s="23" t="s">
        <v>223</v>
      </c>
      <c r="D93" s="23"/>
      <c r="E93" s="370"/>
      <c r="F93" s="370"/>
      <c r="G93" s="370"/>
      <c r="H93" s="372"/>
      <c r="I93" s="62"/>
    </row>
    <row r="94" spans="1:9" ht="51" x14ac:dyDescent="0.2">
      <c r="A94" s="62"/>
      <c r="B94" s="76" t="s">
        <v>218</v>
      </c>
      <c r="C94" s="23" t="s">
        <v>224</v>
      </c>
      <c r="D94" s="100" t="s">
        <v>335</v>
      </c>
      <c r="E94" s="370"/>
      <c r="F94" s="370"/>
      <c r="G94" s="370"/>
      <c r="H94" s="372"/>
      <c r="I94" s="62"/>
    </row>
    <row r="95" spans="1:9" ht="51" x14ac:dyDescent="0.2">
      <c r="A95" s="62"/>
      <c r="B95" s="76" t="s">
        <v>219</v>
      </c>
      <c r="C95" s="23" t="s">
        <v>225</v>
      </c>
      <c r="D95" s="100" t="s">
        <v>336</v>
      </c>
      <c r="E95" s="370"/>
      <c r="F95" s="370"/>
      <c r="G95" s="370"/>
      <c r="H95" s="372"/>
      <c r="I95" s="62"/>
    </row>
    <row r="96" spans="1:9" ht="26.25" thickBot="1" x14ac:dyDescent="0.25">
      <c r="A96" s="62"/>
      <c r="B96" s="76" t="s">
        <v>220</v>
      </c>
      <c r="C96" s="23" t="s">
        <v>328</v>
      </c>
      <c r="D96" s="381" t="s">
        <v>326</v>
      </c>
      <c r="E96" s="370"/>
      <c r="F96" s="370"/>
      <c r="G96" s="370"/>
      <c r="H96" s="372"/>
      <c r="I96" s="62"/>
    </row>
    <row r="97" spans="1:9" ht="26.25" thickBot="1" x14ac:dyDescent="0.25">
      <c r="A97" s="62"/>
      <c r="B97" s="103" t="s">
        <v>221</v>
      </c>
      <c r="C97" s="67" t="s">
        <v>329</v>
      </c>
      <c r="D97" s="382"/>
      <c r="E97" s="371"/>
      <c r="F97" s="371"/>
      <c r="G97" s="371"/>
      <c r="H97" s="373"/>
      <c r="I97" s="62"/>
    </row>
    <row r="98" spans="1:9" ht="12.75" customHeight="1" x14ac:dyDescent="0.2">
      <c r="A98" s="62"/>
      <c r="B98" s="139" t="s">
        <v>132</v>
      </c>
      <c r="C98" s="137"/>
      <c r="D98" s="138"/>
      <c r="E98" s="242"/>
      <c r="F98" s="242"/>
      <c r="G98" s="242"/>
      <c r="H98" s="258"/>
      <c r="I98" s="62"/>
    </row>
    <row r="99" spans="1:9" ht="13.5" customHeight="1" x14ac:dyDescent="0.25">
      <c r="A99" s="62"/>
      <c r="B99" s="77" t="s">
        <v>102</v>
      </c>
      <c r="C99" s="16" t="s">
        <v>133</v>
      </c>
      <c r="D99" s="401" t="s">
        <v>632</v>
      </c>
      <c r="E99" s="370" t="s">
        <v>497</v>
      </c>
      <c r="F99" s="370" t="s">
        <v>496</v>
      </c>
      <c r="G99" s="370" t="s">
        <v>562</v>
      </c>
      <c r="H99" s="372" t="s">
        <v>561</v>
      </c>
      <c r="I99" s="62"/>
    </row>
    <row r="100" spans="1:9" ht="13.5" customHeight="1" x14ac:dyDescent="0.25">
      <c r="A100" s="62"/>
      <c r="B100" s="73" t="s">
        <v>337</v>
      </c>
      <c r="C100" s="17" t="s">
        <v>342</v>
      </c>
      <c r="D100" s="401"/>
      <c r="E100" s="370"/>
      <c r="F100" s="370"/>
      <c r="G100" s="370"/>
      <c r="H100" s="372"/>
      <c r="I100" s="62"/>
    </row>
    <row r="101" spans="1:9" ht="13.5" customHeight="1" x14ac:dyDescent="0.25">
      <c r="A101" s="62"/>
      <c r="B101" s="77" t="s">
        <v>106</v>
      </c>
      <c r="C101" s="16" t="s">
        <v>134</v>
      </c>
      <c r="D101" s="401"/>
      <c r="E101" s="370"/>
      <c r="F101" s="370"/>
      <c r="G101" s="370"/>
      <c r="H101" s="372"/>
      <c r="I101" s="62"/>
    </row>
    <row r="102" spans="1:9" ht="13.5" customHeight="1" x14ac:dyDescent="0.25">
      <c r="A102" s="62"/>
      <c r="B102" s="73" t="s">
        <v>338</v>
      </c>
      <c r="C102" s="17" t="s">
        <v>343</v>
      </c>
      <c r="D102" s="401"/>
      <c r="E102" s="370"/>
      <c r="F102" s="370"/>
      <c r="G102" s="370"/>
      <c r="H102" s="372"/>
      <c r="I102" s="62"/>
    </row>
    <row r="103" spans="1:9" ht="13.5" customHeight="1" x14ac:dyDescent="0.25">
      <c r="A103" s="62"/>
      <c r="B103" s="77" t="s">
        <v>107</v>
      </c>
      <c r="C103" s="16" t="s">
        <v>137</v>
      </c>
      <c r="D103" s="401"/>
      <c r="E103" s="370"/>
      <c r="F103" s="370"/>
      <c r="G103" s="370"/>
      <c r="H103" s="372"/>
      <c r="I103" s="62"/>
    </row>
    <row r="104" spans="1:9" ht="13.5" customHeight="1" x14ac:dyDescent="0.25">
      <c r="A104" s="62"/>
      <c r="B104" s="73" t="s">
        <v>339</v>
      </c>
      <c r="C104" s="17" t="s">
        <v>344</v>
      </c>
      <c r="D104" s="401"/>
      <c r="E104" s="370"/>
      <c r="F104" s="370"/>
      <c r="G104" s="370"/>
      <c r="H104" s="372"/>
      <c r="I104" s="62"/>
    </row>
    <row r="105" spans="1:9" ht="13.5" customHeight="1" x14ac:dyDescent="0.25">
      <c r="A105" s="62"/>
      <c r="B105" s="77" t="s">
        <v>108</v>
      </c>
      <c r="C105" s="16" t="s">
        <v>138</v>
      </c>
      <c r="D105" s="401"/>
      <c r="E105" s="370"/>
      <c r="F105" s="370"/>
      <c r="G105" s="370"/>
      <c r="H105" s="372"/>
      <c r="I105" s="62"/>
    </row>
    <row r="106" spans="1:9" ht="13.5" customHeight="1" x14ac:dyDescent="0.25">
      <c r="A106" s="62"/>
      <c r="B106" s="73" t="s">
        <v>340</v>
      </c>
      <c r="C106" s="17" t="s">
        <v>345</v>
      </c>
      <c r="D106" s="401"/>
      <c r="E106" s="370"/>
      <c r="F106" s="370"/>
      <c r="G106" s="370"/>
      <c r="H106" s="372"/>
      <c r="I106" s="62"/>
    </row>
    <row r="107" spans="1:9" ht="13.5" customHeight="1" x14ac:dyDescent="0.25">
      <c r="A107" s="62"/>
      <c r="B107" s="73" t="s">
        <v>109</v>
      </c>
      <c r="C107" s="17" t="s">
        <v>139</v>
      </c>
      <c r="D107" s="401"/>
      <c r="E107" s="370"/>
      <c r="F107" s="370"/>
      <c r="G107" s="370"/>
      <c r="H107" s="372"/>
      <c r="I107" s="62"/>
    </row>
    <row r="108" spans="1:9" ht="13.5" customHeight="1" x14ac:dyDescent="0.25">
      <c r="A108" s="62"/>
      <c r="B108" s="73" t="s">
        <v>341</v>
      </c>
      <c r="C108" s="17" t="s">
        <v>346</v>
      </c>
      <c r="D108" s="402"/>
      <c r="E108" s="370"/>
      <c r="F108" s="370"/>
      <c r="G108" s="370"/>
      <c r="H108" s="372"/>
      <c r="I108" s="62"/>
    </row>
    <row r="109" spans="1:9" ht="38.25" x14ac:dyDescent="0.2">
      <c r="A109" s="62"/>
      <c r="B109" s="76" t="s">
        <v>110</v>
      </c>
      <c r="C109" s="20" t="s">
        <v>54</v>
      </c>
      <c r="D109" s="18" t="s">
        <v>55</v>
      </c>
      <c r="E109" s="370"/>
      <c r="F109" s="370"/>
      <c r="G109" s="370"/>
      <c r="H109" s="372"/>
      <c r="I109" s="62"/>
    </row>
    <row r="110" spans="1:9" ht="25.5" x14ac:dyDescent="0.2">
      <c r="A110" s="62"/>
      <c r="B110" s="72" t="s">
        <v>380</v>
      </c>
      <c r="C110" s="41" t="s">
        <v>382</v>
      </c>
      <c r="D110" s="404" t="s">
        <v>384</v>
      </c>
      <c r="E110" s="370"/>
      <c r="F110" s="370"/>
      <c r="G110" s="370"/>
      <c r="H110" s="372"/>
      <c r="I110" s="62"/>
    </row>
    <row r="111" spans="1:9" ht="26.25" thickBot="1" x14ac:dyDescent="0.25">
      <c r="A111" s="62"/>
      <c r="B111" s="103" t="s">
        <v>381</v>
      </c>
      <c r="C111" s="41" t="s">
        <v>383</v>
      </c>
      <c r="D111" s="405"/>
      <c r="E111" s="371"/>
      <c r="F111" s="371"/>
      <c r="G111" s="371"/>
      <c r="H111" s="373"/>
      <c r="I111" s="62"/>
    </row>
    <row r="112" spans="1:9" ht="12.75" customHeight="1" x14ac:dyDescent="0.2">
      <c r="A112" s="62"/>
      <c r="B112" s="136" t="s">
        <v>214</v>
      </c>
      <c r="C112" s="137"/>
      <c r="D112" s="138"/>
      <c r="E112" s="242"/>
      <c r="F112" s="242"/>
      <c r="G112" s="242"/>
      <c r="H112" s="258"/>
      <c r="I112" s="62"/>
    </row>
    <row r="113" spans="1:9" ht="38.25" customHeight="1" x14ac:dyDescent="0.2">
      <c r="A113" s="62"/>
      <c r="B113" s="71" t="s">
        <v>633</v>
      </c>
      <c r="C113" s="23" t="s">
        <v>226</v>
      </c>
      <c r="D113" s="401" t="s">
        <v>578</v>
      </c>
      <c r="E113" s="370" t="s">
        <v>481</v>
      </c>
      <c r="F113" s="370" t="s">
        <v>480</v>
      </c>
      <c r="G113" s="370" t="s">
        <v>565</v>
      </c>
      <c r="H113" s="372" t="s">
        <v>563</v>
      </c>
      <c r="I113" s="62"/>
    </row>
    <row r="114" spans="1:9" ht="25.5" x14ac:dyDescent="0.2">
      <c r="A114" s="62"/>
      <c r="B114" s="76" t="s">
        <v>227</v>
      </c>
      <c r="C114" s="22" t="s">
        <v>230</v>
      </c>
      <c r="D114" s="401"/>
      <c r="E114" s="370"/>
      <c r="F114" s="370"/>
      <c r="G114" s="370"/>
      <c r="H114" s="372"/>
      <c r="I114" s="62"/>
    </row>
    <row r="115" spans="1:9" ht="27" customHeight="1" x14ac:dyDescent="0.2">
      <c r="A115" s="62"/>
      <c r="B115" s="235" t="s">
        <v>443</v>
      </c>
      <c r="C115" s="236" t="s">
        <v>445</v>
      </c>
      <c r="D115" s="401"/>
      <c r="E115" s="370"/>
      <c r="F115" s="370"/>
      <c r="G115" s="370"/>
      <c r="H115" s="372"/>
      <c r="I115" s="62"/>
    </row>
    <row r="116" spans="1:9" ht="25.5" x14ac:dyDescent="0.2">
      <c r="A116" s="62"/>
      <c r="B116" s="76" t="s">
        <v>442</v>
      </c>
      <c r="C116" s="22" t="s">
        <v>444</v>
      </c>
      <c r="D116" s="401"/>
      <c r="E116" s="370"/>
      <c r="F116" s="370"/>
      <c r="G116" s="370"/>
      <c r="H116" s="372"/>
      <c r="I116" s="62"/>
    </row>
    <row r="117" spans="1:9" ht="24.75" customHeight="1" x14ac:dyDescent="0.2">
      <c r="A117" s="62"/>
      <c r="B117" s="76" t="s">
        <v>228</v>
      </c>
      <c r="C117" s="22" t="s">
        <v>231</v>
      </c>
      <c r="D117" s="402"/>
      <c r="E117" s="370"/>
      <c r="F117" s="370"/>
      <c r="G117" s="370"/>
      <c r="H117" s="372"/>
      <c r="I117" s="62"/>
    </row>
    <row r="118" spans="1:9" ht="38.25" x14ac:dyDescent="0.2">
      <c r="A118" s="62"/>
      <c r="B118" s="76" t="s">
        <v>229</v>
      </c>
      <c r="C118" s="22" t="s">
        <v>604</v>
      </c>
      <c r="D118" s="100" t="s">
        <v>605</v>
      </c>
      <c r="E118" s="370"/>
      <c r="F118" s="370"/>
      <c r="G118" s="370"/>
      <c r="H118" s="372"/>
      <c r="I118" s="62"/>
    </row>
    <row r="119" spans="1:9" ht="39" thickBot="1" x14ac:dyDescent="0.25">
      <c r="A119" s="62"/>
      <c r="B119" s="103" t="s">
        <v>635</v>
      </c>
      <c r="C119" s="85" t="s">
        <v>582</v>
      </c>
      <c r="D119" s="99" t="s">
        <v>327</v>
      </c>
      <c r="E119" s="371"/>
      <c r="F119" s="371"/>
      <c r="G119" s="371"/>
      <c r="H119" s="373"/>
      <c r="I119" s="62"/>
    </row>
    <row r="120" spans="1:9" ht="12.75" customHeight="1" x14ac:dyDescent="0.2">
      <c r="A120" s="62"/>
      <c r="B120" s="136" t="s">
        <v>450</v>
      </c>
      <c r="C120" s="137"/>
      <c r="D120" s="138"/>
      <c r="E120" s="242"/>
      <c r="F120" s="242"/>
      <c r="G120" s="242"/>
      <c r="H120" s="258"/>
      <c r="I120" s="62"/>
    </row>
    <row r="121" spans="1:9" ht="51" x14ac:dyDescent="0.2">
      <c r="A121" s="62"/>
      <c r="B121" s="74" t="s">
        <v>447</v>
      </c>
      <c r="C121" s="41" t="s">
        <v>451</v>
      </c>
      <c r="D121" s="237" t="s">
        <v>454</v>
      </c>
      <c r="E121" s="370"/>
      <c r="F121" s="370"/>
      <c r="G121" s="370" t="s">
        <v>567</v>
      </c>
      <c r="H121" s="372" t="s">
        <v>566</v>
      </c>
      <c r="I121" s="62"/>
    </row>
    <row r="122" spans="1:9" ht="25.5" x14ac:dyDescent="0.2">
      <c r="A122" s="62"/>
      <c r="B122" s="74" t="s">
        <v>448</v>
      </c>
      <c r="C122" s="41" t="s">
        <v>452</v>
      </c>
      <c r="D122" s="404" t="s">
        <v>455</v>
      </c>
      <c r="E122" s="370"/>
      <c r="F122" s="370"/>
      <c r="G122" s="370"/>
      <c r="H122" s="372"/>
      <c r="I122" s="62"/>
    </row>
    <row r="123" spans="1:9" ht="25.5" x14ac:dyDescent="0.2">
      <c r="A123" s="62"/>
      <c r="B123" s="74" t="s">
        <v>449</v>
      </c>
      <c r="C123" s="41" t="s">
        <v>453</v>
      </c>
      <c r="D123" s="408"/>
      <c r="E123" s="370"/>
      <c r="F123" s="370"/>
      <c r="G123" s="370"/>
      <c r="H123" s="372"/>
      <c r="I123" s="62"/>
    </row>
    <row r="124" spans="1:9" ht="25.5" x14ac:dyDescent="0.2">
      <c r="A124" s="62"/>
      <c r="B124" s="74" t="s">
        <v>458</v>
      </c>
      <c r="C124" s="41" t="s">
        <v>456</v>
      </c>
      <c r="D124" s="408"/>
      <c r="E124" s="370"/>
      <c r="F124" s="370"/>
      <c r="G124" s="370"/>
      <c r="H124" s="372"/>
      <c r="I124" s="62"/>
    </row>
    <row r="125" spans="1:9" ht="25.5" x14ac:dyDescent="0.2">
      <c r="A125" s="62"/>
      <c r="B125" s="74" t="s">
        <v>459</v>
      </c>
      <c r="C125" s="41" t="s">
        <v>457</v>
      </c>
      <c r="D125" s="409"/>
      <c r="E125" s="370"/>
      <c r="F125" s="370"/>
      <c r="G125" s="370"/>
      <c r="H125" s="372"/>
      <c r="I125" s="62"/>
    </row>
    <row r="126" spans="1:9" ht="39" thickBot="1" x14ac:dyDescent="0.25">
      <c r="A126" s="62"/>
      <c r="B126" s="74" t="s">
        <v>460</v>
      </c>
      <c r="C126" s="41" t="s">
        <v>461</v>
      </c>
      <c r="D126" s="238" t="s">
        <v>462</v>
      </c>
      <c r="E126" s="371"/>
      <c r="F126" s="371"/>
      <c r="G126" s="371"/>
      <c r="H126" s="373"/>
      <c r="I126" s="62"/>
    </row>
    <row r="127" spans="1:9" ht="26.25" customHeight="1" x14ac:dyDescent="0.2">
      <c r="A127" s="62"/>
      <c r="B127" s="136" t="s">
        <v>202</v>
      </c>
      <c r="C127" s="137"/>
      <c r="D127" s="138"/>
      <c r="E127" s="242"/>
      <c r="F127" s="242"/>
      <c r="G127" s="242"/>
      <c r="H127" s="258"/>
      <c r="I127" s="62"/>
    </row>
    <row r="128" spans="1:9" ht="38.25" x14ac:dyDescent="0.2">
      <c r="A128" s="62"/>
      <c r="B128" s="71" t="s">
        <v>232</v>
      </c>
      <c r="C128" s="23" t="s">
        <v>240</v>
      </c>
      <c r="D128" s="100" t="s">
        <v>583</v>
      </c>
      <c r="E128" s="370" t="s">
        <v>499</v>
      </c>
      <c r="F128" s="370" t="s">
        <v>498</v>
      </c>
      <c r="G128" s="370" t="s">
        <v>569</v>
      </c>
      <c r="H128" s="372" t="s">
        <v>568</v>
      </c>
      <c r="I128" s="62"/>
    </row>
    <row r="129" spans="1:9" ht="14.25" customHeight="1" thickBot="1" x14ac:dyDescent="0.25">
      <c r="A129" s="62"/>
      <c r="B129" s="76" t="s">
        <v>233</v>
      </c>
      <c r="C129" s="16" t="s">
        <v>241</v>
      </c>
      <c r="D129" s="381" t="s">
        <v>584</v>
      </c>
      <c r="E129" s="370"/>
      <c r="F129" s="370"/>
      <c r="G129" s="370"/>
      <c r="H129" s="372"/>
      <c r="I129" s="62"/>
    </row>
    <row r="130" spans="1:9" ht="27" customHeight="1" thickBot="1" x14ac:dyDescent="0.25">
      <c r="A130" s="62"/>
      <c r="B130" s="103" t="s">
        <v>234</v>
      </c>
      <c r="C130" s="67" t="s">
        <v>242</v>
      </c>
      <c r="D130" s="382"/>
      <c r="E130" s="371"/>
      <c r="F130" s="371"/>
      <c r="G130" s="371"/>
      <c r="H130" s="373"/>
      <c r="I130" s="62"/>
    </row>
    <row r="131" spans="1:9" ht="13.5" customHeight="1" x14ac:dyDescent="0.2">
      <c r="A131" s="62"/>
      <c r="B131" s="136" t="s">
        <v>267</v>
      </c>
      <c r="C131" s="137"/>
      <c r="D131" s="138"/>
      <c r="E131" s="242"/>
      <c r="F131" s="242"/>
      <c r="G131" s="242"/>
      <c r="H131" s="258"/>
      <c r="I131" s="62"/>
    </row>
    <row r="132" spans="1:9" ht="80.25" customHeight="1" x14ac:dyDescent="0.2">
      <c r="A132" s="62"/>
      <c r="B132" s="68" t="s">
        <v>301</v>
      </c>
      <c r="C132" s="41" t="s">
        <v>585</v>
      </c>
      <c r="D132" s="100" t="s">
        <v>105</v>
      </c>
      <c r="E132" s="370" t="s">
        <v>490</v>
      </c>
      <c r="F132" s="370" t="s">
        <v>491</v>
      </c>
      <c r="G132" s="370" t="s">
        <v>570</v>
      </c>
      <c r="H132" s="372" t="s">
        <v>571</v>
      </c>
      <c r="I132" s="62"/>
    </row>
    <row r="133" spans="1:9" ht="41.25" customHeight="1" thickBot="1" x14ac:dyDescent="0.25">
      <c r="A133" s="62"/>
      <c r="B133" s="103" t="s">
        <v>23</v>
      </c>
      <c r="C133" s="67" t="s">
        <v>103</v>
      </c>
      <c r="D133" s="99" t="s">
        <v>104</v>
      </c>
      <c r="E133" s="370"/>
      <c r="F133" s="370"/>
      <c r="G133" s="370"/>
      <c r="H133" s="372"/>
      <c r="I133" s="62"/>
    </row>
    <row r="134" spans="1:9" ht="15" customHeight="1" x14ac:dyDescent="0.2">
      <c r="A134" s="62"/>
      <c r="B134" s="136" t="s">
        <v>268</v>
      </c>
      <c r="C134" s="137"/>
      <c r="D134" s="138"/>
      <c r="E134" s="246"/>
      <c r="F134" s="246"/>
      <c r="G134" s="246"/>
      <c r="H134" s="259"/>
      <c r="I134" s="62"/>
    </row>
    <row r="135" spans="1:9" ht="39.75" customHeight="1" x14ac:dyDescent="0.2">
      <c r="A135" s="62"/>
      <c r="B135" s="68" t="s">
        <v>24</v>
      </c>
      <c r="C135" s="16" t="s">
        <v>18</v>
      </c>
      <c r="D135" s="100" t="s">
        <v>586</v>
      </c>
      <c r="E135" s="370" t="s">
        <v>490</v>
      </c>
      <c r="F135" s="370" t="s">
        <v>489</v>
      </c>
      <c r="G135" s="370" t="s">
        <v>570</v>
      </c>
      <c r="H135" s="372" t="s">
        <v>573</v>
      </c>
      <c r="I135" s="62"/>
    </row>
    <row r="136" spans="1:9" ht="40.5" customHeight="1" thickBot="1" x14ac:dyDescent="0.25">
      <c r="A136" s="62"/>
      <c r="B136" s="69" t="s">
        <v>302</v>
      </c>
      <c r="C136" s="16" t="s">
        <v>17</v>
      </c>
      <c r="D136" s="100" t="s">
        <v>587</v>
      </c>
      <c r="E136" s="370"/>
      <c r="F136" s="370"/>
      <c r="G136" s="370"/>
      <c r="H136" s="372"/>
      <c r="I136" s="62"/>
    </row>
    <row r="137" spans="1:9" x14ac:dyDescent="0.2">
      <c r="A137" s="62"/>
      <c r="B137" s="136" t="s">
        <v>262</v>
      </c>
      <c r="C137" s="137"/>
      <c r="D137" s="138"/>
      <c r="E137" s="243"/>
      <c r="F137" s="243"/>
      <c r="G137" s="243"/>
      <c r="H137" s="260"/>
      <c r="I137" s="62"/>
    </row>
    <row r="138" spans="1:9" ht="51" x14ac:dyDescent="0.2">
      <c r="A138" s="62"/>
      <c r="B138" s="74" t="s">
        <v>235</v>
      </c>
      <c r="C138" s="41" t="s">
        <v>349</v>
      </c>
      <c r="D138" s="100" t="s">
        <v>354</v>
      </c>
      <c r="E138" s="370"/>
      <c r="F138" s="370"/>
      <c r="G138" s="370"/>
      <c r="H138" s="372"/>
      <c r="I138" s="62"/>
    </row>
    <row r="139" spans="1:9" ht="38.25" customHeight="1" x14ac:dyDescent="0.2">
      <c r="A139" s="62"/>
      <c r="B139" s="72" t="s">
        <v>236</v>
      </c>
      <c r="C139" s="40" t="s">
        <v>350</v>
      </c>
      <c r="D139" s="18" t="s">
        <v>355</v>
      </c>
      <c r="E139" s="370"/>
      <c r="F139" s="370"/>
      <c r="G139" s="370"/>
      <c r="H139" s="372"/>
      <c r="I139" s="62"/>
    </row>
    <row r="140" spans="1:9" ht="39" thickBot="1" x14ac:dyDescent="0.25">
      <c r="A140" s="62"/>
      <c r="B140" s="72" t="s">
        <v>237</v>
      </c>
      <c r="C140" s="40" t="s">
        <v>353</v>
      </c>
      <c r="D140" s="381" t="s">
        <v>352</v>
      </c>
      <c r="E140" s="370"/>
      <c r="F140" s="370"/>
      <c r="G140" s="370"/>
      <c r="H140" s="372"/>
      <c r="I140" s="62"/>
    </row>
    <row r="141" spans="1:9" ht="39" customHeight="1" thickBot="1" x14ac:dyDescent="0.25">
      <c r="A141" s="62"/>
      <c r="B141" s="84" t="s">
        <v>239</v>
      </c>
      <c r="C141" s="85" t="s">
        <v>351</v>
      </c>
      <c r="D141" s="382"/>
      <c r="E141" s="371"/>
      <c r="F141" s="371"/>
      <c r="G141" s="371"/>
      <c r="H141" s="373"/>
      <c r="I141" s="62"/>
    </row>
    <row r="142" spans="1:9" ht="12.75" customHeight="1" x14ac:dyDescent="0.2">
      <c r="A142" s="62"/>
      <c r="B142" s="136" t="s">
        <v>263</v>
      </c>
      <c r="C142" s="137"/>
      <c r="D142" s="138"/>
      <c r="E142" s="242"/>
      <c r="F142" s="242"/>
      <c r="G142" s="242"/>
      <c r="H142" s="258"/>
      <c r="I142" s="62"/>
    </row>
    <row r="143" spans="1:9" ht="13.5" customHeight="1" x14ac:dyDescent="0.2">
      <c r="A143" s="62"/>
      <c r="B143" s="68" t="s">
        <v>300</v>
      </c>
      <c r="C143" s="16" t="s">
        <v>19</v>
      </c>
      <c r="D143" s="100"/>
      <c r="E143" s="370" t="s">
        <v>483</v>
      </c>
      <c r="F143" s="370" t="s">
        <v>482</v>
      </c>
      <c r="G143" s="370" t="s">
        <v>575</v>
      </c>
      <c r="H143" s="372" t="s">
        <v>574</v>
      </c>
      <c r="I143" s="62"/>
    </row>
    <row r="144" spans="1:9" ht="13.5" customHeight="1" x14ac:dyDescent="0.2">
      <c r="A144" s="62"/>
      <c r="B144" s="69" t="s">
        <v>312</v>
      </c>
      <c r="C144" s="17" t="s">
        <v>20</v>
      </c>
      <c r="D144" s="18" t="s">
        <v>26</v>
      </c>
      <c r="E144" s="370"/>
      <c r="F144" s="370"/>
      <c r="G144" s="370"/>
      <c r="H144" s="372"/>
      <c r="I144" s="62"/>
    </row>
    <row r="145" spans="1:9" ht="51.75" thickBot="1" x14ac:dyDescent="0.25">
      <c r="A145" s="62"/>
      <c r="B145" s="80" t="s">
        <v>313</v>
      </c>
      <c r="C145" s="67" t="s">
        <v>368</v>
      </c>
      <c r="D145" s="99" t="s">
        <v>25</v>
      </c>
      <c r="E145" s="371"/>
      <c r="F145" s="371"/>
      <c r="G145" s="371"/>
      <c r="H145" s="373"/>
      <c r="I145" s="62"/>
    </row>
    <row r="146" spans="1:9" ht="12.75" customHeight="1" x14ac:dyDescent="0.2">
      <c r="A146" s="62"/>
      <c r="B146" s="136" t="s">
        <v>264</v>
      </c>
      <c r="C146" s="137"/>
      <c r="D146" s="138"/>
      <c r="E146" s="242"/>
      <c r="F146" s="242"/>
      <c r="G146" s="242"/>
      <c r="H146" s="258"/>
      <c r="I146" s="62"/>
    </row>
    <row r="147" spans="1:9" ht="13.5" customHeight="1" x14ac:dyDescent="0.2">
      <c r="A147" s="62"/>
      <c r="B147" s="68" t="s">
        <v>310</v>
      </c>
      <c r="C147" s="16" t="s">
        <v>21</v>
      </c>
      <c r="D147" s="100"/>
      <c r="E147" s="370" t="s">
        <v>485</v>
      </c>
      <c r="F147" s="370" t="s">
        <v>484</v>
      </c>
      <c r="G147" s="370" t="s">
        <v>577</v>
      </c>
      <c r="H147" s="372" t="s">
        <v>576</v>
      </c>
      <c r="I147" s="62"/>
    </row>
    <row r="148" spans="1:9" ht="15.75" customHeight="1" thickBot="1" x14ac:dyDescent="0.25">
      <c r="A148" s="62"/>
      <c r="B148" s="69" t="s">
        <v>309</v>
      </c>
      <c r="C148" s="20" t="s">
        <v>324</v>
      </c>
      <c r="D148" s="381" t="s">
        <v>588</v>
      </c>
      <c r="E148" s="370"/>
      <c r="F148" s="370"/>
      <c r="G148" s="370"/>
      <c r="H148" s="372"/>
      <c r="I148" s="62"/>
    </row>
    <row r="149" spans="1:9" ht="39" thickBot="1" x14ac:dyDescent="0.25">
      <c r="A149" s="62"/>
      <c r="B149" s="80" t="s">
        <v>311</v>
      </c>
      <c r="C149" s="85" t="s">
        <v>325</v>
      </c>
      <c r="D149" s="382"/>
      <c r="E149" s="371"/>
      <c r="F149" s="371"/>
      <c r="G149" s="371"/>
      <c r="H149" s="373"/>
      <c r="I149" s="62"/>
    </row>
    <row r="150" spans="1:9" x14ac:dyDescent="0.2">
      <c r="A150" s="62"/>
      <c r="B150" s="136" t="s">
        <v>259</v>
      </c>
      <c r="C150" s="137"/>
      <c r="D150" s="138"/>
      <c r="E150" s="242"/>
      <c r="F150" s="242"/>
      <c r="G150" s="242"/>
      <c r="H150" s="258"/>
      <c r="I150" s="62"/>
    </row>
    <row r="151" spans="1:9" ht="13.5" customHeight="1" x14ac:dyDescent="0.2">
      <c r="A151" s="62"/>
      <c r="B151" s="68" t="s">
        <v>295</v>
      </c>
      <c r="C151" s="16" t="s">
        <v>9</v>
      </c>
      <c r="D151" s="100"/>
      <c r="E151" s="370" t="s">
        <v>487</v>
      </c>
      <c r="F151" s="370" t="s">
        <v>488</v>
      </c>
      <c r="G151" s="366"/>
      <c r="H151" s="368"/>
      <c r="I151" s="62"/>
    </row>
    <row r="152" spans="1:9" ht="26.25" thickBot="1" x14ac:dyDescent="0.25">
      <c r="A152" s="62"/>
      <c r="B152" s="80" t="s">
        <v>304</v>
      </c>
      <c r="C152" s="81" t="s">
        <v>10</v>
      </c>
      <c r="D152" s="99" t="s">
        <v>238</v>
      </c>
      <c r="E152" s="370"/>
      <c r="F152" s="370"/>
      <c r="G152" s="366"/>
      <c r="H152" s="368"/>
      <c r="I152" s="62"/>
    </row>
    <row r="153" spans="1:9" ht="15" customHeight="1" x14ac:dyDescent="0.2">
      <c r="A153" s="62"/>
      <c r="B153" s="136" t="s">
        <v>260</v>
      </c>
      <c r="C153" s="137"/>
      <c r="D153" s="138"/>
      <c r="E153" s="243"/>
      <c r="F153" s="243"/>
      <c r="G153" s="243"/>
      <c r="H153" s="260"/>
      <c r="I153" s="62"/>
    </row>
    <row r="154" spans="1:9" ht="13.5" customHeight="1" x14ac:dyDescent="0.25">
      <c r="A154" s="62"/>
      <c r="B154" s="77" t="s">
        <v>296</v>
      </c>
      <c r="C154" s="16" t="s">
        <v>11</v>
      </c>
      <c r="D154" s="100"/>
      <c r="E154" s="370" t="s">
        <v>487</v>
      </c>
      <c r="F154" s="370" t="s">
        <v>486</v>
      </c>
      <c r="G154" s="366"/>
      <c r="H154" s="368"/>
      <c r="I154" s="62"/>
    </row>
    <row r="155" spans="1:9" ht="13.5" customHeight="1" x14ac:dyDescent="0.25">
      <c r="A155" s="62"/>
      <c r="B155" s="77" t="s">
        <v>29</v>
      </c>
      <c r="C155" s="16" t="s">
        <v>58</v>
      </c>
      <c r="D155" s="100"/>
      <c r="E155" s="370"/>
      <c r="F155" s="370"/>
      <c r="G155" s="366"/>
      <c r="H155" s="368"/>
      <c r="I155" s="62"/>
    </row>
    <row r="156" spans="1:9" ht="13.5" customHeight="1" x14ac:dyDescent="0.25">
      <c r="A156" s="62"/>
      <c r="B156" s="73" t="s">
        <v>297</v>
      </c>
      <c r="C156" s="17" t="s">
        <v>12</v>
      </c>
      <c r="D156" s="18"/>
      <c r="E156" s="370"/>
      <c r="F156" s="370"/>
      <c r="G156" s="366"/>
      <c r="H156" s="368"/>
      <c r="I156" s="62"/>
    </row>
    <row r="157" spans="1:9" ht="27" customHeight="1" x14ac:dyDescent="0.25">
      <c r="A157" s="62"/>
      <c r="B157" s="73" t="s">
        <v>298</v>
      </c>
      <c r="C157" s="17" t="s">
        <v>13</v>
      </c>
      <c r="D157" s="18"/>
      <c r="E157" s="370"/>
      <c r="F157" s="370"/>
      <c r="G157" s="366"/>
      <c r="H157" s="368"/>
      <c r="I157" s="62"/>
    </row>
    <row r="158" spans="1:9" ht="14.25" customHeight="1" thickBot="1" x14ac:dyDescent="0.3">
      <c r="A158" s="62"/>
      <c r="B158" s="83" t="s">
        <v>307</v>
      </c>
      <c r="C158" s="81" t="s">
        <v>14</v>
      </c>
      <c r="D158" s="99"/>
      <c r="E158" s="370"/>
      <c r="F158" s="370"/>
      <c r="G158" s="366"/>
      <c r="H158" s="368"/>
      <c r="I158" s="62"/>
    </row>
    <row r="159" spans="1:9" ht="12.75" customHeight="1" x14ac:dyDescent="0.2">
      <c r="A159" s="62"/>
      <c r="B159" s="136" t="s">
        <v>261</v>
      </c>
      <c r="C159" s="137"/>
      <c r="D159" s="138"/>
      <c r="E159" s="243"/>
      <c r="F159" s="243"/>
      <c r="G159" s="243"/>
      <c r="H159" s="260"/>
      <c r="I159" s="62"/>
    </row>
    <row r="160" spans="1:9" ht="13.5" customHeight="1" x14ac:dyDescent="0.2">
      <c r="A160" s="62"/>
      <c r="B160" s="68" t="s">
        <v>299</v>
      </c>
      <c r="C160" s="16" t="s">
        <v>16</v>
      </c>
      <c r="D160" s="100"/>
      <c r="E160" s="370"/>
      <c r="F160" s="370"/>
      <c r="G160" s="366"/>
      <c r="H160" s="368"/>
      <c r="I160" s="62"/>
    </row>
    <row r="161" spans="1:9" ht="14.25" customHeight="1" thickBot="1" x14ac:dyDescent="0.25">
      <c r="A161" s="62"/>
      <c r="B161" s="78" t="s">
        <v>306</v>
      </c>
      <c r="C161" s="79" t="s">
        <v>15</v>
      </c>
      <c r="D161" s="102"/>
      <c r="E161" s="371"/>
      <c r="F161" s="371"/>
      <c r="G161" s="367"/>
      <c r="H161" s="369"/>
      <c r="I161" s="62"/>
    </row>
    <row r="162" spans="1:9" ht="13.5" thickBot="1" x14ac:dyDescent="0.25">
      <c r="A162" s="62"/>
      <c r="B162" s="62"/>
      <c r="C162" s="62"/>
      <c r="D162" s="62"/>
      <c r="E162" s="62"/>
      <c r="F162" s="62"/>
      <c r="G162" s="62"/>
      <c r="H162" s="62"/>
      <c r="I162" s="62"/>
    </row>
    <row r="163" spans="1:9" x14ac:dyDescent="0.2">
      <c r="A163" s="62"/>
      <c r="B163" s="395" t="s">
        <v>502</v>
      </c>
      <c r="C163" s="395"/>
      <c r="D163" s="383" t="s">
        <v>503</v>
      </c>
      <c r="E163" s="384"/>
      <c r="F163" s="385"/>
      <c r="G163" s="62"/>
      <c r="H163" s="62"/>
      <c r="I163" s="62"/>
    </row>
    <row r="164" spans="1:9" x14ac:dyDescent="0.2">
      <c r="A164" s="62"/>
      <c r="B164" s="393" t="s">
        <v>530</v>
      </c>
      <c r="C164" s="394"/>
      <c r="D164" s="386" t="s">
        <v>589</v>
      </c>
      <c r="E164" s="387"/>
      <c r="F164" s="388"/>
      <c r="G164" s="62"/>
      <c r="H164" s="62"/>
      <c r="I164" s="62"/>
    </row>
    <row r="165" spans="1:9" ht="14.25" customHeight="1" x14ac:dyDescent="0.2">
      <c r="A165" s="62"/>
      <c r="B165" s="412" t="s">
        <v>600</v>
      </c>
      <c r="C165" s="413"/>
      <c r="D165" s="378" t="s">
        <v>598</v>
      </c>
      <c r="E165" s="379"/>
      <c r="F165" s="380"/>
      <c r="G165" s="62"/>
      <c r="H165" s="62"/>
      <c r="I165" s="62"/>
    </row>
    <row r="166" spans="1:9" x14ac:dyDescent="0.2">
      <c r="A166" s="62"/>
      <c r="B166" s="412" t="s">
        <v>531</v>
      </c>
      <c r="C166" s="413"/>
      <c r="D166" s="378" t="s">
        <v>596</v>
      </c>
      <c r="E166" s="379"/>
      <c r="F166" s="380"/>
      <c r="G166" s="62"/>
      <c r="H166" s="62"/>
      <c r="I166" s="62"/>
    </row>
    <row r="167" spans="1:9" x14ac:dyDescent="0.2">
      <c r="A167" s="62"/>
      <c r="B167" s="412" t="s">
        <v>532</v>
      </c>
      <c r="C167" s="413"/>
      <c r="D167" s="378" t="s">
        <v>597</v>
      </c>
      <c r="E167" s="379"/>
      <c r="F167" s="380"/>
      <c r="G167" s="62"/>
      <c r="H167" s="62"/>
      <c r="I167" s="62"/>
    </row>
    <row r="168" spans="1:9" ht="13.5" thickBot="1" x14ac:dyDescent="0.25">
      <c r="A168" s="62"/>
      <c r="B168" s="410"/>
      <c r="C168" s="411"/>
      <c r="D168" s="396" t="s">
        <v>599</v>
      </c>
      <c r="E168" s="397"/>
      <c r="F168" s="398"/>
      <c r="G168" s="62"/>
      <c r="H168" s="62"/>
      <c r="I168" s="62"/>
    </row>
    <row r="169" spans="1:9" ht="13.5" thickBot="1" x14ac:dyDescent="0.25">
      <c r="A169" s="62"/>
      <c r="B169" s="62"/>
      <c r="C169" s="62"/>
      <c r="D169" s="62"/>
      <c r="E169" s="62"/>
      <c r="F169" s="62"/>
      <c r="G169" s="62"/>
      <c r="H169" s="62"/>
      <c r="I169" s="62"/>
    </row>
    <row r="170" spans="1:9" x14ac:dyDescent="0.2">
      <c r="A170" s="62"/>
      <c r="B170" s="395" t="s">
        <v>500</v>
      </c>
      <c r="C170" s="395"/>
      <c r="D170" s="383" t="s">
        <v>515</v>
      </c>
      <c r="E170" s="384"/>
      <c r="F170" s="385"/>
      <c r="G170" s="62"/>
      <c r="H170" s="62"/>
      <c r="I170" s="62"/>
    </row>
    <row r="171" spans="1:9" x14ac:dyDescent="0.2">
      <c r="A171" s="62"/>
      <c r="B171" s="393" t="s">
        <v>533</v>
      </c>
      <c r="C171" s="394"/>
      <c r="D171" s="386" t="s">
        <v>529</v>
      </c>
      <c r="E171" s="387"/>
      <c r="F171" s="388"/>
      <c r="G171" s="62"/>
      <c r="H171" s="62"/>
      <c r="I171" s="62"/>
    </row>
    <row r="172" spans="1:9" x14ac:dyDescent="0.2">
      <c r="A172" s="62"/>
      <c r="B172" s="393" t="s">
        <v>534</v>
      </c>
      <c r="C172" s="394"/>
      <c r="D172" s="378" t="s">
        <v>524</v>
      </c>
      <c r="E172" s="379"/>
      <c r="F172" s="380"/>
      <c r="G172" s="62"/>
      <c r="H172" s="62"/>
      <c r="I172" s="62"/>
    </row>
    <row r="173" spans="1:9" x14ac:dyDescent="0.2">
      <c r="A173" s="62"/>
      <c r="B173" s="393" t="s">
        <v>535</v>
      </c>
      <c r="C173" s="394"/>
      <c r="D173" s="378" t="s">
        <v>525</v>
      </c>
      <c r="E173" s="379"/>
      <c r="F173" s="380"/>
      <c r="G173" s="62"/>
      <c r="H173" s="62"/>
      <c r="I173" s="62"/>
    </row>
    <row r="174" spans="1:9" x14ac:dyDescent="0.2">
      <c r="A174" s="62"/>
      <c r="B174" s="412" t="s">
        <v>536</v>
      </c>
      <c r="C174" s="413"/>
      <c r="D174" s="378" t="s">
        <v>521</v>
      </c>
      <c r="E174" s="379"/>
      <c r="F174" s="380"/>
      <c r="G174" s="62"/>
      <c r="H174" s="62"/>
      <c r="I174" s="62"/>
    </row>
    <row r="175" spans="1:9" x14ac:dyDescent="0.2">
      <c r="A175" s="62"/>
      <c r="B175" s="412"/>
      <c r="C175" s="413"/>
      <c r="D175" s="378" t="s">
        <v>545</v>
      </c>
      <c r="E175" s="379"/>
      <c r="F175" s="380"/>
      <c r="G175" s="62"/>
      <c r="H175" s="62"/>
      <c r="I175" s="62"/>
    </row>
    <row r="176" spans="1:9" x14ac:dyDescent="0.2">
      <c r="A176" s="62"/>
      <c r="B176" s="393"/>
      <c r="C176" s="394"/>
      <c r="D176" s="378" t="s">
        <v>526</v>
      </c>
      <c r="E176" s="379"/>
      <c r="F176" s="380"/>
      <c r="G176" s="62"/>
      <c r="H176" s="62"/>
      <c r="I176" s="62"/>
    </row>
    <row r="177" spans="1:9" x14ac:dyDescent="0.2">
      <c r="A177" s="62"/>
      <c r="B177" s="393"/>
      <c r="C177" s="394"/>
      <c r="D177" s="378" t="s">
        <v>514</v>
      </c>
      <c r="E177" s="379"/>
      <c r="F177" s="380"/>
      <c r="G177" s="62"/>
      <c r="H177" s="62"/>
      <c r="I177" s="62"/>
    </row>
    <row r="178" spans="1:9" x14ac:dyDescent="0.2">
      <c r="A178" s="62"/>
      <c r="B178" s="393"/>
      <c r="C178" s="394"/>
      <c r="D178" s="378" t="s">
        <v>527</v>
      </c>
      <c r="E178" s="379"/>
      <c r="F178" s="380"/>
      <c r="G178" s="62"/>
      <c r="H178" s="62"/>
      <c r="I178" s="62"/>
    </row>
    <row r="179" spans="1:9" x14ac:dyDescent="0.2">
      <c r="A179" s="62"/>
      <c r="B179" s="393"/>
      <c r="C179" s="394"/>
      <c r="D179" s="378" t="s">
        <v>590</v>
      </c>
      <c r="E179" s="379"/>
      <c r="F179" s="380"/>
      <c r="G179" s="62"/>
      <c r="H179" s="62"/>
      <c r="I179" s="62"/>
    </row>
    <row r="180" spans="1:9" x14ac:dyDescent="0.2">
      <c r="A180" s="62"/>
      <c r="B180" s="393"/>
      <c r="C180" s="394"/>
      <c r="D180" s="378" t="s">
        <v>592</v>
      </c>
      <c r="E180" s="379"/>
      <c r="F180" s="380"/>
      <c r="G180" s="62"/>
      <c r="H180" s="62"/>
      <c r="I180" s="62"/>
    </row>
    <row r="181" spans="1:9" x14ac:dyDescent="0.2">
      <c r="A181" s="62"/>
      <c r="B181" s="393"/>
      <c r="C181" s="394"/>
      <c r="D181" s="378" t="s">
        <v>591</v>
      </c>
      <c r="E181" s="379"/>
      <c r="F181" s="380"/>
      <c r="G181" s="62"/>
      <c r="H181" s="62"/>
      <c r="I181" s="62"/>
    </row>
    <row r="182" spans="1:9" x14ac:dyDescent="0.2">
      <c r="A182" s="62"/>
      <c r="B182" s="393"/>
      <c r="C182" s="394"/>
      <c r="D182" s="378" t="s">
        <v>593</v>
      </c>
      <c r="E182" s="379"/>
      <c r="F182" s="380"/>
      <c r="G182" s="62"/>
      <c r="H182" s="62"/>
      <c r="I182" s="62"/>
    </row>
    <row r="183" spans="1:9" x14ac:dyDescent="0.2">
      <c r="A183" s="62"/>
      <c r="B183" s="393"/>
      <c r="C183" s="394"/>
      <c r="D183" s="378" t="s">
        <v>538</v>
      </c>
      <c r="E183" s="379"/>
      <c r="F183" s="380"/>
      <c r="G183" s="62"/>
      <c r="H183" s="62"/>
      <c r="I183" s="62"/>
    </row>
    <row r="184" spans="1:9" x14ac:dyDescent="0.2">
      <c r="A184" s="62"/>
      <c r="B184" s="393"/>
      <c r="C184" s="394"/>
      <c r="D184" s="378" t="s">
        <v>540</v>
      </c>
      <c r="E184" s="379"/>
      <c r="F184" s="380"/>
      <c r="G184" s="62"/>
      <c r="H184" s="62"/>
      <c r="I184" s="62"/>
    </row>
    <row r="185" spans="1:9" x14ac:dyDescent="0.2">
      <c r="A185" s="62"/>
      <c r="B185" s="393"/>
      <c r="C185" s="394"/>
      <c r="D185" s="378" t="s">
        <v>539</v>
      </c>
      <c r="E185" s="379"/>
      <c r="F185" s="380"/>
      <c r="G185" s="62"/>
      <c r="H185" s="62"/>
      <c r="I185" s="62"/>
    </row>
    <row r="186" spans="1:9" x14ac:dyDescent="0.2">
      <c r="A186" s="62"/>
      <c r="B186" s="393"/>
      <c r="C186" s="394"/>
      <c r="D186" s="378" t="s">
        <v>541</v>
      </c>
      <c r="E186" s="379"/>
      <c r="F186" s="380"/>
      <c r="G186" s="62"/>
      <c r="H186" s="62"/>
      <c r="I186" s="62"/>
    </row>
    <row r="187" spans="1:9" x14ac:dyDescent="0.2">
      <c r="A187" s="62"/>
      <c r="B187" s="393"/>
      <c r="C187" s="394"/>
      <c r="D187" s="378" t="s">
        <v>542</v>
      </c>
      <c r="E187" s="379"/>
      <c r="F187" s="380"/>
      <c r="G187" s="62"/>
      <c r="H187" s="62"/>
      <c r="I187" s="62"/>
    </row>
    <row r="188" spans="1:9" x14ac:dyDescent="0.2">
      <c r="A188" s="62"/>
      <c r="B188" s="393"/>
      <c r="C188" s="394"/>
      <c r="D188" s="378" t="s">
        <v>547</v>
      </c>
      <c r="E188" s="379"/>
      <c r="F188" s="380"/>
      <c r="G188" s="62"/>
      <c r="H188" s="62"/>
      <c r="I188" s="62"/>
    </row>
    <row r="189" spans="1:9" x14ac:dyDescent="0.2">
      <c r="A189" s="62"/>
      <c r="B189" s="393"/>
      <c r="C189" s="394"/>
      <c r="D189" s="378" t="s">
        <v>543</v>
      </c>
      <c r="E189" s="379"/>
      <c r="F189" s="380"/>
      <c r="G189" s="62"/>
      <c r="H189" s="62"/>
      <c r="I189" s="62"/>
    </row>
    <row r="190" spans="1:9" x14ac:dyDescent="0.2">
      <c r="A190" s="62"/>
      <c r="B190" s="393"/>
      <c r="C190" s="394"/>
      <c r="D190" s="378" t="s">
        <v>517</v>
      </c>
      <c r="E190" s="379"/>
      <c r="F190" s="380"/>
      <c r="G190" s="62"/>
      <c r="H190" s="62"/>
      <c r="I190" s="62"/>
    </row>
    <row r="191" spans="1:9" x14ac:dyDescent="0.2">
      <c r="A191" s="62"/>
      <c r="B191" s="393"/>
      <c r="C191" s="394"/>
      <c r="D191" s="378" t="s">
        <v>553</v>
      </c>
      <c r="E191" s="379"/>
      <c r="F191" s="380"/>
      <c r="G191" s="62"/>
      <c r="H191" s="62"/>
      <c r="I191" s="62"/>
    </row>
    <row r="192" spans="1:9" x14ac:dyDescent="0.2">
      <c r="A192" s="62"/>
      <c r="B192" s="393"/>
      <c r="C192" s="394"/>
      <c r="D192" s="378" t="s">
        <v>594</v>
      </c>
      <c r="E192" s="379"/>
      <c r="F192" s="380"/>
      <c r="G192" s="62"/>
      <c r="H192" s="62"/>
      <c r="I192" s="62"/>
    </row>
    <row r="193" spans="1:9" x14ac:dyDescent="0.2">
      <c r="A193" s="62"/>
      <c r="B193" s="393"/>
      <c r="C193" s="394"/>
      <c r="D193" s="378" t="s">
        <v>595</v>
      </c>
      <c r="E193" s="379"/>
      <c r="F193" s="380"/>
      <c r="G193" s="62"/>
      <c r="H193" s="62"/>
      <c r="I193" s="62"/>
    </row>
    <row r="194" spans="1:9" x14ac:dyDescent="0.2">
      <c r="A194" s="62"/>
      <c r="B194" s="393"/>
      <c r="C194" s="394"/>
      <c r="D194" s="378" t="s">
        <v>511</v>
      </c>
      <c r="E194" s="379"/>
      <c r="F194" s="380"/>
      <c r="G194" s="62"/>
      <c r="H194" s="62"/>
      <c r="I194" s="62"/>
    </row>
    <row r="195" spans="1:9" x14ac:dyDescent="0.2">
      <c r="A195" s="62"/>
      <c r="B195" s="393"/>
      <c r="C195" s="394"/>
      <c r="D195" s="378" t="s">
        <v>564</v>
      </c>
      <c r="E195" s="379"/>
      <c r="F195" s="380"/>
      <c r="G195" s="62"/>
      <c r="H195" s="62"/>
      <c r="I195" s="62"/>
    </row>
    <row r="196" spans="1:9" ht="12.75" customHeight="1" x14ac:dyDescent="0.2">
      <c r="A196" s="62"/>
      <c r="B196" s="393"/>
      <c r="C196" s="394"/>
      <c r="D196" s="378" t="s">
        <v>555</v>
      </c>
      <c r="E196" s="379"/>
      <c r="F196" s="380"/>
      <c r="G196" s="62"/>
      <c r="H196" s="62"/>
      <c r="I196" s="62"/>
    </row>
    <row r="197" spans="1:9" ht="13.5" thickBot="1" x14ac:dyDescent="0.25">
      <c r="A197" s="62"/>
      <c r="B197" s="410"/>
      <c r="C197" s="411"/>
      <c r="D197" s="396" t="s">
        <v>572</v>
      </c>
      <c r="E197" s="397"/>
      <c r="F197" s="398"/>
      <c r="G197" s="62"/>
      <c r="H197" s="62"/>
      <c r="I197" s="62"/>
    </row>
    <row r="198" spans="1:9" ht="13.5" thickBot="1" x14ac:dyDescent="0.25">
      <c r="A198" s="62"/>
      <c r="B198" s="62"/>
      <c r="C198" s="62"/>
      <c r="D198" s="62"/>
      <c r="E198" s="62"/>
      <c r="F198" s="62"/>
      <c r="G198" s="62"/>
      <c r="H198" s="62"/>
      <c r="I198" s="62"/>
    </row>
    <row r="199" spans="1:9" x14ac:dyDescent="0.2">
      <c r="A199" s="62"/>
      <c r="B199" s="395" t="s">
        <v>501</v>
      </c>
      <c r="C199" s="395"/>
      <c r="D199" s="383" t="s">
        <v>506</v>
      </c>
      <c r="E199" s="384"/>
      <c r="F199" s="385"/>
      <c r="G199" s="62"/>
      <c r="H199" s="62"/>
      <c r="I199" s="62"/>
    </row>
    <row r="200" spans="1:9" x14ac:dyDescent="0.2">
      <c r="A200" s="62"/>
      <c r="B200" s="247" t="s">
        <v>601</v>
      </c>
      <c r="C200" s="250">
        <v>80</v>
      </c>
      <c r="D200" s="247" t="s">
        <v>601</v>
      </c>
      <c r="E200" s="389">
        <f>96+4</f>
        <v>100</v>
      </c>
      <c r="F200" s="390"/>
      <c r="G200" s="62"/>
      <c r="H200" s="62"/>
      <c r="I200" s="62"/>
    </row>
    <row r="201" spans="1:9" x14ac:dyDescent="0.2">
      <c r="A201" s="62"/>
      <c r="B201" s="248" t="s">
        <v>504</v>
      </c>
      <c r="C201" s="251">
        <v>76</v>
      </c>
      <c r="D201" s="253" t="s">
        <v>504</v>
      </c>
      <c r="E201" s="389">
        <v>95</v>
      </c>
      <c r="F201" s="390"/>
      <c r="G201" s="62"/>
      <c r="H201" s="62"/>
      <c r="I201" s="62"/>
    </row>
    <row r="202" spans="1:9" ht="13.5" thickBot="1" x14ac:dyDescent="0.25">
      <c r="A202" s="62"/>
      <c r="B202" s="249" t="s">
        <v>505</v>
      </c>
      <c r="C202" s="252">
        <f>C201/C200</f>
        <v>0.95</v>
      </c>
      <c r="D202" s="254" t="s">
        <v>505</v>
      </c>
      <c r="E202" s="391">
        <f>E201/E200</f>
        <v>0.95</v>
      </c>
      <c r="F202" s="392"/>
      <c r="G202" s="62"/>
      <c r="H202" s="62"/>
      <c r="I202" s="62"/>
    </row>
    <row r="203" spans="1:9" x14ac:dyDescent="0.2">
      <c r="A203" s="62"/>
      <c r="B203" s="62"/>
      <c r="C203" s="62"/>
      <c r="D203" s="62"/>
      <c r="E203" s="62"/>
      <c r="F203" s="62"/>
      <c r="G203" s="62"/>
      <c r="H203" s="62"/>
      <c r="I203" s="62"/>
    </row>
    <row r="204" spans="1:9" x14ac:dyDescent="0.2">
      <c r="A204" s="62"/>
      <c r="B204" s="62"/>
      <c r="C204" s="62"/>
      <c r="D204" s="62"/>
      <c r="E204" s="62"/>
      <c r="F204" s="62"/>
      <c r="G204" s="62"/>
      <c r="H204" s="62"/>
      <c r="I204" s="62"/>
    </row>
    <row r="205" spans="1:9" x14ac:dyDescent="0.2">
      <c r="B205" s="244"/>
    </row>
  </sheetData>
  <mergeCells count="188">
    <mergeCell ref="B173:C173"/>
    <mergeCell ref="B174:C174"/>
    <mergeCell ref="B175:C175"/>
    <mergeCell ref="B176:C176"/>
    <mergeCell ref="B177:C177"/>
    <mergeCell ref="B178:C178"/>
    <mergeCell ref="B179:C179"/>
    <mergeCell ref="D53:D55"/>
    <mergeCell ref="B191:C191"/>
    <mergeCell ref="B180:C180"/>
    <mergeCell ref="B181:C181"/>
    <mergeCell ref="B165:C165"/>
    <mergeCell ref="B166:C166"/>
    <mergeCell ref="B167:C167"/>
    <mergeCell ref="B168:C168"/>
    <mergeCell ref="D167:F167"/>
    <mergeCell ref="D168:F168"/>
    <mergeCell ref="F135:F136"/>
    <mergeCell ref="F138:F141"/>
    <mergeCell ref="F143:F145"/>
    <mergeCell ref="E135:E136"/>
    <mergeCell ref="E46:E58"/>
    <mergeCell ref="E60:E65"/>
    <mergeCell ref="E67:E78"/>
    <mergeCell ref="B192:C192"/>
    <mergeCell ref="B193:C193"/>
    <mergeCell ref="B194:C194"/>
    <mergeCell ref="B195:C195"/>
    <mergeCell ref="B197:C197"/>
    <mergeCell ref="B182:C182"/>
    <mergeCell ref="B183:C183"/>
    <mergeCell ref="B184:C184"/>
    <mergeCell ref="B185:C185"/>
    <mergeCell ref="B186:C186"/>
    <mergeCell ref="B187:C187"/>
    <mergeCell ref="B188:C188"/>
    <mergeCell ref="B189:C189"/>
    <mergeCell ref="B190:C190"/>
    <mergeCell ref="E80:E81"/>
    <mergeCell ref="E128:E130"/>
    <mergeCell ref="E132:E133"/>
    <mergeCell ref="F128:F130"/>
    <mergeCell ref="F132:F133"/>
    <mergeCell ref="F46:F58"/>
    <mergeCell ref="F60:F65"/>
    <mergeCell ref="F67:F78"/>
    <mergeCell ref="F80:F81"/>
    <mergeCell ref="F92:F97"/>
    <mergeCell ref="F99:F111"/>
    <mergeCell ref="F113:F119"/>
    <mergeCell ref="F121:F126"/>
    <mergeCell ref="E92:E97"/>
    <mergeCell ref="E99:E111"/>
    <mergeCell ref="E113:E119"/>
    <mergeCell ref="E121:E126"/>
    <mergeCell ref="E83:E90"/>
    <mergeCell ref="F83:F90"/>
    <mergeCell ref="B164:C164"/>
    <mergeCell ref="B163:C163"/>
    <mergeCell ref="D148:D149"/>
    <mergeCell ref="F160:F161"/>
    <mergeCell ref="E160:E161"/>
    <mergeCell ref="E147:E149"/>
    <mergeCell ref="E151:E152"/>
    <mergeCell ref="E154:E158"/>
    <mergeCell ref="B2:C2"/>
    <mergeCell ref="D40:D41"/>
    <mergeCell ref="D31:D32"/>
    <mergeCell ref="D96:D97"/>
    <mergeCell ref="D42:D43"/>
    <mergeCell ref="D129:D130"/>
    <mergeCell ref="D57:D58"/>
    <mergeCell ref="D77:D78"/>
    <mergeCell ref="D99:D108"/>
    <mergeCell ref="B14:B19"/>
    <mergeCell ref="D14:D19"/>
    <mergeCell ref="D113:D117"/>
    <mergeCell ref="D110:D111"/>
    <mergeCell ref="D122:D125"/>
    <mergeCell ref="F40:F44"/>
    <mergeCell ref="E40:E44"/>
    <mergeCell ref="E201:F201"/>
    <mergeCell ref="E202:F202"/>
    <mergeCell ref="D176:F176"/>
    <mergeCell ref="B196:C196"/>
    <mergeCell ref="D196:F196"/>
    <mergeCell ref="B199:C199"/>
    <mergeCell ref="B170:C170"/>
    <mergeCell ref="D170:F170"/>
    <mergeCell ref="B171:C171"/>
    <mergeCell ref="D171:F171"/>
    <mergeCell ref="B172:C172"/>
    <mergeCell ref="D172:F172"/>
    <mergeCell ref="D178:F178"/>
    <mergeCell ref="D183:F183"/>
    <mergeCell ref="D184:F184"/>
    <mergeCell ref="D185:F185"/>
    <mergeCell ref="D186:F186"/>
    <mergeCell ref="D194:F194"/>
    <mergeCell ref="D179:F179"/>
    <mergeCell ref="D199:F199"/>
    <mergeCell ref="D177:F177"/>
    <mergeCell ref="E200:F200"/>
    <mergeCell ref="D182:F182"/>
    <mergeCell ref="D197:F197"/>
    <mergeCell ref="D195:F195"/>
    <mergeCell ref="D193:F193"/>
    <mergeCell ref="D192:F192"/>
    <mergeCell ref="D191:F191"/>
    <mergeCell ref="D190:F190"/>
    <mergeCell ref="D189:F189"/>
    <mergeCell ref="D188:F188"/>
    <mergeCell ref="D187:F187"/>
    <mergeCell ref="D140:D141"/>
    <mergeCell ref="D180:F180"/>
    <mergeCell ref="D181:F181"/>
    <mergeCell ref="F154:F158"/>
    <mergeCell ref="E138:E141"/>
    <mergeCell ref="E143:E145"/>
    <mergeCell ref="D175:F175"/>
    <mergeCell ref="D174:F174"/>
    <mergeCell ref="D173:F173"/>
    <mergeCell ref="D163:F163"/>
    <mergeCell ref="D164:F164"/>
    <mergeCell ref="D165:F165"/>
    <mergeCell ref="D166:F166"/>
    <mergeCell ref="F147:F149"/>
    <mergeCell ref="F151:F152"/>
    <mergeCell ref="G31:G35"/>
    <mergeCell ref="H31:H35"/>
    <mergeCell ref="G37:G38"/>
    <mergeCell ref="H37:H38"/>
    <mergeCell ref="E4:F4"/>
    <mergeCell ref="G4:H4"/>
    <mergeCell ref="G6:G19"/>
    <mergeCell ref="H6:H19"/>
    <mergeCell ref="G21:G22"/>
    <mergeCell ref="H21:H22"/>
    <mergeCell ref="F6:F19"/>
    <mergeCell ref="F21:F22"/>
    <mergeCell ref="F31:F35"/>
    <mergeCell ref="F37:F38"/>
    <mergeCell ref="E6:E19"/>
    <mergeCell ref="E21:E22"/>
    <mergeCell ref="E31:E35"/>
    <mergeCell ref="E37:E38"/>
    <mergeCell ref="E24:E29"/>
    <mergeCell ref="F24:F29"/>
    <mergeCell ref="G24:G29"/>
    <mergeCell ref="H24:H29"/>
    <mergeCell ref="G67:G78"/>
    <mergeCell ref="H67:H78"/>
    <mergeCell ref="G80:G81"/>
    <mergeCell ref="H80:H81"/>
    <mergeCell ref="G40:G44"/>
    <mergeCell ref="H40:H44"/>
    <mergeCell ref="G46:G58"/>
    <mergeCell ref="H46:H58"/>
    <mergeCell ref="G60:G65"/>
    <mergeCell ref="H60:H65"/>
    <mergeCell ref="G83:G90"/>
    <mergeCell ref="H83:H90"/>
    <mergeCell ref="G121:G126"/>
    <mergeCell ref="H121:H126"/>
    <mergeCell ref="G128:G130"/>
    <mergeCell ref="H128:H130"/>
    <mergeCell ref="G132:G133"/>
    <mergeCell ref="H132:H133"/>
    <mergeCell ref="G92:G97"/>
    <mergeCell ref="H92:H97"/>
    <mergeCell ref="G99:G111"/>
    <mergeCell ref="H99:H111"/>
    <mergeCell ref="G113:G119"/>
    <mergeCell ref="H113:H119"/>
    <mergeCell ref="G160:G161"/>
    <mergeCell ref="H160:H161"/>
    <mergeCell ref="G147:G149"/>
    <mergeCell ref="H147:H149"/>
    <mergeCell ref="G151:G152"/>
    <mergeCell ref="H151:H152"/>
    <mergeCell ref="G154:G158"/>
    <mergeCell ref="H154:H158"/>
    <mergeCell ref="G135:G136"/>
    <mergeCell ref="H135:H136"/>
    <mergeCell ref="G138:G141"/>
    <mergeCell ref="H138:H141"/>
    <mergeCell ref="G143:G145"/>
    <mergeCell ref="H143:H145"/>
  </mergeCells>
  <phoneticPr fontId="0" type="noConversion"/>
  <pageMargins left="0.75" right="0.56999999999999995" top="1" bottom="0.88" header="0.5" footer="0.5"/>
  <pageSetup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50"/>
  <sheetViews>
    <sheetView workbookViewId="0"/>
  </sheetViews>
  <sheetFormatPr defaultRowHeight="12.75" x14ac:dyDescent="0.2"/>
  <cols>
    <col min="1" max="1" width="2.7109375" customWidth="1"/>
    <col min="2" max="2" width="31.28515625" customWidth="1"/>
    <col min="3" max="3" width="13.5703125" customWidth="1"/>
    <col min="12" max="12" width="3.140625" customWidth="1"/>
  </cols>
  <sheetData>
    <row r="1" spans="1:12" ht="18" x14ac:dyDescent="0.25">
      <c r="A1" s="48"/>
      <c r="B1" s="419" t="str">
        <f>IF(BT="NO","802.3at Conformance Report","802.3bt 2Pr Conformance Report")</f>
        <v>802.3bt 2Pr Conformance Report</v>
      </c>
      <c r="C1" s="420"/>
      <c r="D1" s="45"/>
      <c r="E1" s="45"/>
      <c r="F1" s="45"/>
      <c r="G1" s="142"/>
      <c r="H1" s="45"/>
      <c r="I1" s="45"/>
      <c r="J1" s="45"/>
      <c r="K1" s="52"/>
      <c r="L1" s="62"/>
    </row>
    <row r="2" spans="1:12" x14ac:dyDescent="0.2">
      <c r="A2" s="48"/>
      <c r="B2" s="60" t="str">
        <f>Date</f>
        <v>January 20 2025</v>
      </c>
      <c r="C2" s="61">
        <f>Time</f>
        <v>0.3527777777777778</v>
      </c>
      <c r="D2" s="421" t="s">
        <v>50</v>
      </c>
      <c r="E2" s="421"/>
      <c r="F2" s="422"/>
      <c r="G2" s="423">
        <f>IF(Test_Count&gt;15,Index,"N/A")</f>
        <v>1</v>
      </c>
      <c r="H2" s="424"/>
      <c r="I2" s="143"/>
      <c r="J2" s="147" t="s">
        <v>314</v>
      </c>
      <c r="K2" s="144" t="str">
        <f>Version</f>
        <v>5.4.08</v>
      </c>
      <c r="L2" s="62"/>
    </row>
    <row r="3" spans="1:12" x14ac:dyDescent="0.2">
      <c r="A3" s="48"/>
      <c r="B3" s="97" t="s">
        <v>41</v>
      </c>
      <c r="C3" s="155">
        <f>Port_Count</f>
        <v>1</v>
      </c>
      <c r="D3" s="48"/>
      <c r="E3" s="48"/>
      <c r="F3" s="48"/>
      <c r="G3" s="425"/>
      <c r="H3" s="426"/>
      <c r="I3" s="145"/>
      <c r="J3" s="147" t="str">
        <f>Report_Version</f>
        <v xml:space="preserve"> report ver. 5.4.02</v>
      </c>
      <c r="K3" s="51"/>
      <c r="L3" s="62"/>
    </row>
    <row r="4" spans="1:12" x14ac:dyDescent="0.2">
      <c r="A4" s="48"/>
      <c r="B4" s="97" t="s">
        <v>42</v>
      </c>
      <c r="C4" s="155">
        <f>Loop_Count</f>
        <v>1</v>
      </c>
      <c r="D4" s="146"/>
      <c r="E4" s="168" t="s">
        <v>397</v>
      </c>
      <c r="F4" s="169">
        <f>Test_Count</f>
        <v>19</v>
      </c>
      <c r="G4" s="427"/>
      <c r="H4" s="428"/>
      <c r="I4" s="48"/>
      <c r="J4" s="48"/>
      <c r="K4" s="52"/>
      <c r="L4" s="62"/>
    </row>
    <row r="5" spans="1:12" x14ac:dyDescent="0.2">
      <c r="A5" s="48"/>
      <c r="B5" s="429" t="str">
        <f>Loop1!A5</f>
        <v>PSE Tested: 000.000.000.000 Type-3 30W</v>
      </c>
      <c r="C5" s="430"/>
      <c r="D5" s="48"/>
      <c r="E5" s="168" t="s">
        <v>398</v>
      </c>
      <c r="F5" s="169">
        <f>Parm_Count</f>
        <v>110</v>
      </c>
      <c r="G5" s="167" t="str">
        <f>IF(G2="N/A","Need Minimum 16 Tests!","")</f>
        <v/>
      </c>
      <c r="H5" s="48"/>
      <c r="I5" s="48"/>
      <c r="J5" s="48"/>
      <c r="K5" s="52"/>
      <c r="L5" s="62"/>
    </row>
    <row r="6" spans="1:12" x14ac:dyDescent="0.2">
      <c r="A6" s="48"/>
      <c r="B6" s="48"/>
      <c r="C6" s="48"/>
      <c r="D6" s="48"/>
      <c r="E6" s="48"/>
      <c r="F6" s="48"/>
      <c r="G6" s="48"/>
      <c r="H6" s="48"/>
      <c r="I6" s="48"/>
      <c r="J6" s="48"/>
      <c r="K6" s="52"/>
      <c r="L6" s="62"/>
    </row>
    <row r="7" spans="1:12" ht="15.75" x14ac:dyDescent="0.25">
      <c r="A7" s="62"/>
      <c r="B7" s="148"/>
      <c r="C7" s="152"/>
      <c r="D7" s="86"/>
      <c r="E7" s="87"/>
      <c r="F7" s="63"/>
      <c r="G7" s="95" t="s">
        <v>247</v>
      </c>
      <c r="H7" s="65" t="s">
        <v>270</v>
      </c>
      <c r="I7" s="96" t="s">
        <v>249</v>
      </c>
      <c r="J7" s="65" t="s">
        <v>270</v>
      </c>
      <c r="K7" s="153" t="s">
        <v>47</v>
      </c>
      <c r="L7" s="62"/>
    </row>
    <row r="8" spans="1:12" ht="16.5" thickBot="1" x14ac:dyDescent="0.3">
      <c r="A8" s="62"/>
      <c r="B8" s="149" t="s">
        <v>48</v>
      </c>
      <c r="C8" s="56" t="s">
        <v>246</v>
      </c>
      <c r="D8" s="91" t="s">
        <v>243</v>
      </c>
      <c r="E8" s="88" t="s">
        <v>244</v>
      </c>
      <c r="F8" s="58" t="s">
        <v>245</v>
      </c>
      <c r="G8" s="91" t="s">
        <v>248</v>
      </c>
      <c r="H8" s="66"/>
      <c r="I8" s="88" t="s">
        <v>248</v>
      </c>
      <c r="J8" s="66"/>
      <c r="K8" s="154" t="s">
        <v>49</v>
      </c>
      <c r="L8" s="62"/>
    </row>
    <row r="9" spans="1:12" x14ac:dyDescent="0.2">
      <c r="A9" s="62"/>
      <c r="B9" s="25"/>
      <c r="C9" s="26"/>
      <c r="D9" s="26"/>
      <c r="E9" s="26"/>
      <c r="F9" s="26"/>
      <c r="G9" s="26"/>
      <c r="H9" s="26"/>
      <c r="I9" s="26"/>
      <c r="J9" s="26"/>
      <c r="K9" s="159"/>
      <c r="L9" s="62"/>
    </row>
    <row r="10" spans="1:12" x14ac:dyDescent="0.2">
      <c r="A10" s="62"/>
      <c r="B10" s="27"/>
      <c r="C10" s="28"/>
      <c r="D10" s="28"/>
      <c r="E10" s="28"/>
      <c r="F10" s="28"/>
      <c r="G10" s="28"/>
      <c r="H10" s="28"/>
      <c r="I10" s="28"/>
      <c r="J10" s="28"/>
      <c r="K10" s="160"/>
      <c r="L10" s="62"/>
    </row>
    <row r="11" spans="1:12" x14ac:dyDescent="0.2">
      <c r="A11" s="62"/>
      <c r="B11" s="27"/>
      <c r="C11" s="28"/>
      <c r="D11" s="28"/>
      <c r="E11" s="28"/>
      <c r="F11" s="28"/>
      <c r="G11" s="28"/>
      <c r="H11" s="28"/>
      <c r="I11" s="28"/>
      <c r="J11" s="28"/>
      <c r="K11" s="160"/>
      <c r="L11" s="62"/>
    </row>
    <row r="12" spans="1:12" x14ac:dyDescent="0.2">
      <c r="A12" s="62"/>
      <c r="B12" s="27"/>
      <c r="C12" s="28"/>
      <c r="D12" s="28"/>
      <c r="E12" s="28"/>
      <c r="F12" s="28"/>
      <c r="G12" s="28"/>
      <c r="H12" s="28"/>
      <c r="I12" s="28"/>
      <c r="J12" s="28"/>
      <c r="K12" s="160"/>
      <c r="L12" s="62"/>
    </row>
    <row r="13" spans="1:12" x14ac:dyDescent="0.2">
      <c r="A13" s="62"/>
      <c r="B13" s="27"/>
      <c r="C13" s="28"/>
      <c r="D13" s="28"/>
      <c r="E13" s="28"/>
      <c r="F13" s="28"/>
      <c r="G13" s="28"/>
      <c r="H13" s="28"/>
      <c r="I13" s="28"/>
      <c r="J13" s="28"/>
      <c r="K13" s="160"/>
      <c r="L13" s="62"/>
    </row>
    <row r="14" spans="1:12" x14ac:dyDescent="0.2">
      <c r="A14" s="62"/>
      <c r="B14" s="27"/>
      <c r="C14" s="28"/>
      <c r="D14" s="28"/>
      <c r="E14" s="28"/>
      <c r="F14" s="28"/>
      <c r="G14" s="28"/>
      <c r="H14" s="28"/>
      <c r="I14" s="28"/>
      <c r="J14" s="28"/>
      <c r="K14" s="160"/>
      <c r="L14" s="62"/>
    </row>
    <row r="15" spans="1:12" x14ac:dyDescent="0.2">
      <c r="A15" s="62"/>
      <c r="B15" s="27"/>
      <c r="C15" s="28"/>
      <c r="D15" s="28"/>
      <c r="E15" s="28"/>
      <c r="F15" s="28"/>
      <c r="G15" s="28"/>
      <c r="H15" s="28"/>
      <c r="I15" s="28"/>
      <c r="J15" s="28"/>
      <c r="K15" s="160"/>
      <c r="L15" s="62"/>
    </row>
    <row r="16" spans="1:12" x14ac:dyDescent="0.2">
      <c r="A16" s="62"/>
      <c r="B16" s="27"/>
      <c r="C16" s="28"/>
      <c r="D16" s="28"/>
      <c r="E16" s="28"/>
      <c r="F16" s="28"/>
      <c r="G16" s="28"/>
      <c r="H16" s="28"/>
      <c r="I16" s="28"/>
      <c r="J16" s="28"/>
      <c r="K16" s="160"/>
      <c r="L16" s="62"/>
    </row>
    <row r="17" spans="1:12" x14ac:dyDescent="0.2">
      <c r="A17" s="62"/>
      <c r="B17" s="27"/>
      <c r="C17" s="28"/>
      <c r="D17" s="28"/>
      <c r="E17" s="28"/>
      <c r="F17" s="28"/>
      <c r="G17" s="28"/>
      <c r="H17" s="28"/>
      <c r="I17" s="28"/>
      <c r="J17" s="28"/>
      <c r="K17" s="160"/>
      <c r="L17" s="62"/>
    </row>
    <row r="18" spans="1:12" x14ac:dyDescent="0.2">
      <c r="A18" s="62"/>
      <c r="B18" s="27"/>
      <c r="C18" s="28"/>
      <c r="D18" s="28"/>
      <c r="E18" s="28"/>
      <c r="F18" s="28"/>
      <c r="G18" s="28"/>
      <c r="H18" s="28"/>
      <c r="I18" s="28"/>
      <c r="J18" s="28"/>
      <c r="K18" s="160"/>
      <c r="L18" s="62"/>
    </row>
    <row r="19" spans="1:12" x14ac:dyDescent="0.2">
      <c r="A19" s="62"/>
      <c r="B19" s="27"/>
      <c r="C19" s="28"/>
      <c r="D19" s="28"/>
      <c r="E19" s="28"/>
      <c r="F19" s="28"/>
      <c r="G19" s="28"/>
      <c r="H19" s="28"/>
      <c r="I19" s="28"/>
      <c r="J19" s="28"/>
      <c r="K19" s="160"/>
      <c r="L19" s="62"/>
    </row>
    <row r="20" spans="1:12" x14ac:dyDescent="0.2">
      <c r="A20" s="62"/>
      <c r="B20" s="27"/>
      <c r="C20" s="28"/>
      <c r="D20" s="28"/>
      <c r="E20" s="28"/>
      <c r="F20" s="28"/>
      <c r="G20" s="28"/>
      <c r="H20" s="28"/>
      <c r="I20" s="28"/>
      <c r="J20" s="28"/>
      <c r="K20" s="160"/>
      <c r="L20" s="62"/>
    </row>
    <row r="21" spans="1:12" x14ac:dyDescent="0.2">
      <c r="A21" s="62"/>
      <c r="B21" s="27"/>
      <c r="C21" s="28"/>
      <c r="D21" s="28"/>
      <c r="E21" s="28"/>
      <c r="F21" s="28"/>
      <c r="G21" s="28"/>
      <c r="H21" s="28"/>
      <c r="I21" s="28"/>
      <c r="J21" s="28"/>
      <c r="K21" s="160"/>
      <c r="L21" s="62"/>
    </row>
    <row r="22" spans="1:12" x14ac:dyDescent="0.2">
      <c r="A22" s="62"/>
      <c r="B22" s="27"/>
      <c r="C22" s="28"/>
      <c r="D22" s="28"/>
      <c r="E22" s="28"/>
      <c r="F22" s="28"/>
      <c r="G22" s="28"/>
      <c r="H22" s="28"/>
      <c r="I22" s="28"/>
      <c r="J22" s="28"/>
      <c r="K22" s="160"/>
      <c r="L22" s="62"/>
    </row>
    <row r="23" spans="1:12" x14ac:dyDescent="0.2">
      <c r="A23" s="62"/>
      <c r="B23" s="27"/>
      <c r="C23" s="28"/>
      <c r="D23" s="28"/>
      <c r="E23" s="28"/>
      <c r="F23" s="28"/>
      <c r="G23" s="28"/>
      <c r="H23" s="28"/>
      <c r="I23" s="28"/>
      <c r="J23" s="28"/>
      <c r="K23" s="160"/>
      <c r="L23" s="62"/>
    </row>
    <row r="24" spans="1:12" x14ac:dyDescent="0.2">
      <c r="A24" s="62"/>
      <c r="B24" s="27"/>
      <c r="C24" s="28"/>
      <c r="D24" s="28"/>
      <c r="E24" s="28"/>
      <c r="F24" s="28"/>
      <c r="G24" s="28"/>
      <c r="H24" s="28"/>
      <c r="I24" s="28"/>
      <c r="J24" s="28"/>
      <c r="K24" s="160"/>
      <c r="L24" s="62"/>
    </row>
    <row r="25" spans="1:12" x14ac:dyDescent="0.2">
      <c r="A25" s="62"/>
      <c r="B25" s="27"/>
      <c r="C25" s="28"/>
      <c r="D25" s="28"/>
      <c r="E25" s="28"/>
      <c r="F25" s="28"/>
      <c r="G25" s="28"/>
      <c r="H25" s="28"/>
      <c r="I25" s="28"/>
      <c r="J25" s="28"/>
      <c r="K25" s="160"/>
      <c r="L25" s="62"/>
    </row>
    <row r="26" spans="1:12" x14ac:dyDescent="0.2">
      <c r="A26" s="62"/>
      <c r="B26" s="27"/>
      <c r="C26" s="28"/>
      <c r="D26" s="28"/>
      <c r="E26" s="28"/>
      <c r="F26" s="28"/>
      <c r="G26" s="28"/>
      <c r="H26" s="28"/>
      <c r="I26" s="28"/>
      <c r="J26" s="28"/>
      <c r="K26" s="160"/>
      <c r="L26" s="62"/>
    </row>
    <row r="27" spans="1:12" x14ac:dyDescent="0.2">
      <c r="A27" s="62"/>
      <c r="B27" s="27"/>
      <c r="C27" s="28"/>
      <c r="D27" s="28"/>
      <c r="E27" s="28"/>
      <c r="F27" s="28"/>
      <c r="G27" s="28"/>
      <c r="H27" s="28"/>
      <c r="I27" s="28"/>
      <c r="J27" s="28"/>
      <c r="K27" s="160"/>
      <c r="L27" s="62"/>
    </row>
    <row r="28" spans="1:12" x14ac:dyDescent="0.2">
      <c r="A28" s="62"/>
      <c r="B28" s="27"/>
      <c r="C28" s="28"/>
      <c r="D28" s="28"/>
      <c r="E28" s="28"/>
      <c r="F28" s="28"/>
      <c r="G28" s="28"/>
      <c r="H28" s="28"/>
      <c r="I28" s="28"/>
      <c r="J28" s="28"/>
      <c r="K28" s="160"/>
      <c r="L28" s="62"/>
    </row>
    <row r="29" spans="1:12" x14ac:dyDescent="0.2">
      <c r="A29" s="62"/>
      <c r="B29" s="27"/>
      <c r="C29" s="28"/>
      <c r="D29" s="28"/>
      <c r="E29" s="28"/>
      <c r="F29" s="28"/>
      <c r="G29" s="28"/>
      <c r="H29" s="28"/>
      <c r="I29" s="28"/>
      <c r="J29" s="28"/>
      <c r="K29" s="160"/>
      <c r="L29" s="62"/>
    </row>
    <row r="30" spans="1:12" x14ac:dyDescent="0.2">
      <c r="A30" s="62"/>
      <c r="B30" s="27"/>
      <c r="C30" s="28"/>
      <c r="D30" s="28"/>
      <c r="E30" s="28"/>
      <c r="F30" s="28"/>
      <c r="G30" s="28"/>
      <c r="H30" s="28"/>
      <c r="I30" s="28"/>
      <c r="J30" s="28"/>
      <c r="K30" s="160"/>
      <c r="L30" s="62"/>
    </row>
    <row r="31" spans="1:12" x14ac:dyDescent="0.2">
      <c r="A31" s="62"/>
      <c r="B31" s="27"/>
      <c r="C31" s="28"/>
      <c r="D31" s="28"/>
      <c r="E31" s="28"/>
      <c r="F31" s="28"/>
      <c r="G31" s="28"/>
      <c r="H31" s="28"/>
      <c r="I31" s="28"/>
      <c r="J31" s="28"/>
      <c r="K31" s="160"/>
      <c r="L31" s="62"/>
    </row>
    <row r="32" spans="1:12" x14ac:dyDescent="0.2">
      <c r="A32" s="62"/>
      <c r="B32" s="27"/>
      <c r="C32" s="28"/>
      <c r="D32" s="28"/>
      <c r="E32" s="28"/>
      <c r="F32" s="28"/>
      <c r="G32" s="28"/>
      <c r="H32" s="28"/>
      <c r="I32" s="28"/>
      <c r="J32" s="28"/>
      <c r="K32" s="160"/>
      <c r="L32" s="62"/>
    </row>
    <row r="33" spans="1:12" x14ac:dyDescent="0.2">
      <c r="A33" s="62"/>
      <c r="B33" s="27"/>
      <c r="C33" s="28"/>
      <c r="D33" s="28"/>
      <c r="E33" s="28"/>
      <c r="F33" s="28"/>
      <c r="G33" s="28"/>
      <c r="H33" s="28"/>
      <c r="I33" s="28"/>
      <c r="J33" s="28"/>
      <c r="K33" s="160"/>
      <c r="L33" s="62"/>
    </row>
    <row r="34" spans="1:12" x14ac:dyDescent="0.2">
      <c r="A34" s="62"/>
      <c r="B34" s="27"/>
      <c r="C34" s="28"/>
      <c r="D34" s="28"/>
      <c r="E34" s="28"/>
      <c r="F34" s="28"/>
      <c r="G34" s="28"/>
      <c r="H34" s="28"/>
      <c r="I34" s="28"/>
      <c r="J34" s="28"/>
      <c r="K34" s="160"/>
      <c r="L34" s="62"/>
    </row>
    <row r="35" spans="1:12" x14ac:dyDescent="0.2">
      <c r="A35" s="62"/>
      <c r="B35" s="27"/>
      <c r="C35" s="28"/>
      <c r="D35" s="28"/>
      <c r="E35" s="28"/>
      <c r="F35" s="28"/>
      <c r="G35" s="28"/>
      <c r="H35" s="28"/>
      <c r="I35" s="28"/>
      <c r="J35" s="28"/>
      <c r="K35" s="160"/>
      <c r="L35" s="62"/>
    </row>
    <row r="36" spans="1:12" x14ac:dyDescent="0.2">
      <c r="A36" s="62"/>
      <c r="B36" s="27"/>
      <c r="C36" s="28"/>
      <c r="D36" s="28"/>
      <c r="E36" s="28"/>
      <c r="F36" s="28"/>
      <c r="G36" s="28"/>
      <c r="H36" s="28"/>
      <c r="I36" s="28"/>
      <c r="J36" s="28"/>
      <c r="K36" s="160"/>
      <c r="L36" s="62"/>
    </row>
    <row r="37" spans="1:12" x14ac:dyDescent="0.2">
      <c r="A37" s="62"/>
      <c r="B37" s="27"/>
      <c r="C37" s="28"/>
      <c r="D37" s="28"/>
      <c r="E37" s="28"/>
      <c r="F37" s="28"/>
      <c r="G37" s="28"/>
      <c r="H37" s="28"/>
      <c r="I37" s="28"/>
      <c r="J37" s="28"/>
      <c r="K37" s="160"/>
      <c r="L37" s="62"/>
    </row>
    <row r="38" spans="1:12" x14ac:dyDescent="0.2">
      <c r="A38" s="62"/>
      <c r="B38" s="27"/>
      <c r="C38" s="28"/>
      <c r="D38" s="28"/>
      <c r="E38" s="28"/>
      <c r="F38" s="28"/>
      <c r="G38" s="28"/>
      <c r="H38" s="28"/>
      <c r="I38" s="28"/>
      <c r="J38" s="28"/>
      <c r="K38" s="160"/>
      <c r="L38" s="62"/>
    </row>
    <row r="39" spans="1:12" x14ac:dyDescent="0.2">
      <c r="A39" s="62"/>
      <c r="B39" s="27"/>
      <c r="C39" s="28"/>
      <c r="D39" s="28"/>
      <c r="E39" s="28"/>
      <c r="F39" s="28"/>
      <c r="G39" s="28"/>
      <c r="H39" s="28"/>
      <c r="I39" s="28"/>
      <c r="J39" s="28"/>
      <c r="K39" s="160"/>
      <c r="L39" s="62"/>
    </row>
    <row r="40" spans="1:12" x14ac:dyDescent="0.2">
      <c r="A40" s="62"/>
      <c r="B40" s="29"/>
      <c r="C40" s="30"/>
      <c r="D40" s="30"/>
      <c r="E40" s="30"/>
      <c r="F40" s="30"/>
      <c r="G40" s="30"/>
      <c r="H40" s="30"/>
      <c r="I40" s="30"/>
      <c r="J40" s="30"/>
      <c r="K40" s="161"/>
      <c r="L40" s="62"/>
    </row>
    <row r="41" spans="1:12" x14ac:dyDescent="0.2">
      <c r="A41" s="62"/>
      <c r="B41" s="62"/>
      <c r="C41" s="62"/>
      <c r="D41" s="62"/>
      <c r="E41" s="62"/>
      <c r="F41" s="62"/>
      <c r="G41" s="62"/>
      <c r="H41" s="62"/>
      <c r="I41" s="62"/>
      <c r="J41" s="62"/>
      <c r="K41" s="62"/>
      <c r="L41" s="62"/>
    </row>
    <row r="42" spans="1:12" ht="15.75" x14ac:dyDescent="0.25">
      <c r="A42" s="62"/>
      <c r="B42" s="150" t="s">
        <v>51</v>
      </c>
      <c r="C42" s="151"/>
      <c r="D42" s="62"/>
      <c r="E42" s="62"/>
      <c r="F42" s="62"/>
      <c r="G42" s="62"/>
      <c r="H42" s="62"/>
      <c r="I42" s="62"/>
      <c r="J42" s="62"/>
      <c r="K42" s="62"/>
      <c r="L42" s="62"/>
    </row>
    <row r="43" spans="1:12" ht="93.75" customHeight="1" x14ac:dyDescent="0.2">
      <c r="A43" s="62"/>
      <c r="B43" s="431" t="s">
        <v>641</v>
      </c>
      <c r="C43" s="432"/>
      <c r="D43" s="432"/>
      <c r="E43" s="432"/>
      <c r="F43" s="432"/>
      <c r="G43" s="432"/>
      <c r="H43" s="432"/>
      <c r="I43" s="432"/>
      <c r="J43" s="432"/>
      <c r="K43" s="433"/>
      <c r="L43" s="62"/>
    </row>
    <row r="44" spans="1:12" ht="15.75" customHeight="1" x14ac:dyDescent="0.2">
      <c r="A44" s="62"/>
      <c r="B44" s="416" t="s">
        <v>210</v>
      </c>
      <c r="C44" s="417"/>
      <c r="D44" s="417"/>
      <c r="E44" s="417"/>
      <c r="F44" s="417"/>
      <c r="G44" s="417"/>
      <c r="H44" s="417"/>
      <c r="I44" s="417"/>
      <c r="J44" s="417"/>
      <c r="K44" s="418"/>
      <c r="L44" s="62"/>
    </row>
    <row r="45" spans="1:12" ht="17.25" customHeight="1" x14ac:dyDescent="0.2">
      <c r="A45" s="62"/>
      <c r="B45" s="416" t="s">
        <v>211</v>
      </c>
      <c r="C45" s="417"/>
      <c r="D45" s="417"/>
      <c r="E45" s="417"/>
      <c r="F45" s="417"/>
      <c r="G45" s="417"/>
      <c r="H45" s="417"/>
      <c r="I45" s="417"/>
      <c r="J45" s="417"/>
      <c r="K45" s="418"/>
      <c r="L45" s="62"/>
    </row>
    <row r="46" spans="1:12" ht="55.5" customHeight="1" x14ac:dyDescent="0.2">
      <c r="A46" s="62"/>
      <c r="B46" s="416" t="s">
        <v>53</v>
      </c>
      <c r="C46" s="417"/>
      <c r="D46" s="417"/>
      <c r="E46" s="417"/>
      <c r="F46" s="417"/>
      <c r="G46" s="417"/>
      <c r="H46" s="417"/>
      <c r="I46" s="417"/>
      <c r="J46" s="417"/>
      <c r="K46" s="418"/>
      <c r="L46" s="62"/>
    </row>
    <row r="47" spans="1:12" ht="38.25" customHeight="1" x14ac:dyDescent="0.2">
      <c r="A47" s="62"/>
      <c r="B47" s="416" t="s">
        <v>374</v>
      </c>
      <c r="C47" s="417"/>
      <c r="D47" s="417"/>
      <c r="E47" s="417"/>
      <c r="F47" s="417"/>
      <c r="G47" s="417"/>
      <c r="H47" s="417"/>
      <c r="I47" s="417"/>
      <c r="J47" s="417"/>
      <c r="K47" s="418"/>
      <c r="L47" s="62"/>
    </row>
    <row r="48" spans="1:12" ht="9.75" customHeight="1" x14ac:dyDescent="0.2">
      <c r="A48" s="62"/>
      <c r="B48" s="156"/>
      <c r="C48" s="157"/>
      <c r="D48" s="157"/>
      <c r="E48" s="157"/>
      <c r="F48" s="157"/>
      <c r="G48" s="157"/>
      <c r="H48" s="157"/>
      <c r="I48" s="157"/>
      <c r="J48" s="157"/>
      <c r="K48" s="158"/>
      <c r="L48" s="62"/>
    </row>
    <row r="49" spans="1:12" x14ac:dyDescent="0.2">
      <c r="A49" s="62"/>
      <c r="B49" s="62"/>
      <c r="C49" s="62"/>
      <c r="D49" s="62"/>
      <c r="E49" s="62"/>
      <c r="F49" s="62"/>
      <c r="G49" s="62"/>
      <c r="H49" s="62"/>
      <c r="I49" s="62"/>
      <c r="J49" s="62"/>
      <c r="K49" s="62"/>
      <c r="L49" s="62"/>
    </row>
    <row r="50" spans="1:12" x14ac:dyDescent="0.2">
      <c r="A50" s="62"/>
      <c r="B50" s="62"/>
      <c r="C50" s="62"/>
      <c r="D50" s="62"/>
      <c r="E50" s="62"/>
      <c r="F50" s="62"/>
      <c r="G50" s="62"/>
      <c r="H50" s="62"/>
      <c r="I50" s="62"/>
      <c r="J50" s="62"/>
      <c r="K50" s="62"/>
      <c r="L50" s="62"/>
    </row>
  </sheetData>
  <mergeCells count="9">
    <mergeCell ref="B47:K47"/>
    <mergeCell ref="B1:C1"/>
    <mergeCell ref="D2:F2"/>
    <mergeCell ref="G2:H4"/>
    <mergeCell ref="B5:C5"/>
    <mergeCell ref="B44:K44"/>
    <mergeCell ref="B45:K45"/>
    <mergeCell ref="B46:K46"/>
    <mergeCell ref="B43:K43"/>
  </mergeCells>
  <phoneticPr fontId="0" type="noConversion"/>
  <conditionalFormatting sqref="J9:J40 H9:H40">
    <cfRule type="cellIs" dxfId="1" priority="1" stopIfTrue="1" operator="equal">
      <formula>"Fail"</formula>
    </cfRule>
    <cfRule type="cellIs" dxfId="0" priority="2" stopIfTrue="1" operator="equal">
      <formula>"Info"</formula>
    </cfRule>
  </conditionalFormatting>
  <pageMargins left="0.75" right="0.75" top="1" bottom="1" header="0.5" footer="0.5"/>
  <pageSetup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25</vt:i4>
      </vt:variant>
    </vt:vector>
  </HeadingPairs>
  <TitlesOfParts>
    <vt:vector size="29" baseType="lpstr">
      <vt:lpstr>Loop1</vt:lpstr>
      <vt:lpstr>Limits</vt:lpstr>
      <vt:lpstr>Notes 5.x.x</vt:lpstr>
      <vt:lpstr>Interop</vt:lpstr>
      <vt:lpstr>ALT</vt:lpstr>
      <vt:lpstr>BT</vt:lpstr>
      <vt:lpstr>BT_type</vt:lpstr>
      <vt:lpstr>Date</vt:lpstr>
      <vt:lpstr>HighPwrGrant</vt:lpstr>
      <vt:lpstr>Index</vt:lpstr>
      <vt:lpstr>Loop_Count</vt:lpstr>
      <vt:lpstr>Maximum</vt:lpstr>
      <vt:lpstr>Min_AT_Version</vt:lpstr>
      <vt:lpstr>MinFwVer</vt:lpstr>
      <vt:lpstr>Minimum</vt:lpstr>
      <vt:lpstr>MinReqdFwVer</vt:lpstr>
      <vt:lpstr>Parm_Count</vt:lpstr>
      <vt:lpstr>PD_Pwr</vt:lpstr>
      <vt:lpstr>Port_Count</vt:lpstr>
      <vt:lpstr>Interop!Print_Area</vt:lpstr>
      <vt:lpstr>Loop1!Print_Area</vt:lpstr>
      <vt:lpstr>'Notes 5.x.x'!Print_Area</vt:lpstr>
      <vt:lpstr>PSA</vt:lpstr>
      <vt:lpstr>PSE_Tested</vt:lpstr>
      <vt:lpstr>Report_Version</vt:lpstr>
      <vt:lpstr>Test_Count</vt:lpstr>
      <vt:lpstr>Test_Limits</vt:lpstr>
      <vt:lpstr>Time</vt:lpstr>
      <vt:lpstr>Version</vt:lpstr>
    </vt:vector>
  </TitlesOfParts>
  <Company>DOCSIS Test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PGJ1</dc:creator>
  <cp:lastModifiedBy>Windows 使用者</cp:lastModifiedBy>
  <cp:lastPrinted>2022-06-09T17:32:56Z</cp:lastPrinted>
  <dcterms:created xsi:type="dcterms:W3CDTF">2004-10-19T17:15:51Z</dcterms:created>
  <dcterms:modified xsi:type="dcterms:W3CDTF">2025-02-05T09:39:58Z</dcterms:modified>
</cp:coreProperties>
</file>